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bsoyer/Desktop/YABDİL/"/>
    </mc:Choice>
  </mc:AlternateContent>
  <xr:revisionPtr revIDLastSave="0" documentId="13_ncr:1_{E0048123-4318-3A43-8B25-EEAD265ABD4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ste" sheetId="1" r:id="rId1"/>
    <sheet name="DV-IDENTITY-0" sheetId="5" state="veryHidden" r:id="rId2"/>
  </sheets>
  <definedNames>
    <definedName name="_xlnm.Print_Area" localSheetId="0">Liste!$A$1:$J$695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1" i="5" l="1"/>
  <c r="B201" i="5"/>
  <c r="C201" i="5"/>
  <c r="A200" i="5"/>
  <c r="B200" i="5"/>
  <c r="C200" i="5"/>
  <c r="A199" i="5"/>
  <c r="B199" i="5"/>
  <c r="C199" i="5"/>
  <c r="A198" i="5"/>
  <c r="B198" i="5"/>
  <c r="C198" i="5"/>
  <c r="D198" i="5"/>
  <c r="A197" i="5"/>
  <c r="B197" i="5"/>
  <c r="C197" i="5"/>
  <c r="D197" i="5"/>
  <c r="E197" i="5"/>
  <c r="F197" i="5"/>
  <c r="G197" i="5"/>
  <c r="H197" i="5"/>
  <c r="I197" i="5"/>
  <c r="J197" i="5"/>
  <c r="A196" i="5" l="1"/>
  <c r="B196" i="5"/>
  <c r="C196" i="5"/>
  <c r="D196" i="5"/>
  <c r="E196" i="5"/>
  <c r="F196" i="5"/>
  <c r="G196" i="5"/>
  <c r="H196" i="5"/>
  <c r="A195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AQ195" i="5"/>
  <c r="AR195" i="5"/>
  <c r="AS195" i="5"/>
  <c r="AT195" i="5"/>
  <c r="AU195" i="5"/>
  <c r="AV195" i="5"/>
  <c r="AW195" i="5"/>
  <c r="AX195" i="5"/>
  <c r="AY195" i="5"/>
  <c r="AZ195" i="5"/>
  <c r="BA195" i="5"/>
  <c r="BB195" i="5"/>
  <c r="BC195" i="5"/>
  <c r="BD195" i="5"/>
  <c r="BE195" i="5"/>
  <c r="BF195" i="5"/>
  <c r="BG195" i="5"/>
  <c r="BH195" i="5"/>
  <c r="BI195" i="5"/>
  <c r="BJ195" i="5"/>
  <c r="BK195" i="5"/>
  <c r="BL195" i="5"/>
  <c r="BM195" i="5"/>
  <c r="BN195" i="5"/>
  <c r="BO195" i="5"/>
  <c r="BP195" i="5"/>
  <c r="BQ195" i="5"/>
  <c r="BR195" i="5"/>
  <c r="BS195" i="5"/>
  <c r="BT195" i="5"/>
  <c r="BU195" i="5"/>
  <c r="BV195" i="5"/>
  <c r="BW195" i="5"/>
  <c r="BX195" i="5"/>
  <c r="BY195" i="5"/>
  <c r="BZ195" i="5"/>
  <c r="CA195" i="5"/>
  <c r="A194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AQ194" i="5"/>
  <c r="AR194" i="5"/>
  <c r="AS194" i="5"/>
  <c r="AT194" i="5"/>
  <c r="AU194" i="5"/>
  <c r="AV194" i="5"/>
  <c r="AW194" i="5"/>
  <c r="AX194" i="5"/>
  <c r="AY194" i="5"/>
  <c r="AZ194" i="5"/>
  <c r="BA194" i="5"/>
  <c r="BB194" i="5"/>
  <c r="BC194" i="5"/>
  <c r="BD194" i="5"/>
  <c r="BE194" i="5"/>
  <c r="BF194" i="5"/>
  <c r="BG194" i="5"/>
  <c r="BH194" i="5"/>
  <c r="BI194" i="5"/>
  <c r="BJ194" i="5"/>
  <c r="BK194" i="5"/>
  <c r="BL194" i="5"/>
  <c r="BM194" i="5"/>
  <c r="BN194" i="5"/>
  <c r="BO194" i="5"/>
  <c r="BP194" i="5"/>
  <c r="BQ194" i="5"/>
  <c r="BR194" i="5"/>
  <c r="BS194" i="5"/>
  <c r="BT194" i="5"/>
  <c r="BU194" i="5"/>
  <c r="BV194" i="5"/>
  <c r="BW194" i="5"/>
  <c r="BX194" i="5"/>
  <c r="BY194" i="5"/>
  <c r="BZ194" i="5"/>
  <c r="CA194" i="5"/>
  <c r="CB194" i="5"/>
  <c r="CC194" i="5"/>
  <c r="CD194" i="5"/>
  <c r="CE194" i="5"/>
  <c r="CF194" i="5"/>
  <c r="CG194" i="5"/>
  <c r="CH194" i="5"/>
  <c r="CI194" i="5"/>
  <c r="CJ194" i="5"/>
  <c r="CK194" i="5"/>
  <c r="CL194" i="5"/>
  <c r="CM194" i="5"/>
  <c r="CN194" i="5"/>
  <c r="CO194" i="5"/>
  <c r="CP194" i="5"/>
  <c r="CQ194" i="5"/>
  <c r="CR194" i="5"/>
  <c r="CS194" i="5"/>
  <c r="CT194" i="5"/>
  <c r="CU194" i="5"/>
  <c r="CV194" i="5"/>
  <c r="CW194" i="5"/>
  <c r="CX194" i="5"/>
  <c r="CY194" i="5"/>
  <c r="CZ194" i="5"/>
  <c r="DA194" i="5"/>
  <c r="DB194" i="5"/>
  <c r="DC194" i="5"/>
  <c r="DD194" i="5"/>
  <c r="DE194" i="5"/>
  <c r="DF194" i="5"/>
  <c r="DG194" i="5"/>
  <c r="DH194" i="5"/>
  <c r="DI194" i="5"/>
  <c r="DJ194" i="5"/>
  <c r="DK194" i="5"/>
  <c r="DL194" i="5"/>
  <c r="DM194" i="5"/>
  <c r="DN194" i="5"/>
  <c r="DO194" i="5"/>
  <c r="DP194" i="5"/>
  <c r="DQ194" i="5"/>
  <c r="DR194" i="5"/>
  <c r="DS194" i="5"/>
  <c r="DT194" i="5"/>
  <c r="DU194" i="5"/>
  <c r="DV194" i="5"/>
  <c r="DW194" i="5"/>
  <c r="DX194" i="5"/>
  <c r="DY194" i="5"/>
  <c r="DZ194" i="5"/>
  <c r="EA194" i="5"/>
  <c r="EB194" i="5"/>
  <c r="EC194" i="5"/>
  <c r="ED194" i="5"/>
  <c r="EE194" i="5"/>
  <c r="EF194" i="5"/>
  <c r="EG194" i="5"/>
  <c r="EH194" i="5"/>
  <c r="EI194" i="5"/>
  <c r="EJ194" i="5"/>
  <c r="EK194" i="5"/>
  <c r="EL194" i="5"/>
  <c r="EM194" i="5"/>
  <c r="EN194" i="5"/>
  <c r="EO194" i="5"/>
  <c r="EP194" i="5"/>
  <c r="EQ194" i="5"/>
  <c r="ER194" i="5"/>
  <c r="ES194" i="5"/>
  <c r="ET194" i="5"/>
  <c r="EU194" i="5"/>
  <c r="EV194" i="5"/>
  <c r="EW194" i="5"/>
  <c r="EX194" i="5"/>
  <c r="EY194" i="5"/>
  <c r="EZ194" i="5"/>
  <c r="FA194" i="5"/>
  <c r="FB194" i="5"/>
  <c r="FC194" i="5"/>
  <c r="FD194" i="5"/>
  <c r="FE194" i="5"/>
  <c r="FF194" i="5"/>
  <c r="FG194" i="5"/>
  <c r="FH194" i="5"/>
  <c r="FI194" i="5"/>
  <c r="FJ194" i="5"/>
  <c r="FK194" i="5"/>
  <c r="FL194" i="5"/>
  <c r="FM194" i="5"/>
  <c r="FN194" i="5"/>
  <c r="FO194" i="5"/>
  <c r="FP194" i="5"/>
  <c r="FQ194" i="5"/>
  <c r="FR194" i="5"/>
  <c r="FS194" i="5"/>
  <c r="FT194" i="5"/>
  <c r="FU194" i="5"/>
  <c r="FV194" i="5"/>
  <c r="FW194" i="5"/>
  <c r="FX194" i="5"/>
  <c r="FY194" i="5"/>
  <c r="FZ194" i="5"/>
  <c r="GA194" i="5"/>
  <c r="GB194" i="5"/>
  <c r="GC194" i="5"/>
  <c r="GD194" i="5"/>
  <c r="GE194" i="5"/>
  <c r="GF194" i="5"/>
  <c r="GG194" i="5"/>
  <c r="GH194" i="5"/>
  <c r="GI194" i="5"/>
  <c r="GJ194" i="5"/>
  <c r="GK194" i="5"/>
  <c r="GL194" i="5"/>
  <c r="GM194" i="5"/>
  <c r="GN194" i="5"/>
  <c r="GO194" i="5"/>
  <c r="GP194" i="5"/>
  <c r="GQ194" i="5"/>
  <c r="GR194" i="5"/>
  <c r="GS194" i="5"/>
  <c r="GT194" i="5"/>
  <c r="GU194" i="5"/>
  <c r="GV194" i="5"/>
  <c r="GW194" i="5"/>
  <c r="GX194" i="5"/>
  <c r="GY194" i="5"/>
  <c r="GZ194" i="5"/>
  <c r="HA194" i="5"/>
  <c r="HB194" i="5"/>
  <c r="HC194" i="5"/>
  <c r="HD194" i="5"/>
  <c r="HE194" i="5"/>
  <c r="HF194" i="5"/>
  <c r="HG194" i="5"/>
  <c r="HH194" i="5"/>
  <c r="HI194" i="5"/>
  <c r="HJ194" i="5"/>
  <c r="HK194" i="5"/>
  <c r="HL194" i="5"/>
  <c r="HM194" i="5"/>
  <c r="HN194" i="5"/>
  <c r="HO194" i="5"/>
  <c r="HP194" i="5"/>
  <c r="HQ194" i="5"/>
  <c r="HR194" i="5"/>
  <c r="HS194" i="5"/>
  <c r="HT194" i="5"/>
  <c r="HU194" i="5"/>
  <c r="HV194" i="5"/>
  <c r="HW194" i="5"/>
  <c r="HX194" i="5"/>
  <c r="HY194" i="5"/>
  <c r="HZ194" i="5"/>
  <c r="IA194" i="5"/>
  <c r="IB194" i="5"/>
  <c r="IC194" i="5"/>
  <c r="ID194" i="5"/>
  <c r="IE194" i="5"/>
  <c r="IF194" i="5"/>
  <c r="IG194" i="5"/>
  <c r="IH194" i="5"/>
  <c r="II194" i="5"/>
  <c r="IJ194" i="5"/>
  <c r="IK194" i="5"/>
  <c r="IL194" i="5"/>
  <c r="IM194" i="5"/>
  <c r="IN194" i="5"/>
  <c r="IO194" i="5"/>
  <c r="IP194" i="5"/>
  <c r="IQ194" i="5"/>
  <c r="IR194" i="5"/>
  <c r="IS194" i="5"/>
  <c r="IT194" i="5"/>
  <c r="IU194" i="5"/>
  <c r="IV194" i="5"/>
  <c r="A193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AQ193" i="5"/>
  <c r="AR193" i="5"/>
  <c r="AS193" i="5"/>
  <c r="AT193" i="5"/>
  <c r="AU193" i="5"/>
  <c r="AV193" i="5"/>
  <c r="AW193" i="5"/>
  <c r="AX193" i="5"/>
  <c r="AY193" i="5"/>
  <c r="AZ193" i="5"/>
  <c r="BA193" i="5"/>
  <c r="BB193" i="5"/>
  <c r="BC193" i="5"/>
  <c r="BD193" i="5"/>
  <c r="BE193" i="5"/>
  <c r="BF193" i="5"/>
  <c r="BG193" i="5"/>
  <c r="BH193" i="5"/>
  <c r="BI193" i="5"/>
  <c r="BJ193" i="5"/>
  <c r="BK193" i="5"/>
  <c r="BL193" i="5"/>
  <c r="BM193" i="5"/>
  <c r="BN193" i="5"/>
  <c r="BO193" i="5"/>
  <c r="BP193" i="5"/>
  <c r="BQ193" i="5"/>
  <c r="BR193" i="5"/>
  <c r="BS193" i="5"/>
  <c r="BT193" i="5"/>
  <c r="BU193" i="5"/>
  <c r="BV193" i="5"/>
  <c r="BW193" i="5"/>
  <c r="BX193" i="5"/>
  <c r="BY193" i="5"/>
  <c r="BZ193" i="5"/>
  <c r="CA193" i="5"/>
  <c r="CB193" i="5"/>
  <c r="CC193" i="5"/>
  <c r="CD193" i="5"/>
  <c r="CE193" i="5"/>
  <c r="CF193" i="5"/>
  <c r="CG193" i="5"/>
  <c r="CH193" i="5"/>
  <c r="CI193" i="5"/>
  <c r="CJ193" i="5"/>
  <c r="CK193" i="5"/>
  <c r="CL193" i="5"/>
  <c r="CM193" i="5"/>
  <c r="CN193" i="5"/>
  <c r="CO193" i="5"/>
  <c r="CP193" i="5"/>
  <c r="CQ193" i="5"/>
  <c r="CR193" i="5"/>
  <c r="CS193" i="5"/>
  <c r="CT193" i="5"/>
  <c r="CU193" i="5"/>
  <c r="CV193" i="5"/>
  <c r="CW193" i="5"/>
  <c r="CX193" i="5"/>
  <c r="CY193" i="5"/>
  <c r="CZ193" i="5"/>
  <c r="DA193" i="5"/>
  <c r="DB193" i="5"/>
  <c r="DC193" i="5"/>
  <c r="DD193" i="5"/>
  <c r="DE193" i="5"/>
  <c r="DF193" i="5"/>
  <c r="DG193" i="5"/>
  <c r="DH193" i="5"/>
  <c r="DI193" i="5"/>
  <c r="DJ193" i="5"/>
  <c r="DK193" i="5"/>
  <c r="DL193" i="5"/>
  <c r="DM193" i="5"/>
  <c r="DN193" i="5"/>
  <c r="DO193" i="5"/>
  <c r="DP193" i="5"/>
  <c r="DQ193" i="5"/>
  <c r="DR193" i="5"/>
  <c r="DS193" i="5"/>
  <c r="DT193" i="5"/>
  <c r="DU193" i="5"/>
  <c r="DV193" i="5"/>
  <c r="DW193" i="5"/>
  <c r="DX193" i="5"/>
  <c r="DY193" i="5"/>
  <c r="DZ193" i="5"/>
  <c r="EA193" i="5"/>
  <c r="EB193" i="5"/>
  <c r="EC193" i="5"/>
  <c r="ED193" i="5"/>
  <c r="EE193" i="5"/>
  <c r="EF193" i="5"/>
  <c r="EG193" i="5"/>
  <c r="EH193" i="5"/>
  <c r="EI193" i="5"/>
  <c r="EJ193" i="5"/>
  <c r="EK193" i="5"/>
  <c r="EL193" i="5"/>
  <c r="EM193" i="5"/>
  <c r="EN193" i="5"/>
  <c r="EO193" i="5"/>
  <c r="EP193" i="5"/>
  <c r="EQ193" i="5"/>
  <c r="ER193" i="5"/>
  <c r="ES193" i="5"/>
  <c r="ET193" i="5"/>
  <c r="EU193" i="5"/>
  <c r="EV193" i="5"/>
  <c r="EW193" i="5"/>
  <c r="EX193" i="5"/>
  <c r="EY193" i="5"/>
  <c r="EZ193" i="5"/>
  <c r="FA193" i="5"/>
  <c r="FB193" i="5"/>
  <c r="FC193" i="5"/>
  <c r="FD193" i="5"/>
  <c r="FE193" i="5"/>
  <c r="FF193" i="5"/>
  <c r="FG193" i="5"/>
  <c r="FH193" i="5"/>
  <c r="FI193" i="5"/>
  <c r="FJ193" i="5"/>
  <c r="FK193" i="5"/>
  <c r="FL193" i="5"/>
  <c r="FM193" i="5"/>
  <c r="FN193" i="5"/>
  <c r="FO193" i="5"/>
  <c r="FP193" i="5"/>
  <c r="FQ193" i="5"/>
  <c r="FR193" i="5"/>
  <c r="FS193" i="5"/>
  <c r="FT193" i="5"/>
  <c r="FU193" i="5"/>
  <c r="FV193" i="5"/>
  <c r="FW193" i="5"/>
  <c r="FX193" i="5"/>
  <c r="FY193" i="5"/>
  <c r="FZ193" i="5"/>
  <c r="GA193" i="5"/>
  <c r="GB193" i="5"/>
  <c r="GC193" i="5"/>
  <c r="GD193" i="5"/>
  <c r="GE193" i="5"/>
  <c r="GF193" i="5"/>
  <c r="GG193" i="5"/>
  <c r="GH193" i="5"/>
  <c r="GI193" i="5"/>
  <c r="GJ193" i="5"/>
  <c r="GK193" i="5"/>
  <c r="GL193" i="5"/>
  <c r="GM193" i="5"/>
  <c r="GN193" i="5"/>
  <c r="GO193" i="5"/>
  <c r="GP193" i="5"/>
  <c r="GQ193" i="5"/>
  <c r="GR193" i="5"/>
  <c r="GS193" i="5"/>
  <c r="GT193" i="5"/>
  <c r="GU193" i="5"/>
  <c r="GV193" i="5"/>
  <c r="GW193" i="5"/>
  <c r="GX193" i="5"/>
  <c r="GY193" i="5"/>
  <c r="GZ193" i="5"/>
  <c r="HA193" i="5"/>
  <c r="HB193" i="5"/>
  <c r="HC193" i="5"/>
  <c r="HD193" i="5"/>
  <c r="HE193" i="5"/>
  <c r="HF193" i="5"/>
  <c r="HG193" i="5"/>
  <c r="HH193" i="5"/>
  <c r="HI193" i="5"/>
  <c r="HJ193" i="5"/>
  <c r="HK193" i="5"/>
  <c r="HL193" i="5"/>
  <c r="HM193" i="5"/>
  <c r="HN193" i="5"/>
  <c r="HO193" i="5"/>
  <c r="HP193" i="5"/>
  <c r="HQ193" i="5"/>
  <c r="HR193" i="5"/>
  <c r="HS193" i="5"/>
  <c r="HT193" i="5"/>
  <c r="HU193" i="5"/>
  <c r="HV193" i="5"/>
  <c r="HW193" i="5"/>
  <c r="HX193" i="5"/>
  <c r="HY193" i="5"/>
  <c r="HZ193" i="5"/>
  <c r="IA193" i="5"/>
  <c r="IB193" i="5"/>
  <c r="IC193" i="5"/>
  <c r="ID193" i="5"/>
  <c r="IE193" i="5"/>
  <c r="IF193" i="5"/>
  <c r="IG193" i="5"/>
  <c r="IH193" i="5"/>
  <c r="II193" i="5"/>
  <c r="IJ193" i="5"/>
  <c r="IK193" i="5"/>
  <c r="IL193" i="5"/>
  <c r="IM193" i="5"/>
  <c r="IN193" i="5"/>
  <c r="IO193" i="5"/>
  <c r="IP193" i="5"/>
  <c r="IQ193" i="5"/>
  <c r="IR193" i="5"/>
  <c r="IS193" i="5"/>
  <c r="IT193" i="5"/>
  <c r="IU193" i="5"/>
  <c r="IV193" i="5"/>
  <c r="A192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AQ192" i="5"/>
  <c r="AR192" i="5"/>
  <c r="AS192" i="5"/>
  <c r="AT192" i="5"/>
  <c r="AU192" i="5"/>
  <c r="AV192" i="5"/>
  <c r="AW192" i="5"/>
  <c r="AX192" i="5"/>
  <c r="AY192" i="5"/>
  <c r="AZ192" i="5"/>
  <c r="BA192" i="5"/>
  <c r="BB192" i="5"/>
  <c r="BC192" i="5"/>
  <c r="BD192" i="5"/>
  <c r="BE192" i="5"/>
  <c r="BF192" i="5"/>
  <c r="BG192" i="5"/>
  <c r="BH192" i="5"/>
  <c r="BI192" i="5"/>
  <c r="BJ192" i="5"/>
  <c r="BK192" i="5"/>
  <c r="BL192" i="5"/>
  <c r="BM192" i="5"/>
  <c r="BN192" i="5"/>
  <c r="BO192" i="5"/>
  <c r="BP192" i="5"/>
  <c r="BQ192" i="5"/>
  <c r="BR192" i="5"/>
  <c r="BS192" i="5"/>
  <c r="BT192" i="5"/>
  <c r="BU192" i="5"/>
  <c r="BV192" i="5"/>
  <c r="BW192" i="5"/>
  <c r="BX192" i="5"/>
  <c r="BY192" i="5"/>
  <c r="BZ192" i="5"/>
  <c r="CA192" i="5"/>
  <c r="CB192" i="5"/>
  <c r="CC192" i="5"/>
  <c r="CD192" i="5"/>
  <c r="CE192" i="5"/>
  <c r="CF192" i="5"/>
  <c r="CG192" i="5"/>
  <c r="CH192" i="5"/>
  <c r="CI192" i="5"/>
  <c r="CJ192" i="5"/>
  <c r="CK192" i="5"/>
  <c r="CL192" i="5"/>
  <c r="CM192" i="5"/>
  <c r="CN192" i="5"/>
  <c r="CO192" i="5"/>
  <c r="CP192" i="5"/>
  <c r="CQ192" i="5"/>
  <c r="CR192" i="5"/>
  <c r="CS192" i="5"/>
  <c r="CT192" i="5"/>
  <c r="CU192" i="5"/>
  <c r="CV192" i="5"/>
  <c r="CW192" i="5"/>
  <c r="CX192" i="5"/>
  <c r="CY192" i="5"/>
  <c r="CZ192" i="5"/>
  <c r="DA192" i="5"/>
  <c r="DB192" i="5"/>
  <c r="DC192" i="5"/>
  <c r="DD192" i="5"/>
  <c r="DE192" i="5"/>
  <c r="DF192" i="5"/>
  <c r="DG192" i="5"/>
  <c r="DH192" i="5"/>
  <c r="DI192" i="5"/>
  <c r="DJ192" i="5"/>
  <c r="DK192" i="5"/>
  <c r="DL192" i="5"/>
  <c r="DM192" i="5"/>
  <c r="DN192" i="5"/>
  <c r="DO192" i="5"/>
  <c r="DP192" i="5"/>
  <c r="DQ192" i="5"/>
  <c r="DR192" i="5"/>
  <c r="DS192" i="5"/>
  <c r="DT192" i="5"/>
  <c r="DU192" i="5"/>
  <c r="DV192" i="5"/>
  <c r="DW192" i="5"/>
  <c r="DX192" i="5"/>
  <c r="DY192" i="5"/>
  <c r="DZ192" i="5"/>
  <c r="EA192" i="5"/>
  <c r="EB192" i="5"/>
  <c r="EC192" i="5"/>
  <c r="ED192" i="5"/>
  <c r="EE192" i="5"/>
  <c r="EF192" i="5"/>
  <c r="EG192" i="5"/>
  <c r="EH192" i="5"/>
  <c r="EI192" i="5"/>
  <c r="EJ192" i="5"/>
  <c r="EK192" i="5"/>
  <c r="EL192" i="5"/>
  <c r="EM192" i="5"/>
  <c r="EN192" i="5"/>
  <c r="EO192" i="5"/>
  <c r="EP192" i="5"/>
  <c r="EQ192" i="5"/>
  <c r="ER192" i="5"/>
  <c r="ES192" i="5"/>
  <c r="ET192" i="5"/>
  <c r="EU192" i="5"/>
  <c r="EV192" i="5"/>
  <c r="EW192" i="5"/>
  <c r="EX192" i="5"/>
  <c r="EY192" i="5"/>
  <c r="EZ192" i="5"/>
  <c r="FA192" i="5"/>
  <c r="FB192" i="5"/>
  <c r="FC192" i="5"/>
  <c r="FD192" i="5"/>
  <c r="FE192" i="5"/>
  <c r="FF192" i="5"/>
  <c r="FG192" i="5"/>
  <c r="FH192" i="5"/>
  <c r="FI192" i="5"/>
  <c r="FJ192" i="5"/>
  <c r="FK192" i="5"/>
  <c r="FL192" i="5"/>
  <c r="FM192" i="5"/>
  <c r="FN192" i="5"/>
  <c r="FO192" i="5"/>
  <c r="FP192" i="5"/>
  <c r="FQ192" i="5"/>
  <c r="FR192" i="5"/>
  <c r="FS192" i="5"/>
  <c r="FT192" i="5"/>
  <c r="FU192" i="5"/>
  <c r="FV192" i="5"/>
  <c r="FW192" i="5"/>
  <c r="FX192" i="5"/>
  <c r="FY192" i="5"/>
  <c r="FZ192" i="5"/>
  <c r="GA192" i="5"/>
  <c r="GB192" i="5"/>
  <c r="GC192" i="5"/>
  <c r="GD192" i="5"/>
  <c r="GE192" i="5"/>
  <c r="GF192" i="5"/>
  <c r="GG192" i="5"/>
  <c r="GH192" i="5"/>
  <c r="GI192" i="5"/>
  <c r="GJ192" i="5"/>
  <c r="GK192" i="5"/>
  <c r="GL192" i="5"/>
  <c r="GM192" i="5"/>
  <c r="GN192" i="5"/>
  <c r="GO192" i="5"/>
  <c r="GP192" i="5"/>
  <c r="GQ192" i="5"/>
  <c r="GR192" i="5"/>
  <c r="GS192" i="5"/>
  <c r="GT192" i="5"/>
  <c r="GU192" i="5"/>
  <c r="GV192" i="5"/>
  <c r="GW192" i="5"/>
  <c r="GX192" i="5"/>
  <c r="GY192" i="5"/>
  <c r="GZ192" i="5"/>
  <c r="HA192" i="5"/>
  <c r="HB192" i="5"/>
  <c r="HC192" i="5"/>
  <c r="HD192" i="5"/>
  <c r="HE192" i="5"/>
  <c r="HF192" i="5"/>
  <c r="HG192" i="5"/>
  <c r="HH192" i="5"/>
  <c r="HI192" i="5"/>
  <c r="HJ192" i="5"/>
  <c r="HK192" i="5"/>
  <c r="HL192" i="5"/>
  <c r="HM192" i="5"/>
  <c r="HN192" i="5"/>
  <c r="HO192" i="5"/>
  <c r="HP192" i="5"/>
  <c r="HQ192" i="5"/>
  <c r="HR192" i="5"/>
  <c r="HS192" i="5"/>
  <c r="HT192" i="5"/>
  <c r="HU192" i="5"/>
  <c r="HV192" i="5"/>
  <c r="HW192" i="5"/>
  <c r="HX192" i="5"/>
  <c r="HY192" i="5"/>
  <c r="HZ192" i="5"/>
  <c r="IA192" i="5"/>
  <c r="IB192" i="5"/>
  <c r="IC192" i="5"/>
  <c r="ID192" i="5"/>
  <c r="IE192" i="5"/>
  <c r="IF192" i="5"/>
  <c r="IG192" i="5"/>
  <c r="IH192" i="5"/>
  <c r="II192" i="5"/>
  <c r="IJ192" i="5"/>
  <c r="IK192" i="5"/>
  <c r="IL192" i="5"/>
  <c r="IM192" i="5"/>
  <c r="IN192" i="5"/>
  <c r="IO192" i="5"/>
  <c r="IP192" i="5"/>
  <c r="IQ192" i="5"/>
  <c r="IR192" i="5"/>
  <c r="IS192" i="5"/>
  <c r="IT192" i="5"/>
  <c r="IU192" i="5"/>
  <c r="IV192" i="5"/>
  <c r="A191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AQ191" i="5"/>
  <c r="AR191" i="5"/>
  <c r="AS191" i="5"/>
  <c r="AT191" i="5"/>
  <c r="AU191" i="5"/>
  <c r="AV191" i="5"/>
  <c r="AW191" i="5"/>
  <c r="AX191" i="5"/>
  <c r="AY191" i="5"/>
  <c r="AZ191" i="5"/>
  <c r="BA191" i="5"/>
  <c r="BB191" i="5"/>
  <c r="BC191" i="5"/>
  <c r="BD191" i="5"/>
  <c r="BE191" i="5"/>
  <c r="BF191" i="5"/>
  <c r="BG191" i="5"/>
  <c r="BH191" i="5"/>
  <c r="BI191" i="5"/>
  <c r="BJ191" i="5"/>
  <c r="BK191" i="5"/>
  <c r="BL191" i="5"/>
  <c r="BM191" i="5"/>
  <c r="BN191" i="5"/>
  <c r="BO191" i="5"/>
  <c r="BP191" i="5"/>
  <c r="BQ191" i="5"/>
  <c r="BR191" i="5"/>
  <c r="BS191" i="5"/>
  <c r="BT191" i="5"/>
  <c r="BU191" i="5"/>
  <c r="BV191" i="5"/>
  <c r="BW191" i="5"/>
  <c r="BX191" i="5"/>
  <c r="BY191" i="5"/>
  <c r="BZ191" i="5"/>
  <c r="CA191" i="5"/>
  <c r="CB191" i="5"/>
  <c r="CC191" i="5"/>
  <c r="CD191" i="5"/>
  <c r="CE191" i="5"/>
  <c r="CF191" i="5"/>
  <c r="CG191" i="5"/>
  <c r="CH191" i="5"/>
  <c r="CI191" i="5"/>
  <c r="CJ191" i="5"/>
  <c r="CK191" i="5"/>
  <c r="CL191" i="5"/>
  <c r="CM191" i="5"/>
  <c r="CN191" i="5"/>
  <c r="CO191" i="5"/>
  <c r="CP191" i="5"/>
  <c r="CQ191" i="5"/>
  <c r="CR191" i="5"/>
  <c r="CS191" i="5"/>
  <c r="CT191" i="5"/>
  <c r="CU191" i="5"/>
  <c r="CV191" i="5"/>
  <c r="CW191" i="5"/>
  <c r="CX191" i="5"/>
  <c r="CY191" i="5"/>
  <c r="CZ191" i="5"/>
  <c r="DA191" i="5"/>
  <c r="DB191" i="5"/>
  <c r="DC191" i="5"/>
  <c r="DD191" i="5"/>
  <c r="DE191" i="5"/>
  <c r="DF191" i="5"/>
  <c r="DG191" i="5"/>
  <c r="DH191" i="5"/>
  <c r="DI191" i="5"/>
  <c r="DJ191" i="5"/>
  <c r="DK191" i="5"/>
  <c r="DL191" i="5"/>
  <c r="DM191" i="5"/>
  <c r="DN191" i="5"/>
  <c r="DO191" i="5"/>
  <c r="DP191" i="5"/>
  <c r="DQ191" i="5"/>
  <c r="DR191" i="5"/>
  <c r="DS191" i="5"/>
  <c r="DT191" i="5"/>
  <c r="DU191" i="5"/>
  <c r="DV191" i="5"/>
  <c r="DW191" i="5"/>
  <c r="DX191" i="5"/>
  <c r="DY191" i="5"/>
  <c r="DZ191" i="5"/>
  <c r="EA191" i="5"/>
  <c r="EB191" i="5"/>
  <c r="EC191" i="5"/>
  <c r="ED191" i="5"/>
  <c r="EE191" i="5"/>
  <c r="EF191" i="5"/>
  <c r="EG191" i="5"/>
  <c r="EH191" i="5"/>
  <c r="EI191" i="5"/>
  <c r="EJ191" i="5"/>
  <c r="EK191" i="5"/>
  <c r="EL191" i="5"/>
  <c r="EM191" i="5"/>
  <c r="EN191" i="5"/>
  <c r="EO191" i="5"/>
  <c r="EP191" i="5"/>
  <c r="EQ191" i="5"/>
  <c r="ER191" i="5"/>
  <c r="ES191" i="5"/>
  <c r="ET191" i="5"/>
  <c r="EU191" i="5"/>
  <c r="EV191" i="5"/>
  <c r="EW191" i="5"/>
  <c r="EX191" i="5"/>
  <c r="EY191" i="5"/>
  <c r="EZ191" i="5"/>
  <c r="FA191" i="5"/>
  <c r="FB191" i="5"/>
  <c r="FC191" i="5"/>
  <c r="FD191" i="5"/>
  <c r="FE191" i="5"/>
  <c r="FF191" i="5"/>
  <c r="FG191" i="5"/>
  <c r="FH191" i="5"/>
  <c r="FI191" i="5"/>
  <c r="FJ191" i="5"/>
  <c r="FK191" i="5"/>
  <c r="FL191" i="5"/>
  <c r="FM191" i="5"/>
  <c r="FN191" i="5"/>
  <c r="FO191" i="5"/>
  <c r="FP191" i="5"/>
  <c r="FQ191" i="5"/>
  <c r="FR191" i="5"/>
  <c r="FS191" i="5"/>
  <c r="FT191" i="5"/>
  <c r="FU191" i="5"/>
  <c r="FV191" i="5"/>
  <c r="FW191" i="5"/>
  <c r="FX191" i="5"/>
  <c r="FY191" i="5"/>
  <c r="FZ191" i="5"/>
  <c r="GA191" i="5"/>
  <c r="GB191" i="5"/>
  <c r="GC191" i="5"/>
  <c r="GD191" i="5"/>
  <c r="GE191" i="5"/>
  <c r="GF191" i="5"/>
  <c r="GG191" i="5"/>
  <c r="GH191" i="5"/>
  <c r="GI191" i="5"/>
  <c r="GJ191" i="5"/>
  <c r="GK191" i="5"/>
  <c r="GL191" i="5"/>
  <c r="GM191" i="5"/>
  <c r="GN191" i="5"/>
  <c r="GO191" i="5"/>
  <c r="GP191" i="5"/>
  <c r="GQ191" i="5"/>
  <c r="GR191" i="5"/>
  <c r="GS191" i="5"/>
  <c r="GT191" i="5"/>
  <c r="GU191" i="5"/>
  <c r="GV191" i="5"/>
  <c r="GW191" i="5"/>
  <c r="GX191" i="5"/>
  <c r="GY191" i="5"/>
  <c r="GZ191" i="5"/>
  <c r="HA191" i="5"/>
  <c r="HB191" i="5"/>
  <c r="HC191" i="5"/>
  <c r="HD191" i="5"/>
  <c r="HE191" i="5"/>
  <c r="HF191" i="5"/>
  <c r="HG191" i="5"/>
  <c r="HH191" i="5"/>
  <c r="HI191" i="5"/>
  <c r="HJ191" i="5"/>
  <c r="HK191" i="5"/>
  <c r="HL191" i="5"/>
  <c r="HM191" i="5"/>
  <c r="HN191" i="5"/>
  <c r="HO191" i="5"/>
  <c r="HP191" i="5"/>
  <c r="HQ191" i="5"/>
  <c r="HR191" i="5"/>
  <c r="HS191" i="5"/>
  <c r="HT191" i="5"/>
  <c r="HU191" i="5"/>
  <c r="HV191" i="5"/>
  <c r="HW191" i="5"/>
  <c r="HX191" i="5"/>
  <c r="HY191" i="5"/>
  <c r="HZ191" i="5"/>
  <c r="IA191" i="5"/>
  <c r="IB191" i="5"/>
  <c r="IC191" i="5"/>
  <c r="ID191" i="5"/>
  <c r="IE191" i="5"/>
  <c r="IF191" i="5"/>
  <c r="IG191" i="5"/>
  <c r="IH191" i="5"/>
  <c r="II191" i="5"/>
  <c r="IJ191" i="5"/>
  <c r="IK191" i="5"/>
  <c r="IL191" i="5"/>
  <c r="IM191" i="5"/>
  <c r="IN191" i="5"/>
  <c r="IO191" i="5"/>
  <c r="IP191" i="5"/>
  <c r="IQ191" i="5"/>
  <c r="IR191" i="5"/>
  <c r="IS191" i="5"/>
  <c r="IT191" i="5"/>
  <c r="IU191" i="5"/>
  <c r="IV191" i="5"/>
  <c r="A190" i="5"/>
  <c r="B190" i="5"/>
  <c r="C190" i="5"/>
  <c r="D190" i="5"/>
  <c r="E190" i="5"/>
  <c r="F190" i="5"/>
  <c r="A189" i="5"/>
  <c r="B189" i="5"/>
  <c r="C189" i="5"/>
  <c r="A188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Q188" i="5"/>
  <c r="AR188" i="5"/>
  <c r="AS188" i="5"/>
  <c r="AT188" i="5"/>
  <c r="AU188" i="5"/>
  <c r="AV188" i="5"/>
  <c r="AW188" i="5"/>
  <c r="AX188" i="5"/>
  <c r="AY188" i="5"/>
  <c r="AZ188" i="5"/>
  <c r="BA188" i="5"/>
  <c r="BB188" i="5"/>
  <c r="BC188" i="5"/>
  <c r="BD188" i="5"/>
  <c r="BE188" i="5"/>
  <c r="BF188" i="5"/>
  <c r="BG188" i="5"/>
  <c r="BH188" i="5"/>
  <c r="BI188" i="5"/>
  <c r="BJ188" i="5"/>
  <c r="BK188" i="5"/>
  <c r="BL188" i="5"/>
  <c r="BM188" i="5"/>
  <c r="BN188" i="5"/>
  <c r="BO188" i="5"/>
  <c r="BP188" i="5"/>
  <c r="BQ188" i="5"/>
  <c r="BR188" i="5"/>
  <c r="BS188" i="5"/>
  <c r="BT188" i="5"/>
  <c r="BU188" i="5"/>
  <c r="BV188" i="5"/>
  <c r="BW188" i="5"/>
  <c r="BX188" i="5"/>
  <c r="BY188" i="5"/>
  <c r="BZ188" i="5"/>
  <c r="CA188" i="5"/>
  <c r="CB188" i="5"/>
  <c r="CC188" i="5"/>
  <c r="CD188" i="5"/>
  <c r="CE188" i="5"/>
  <c r="CF188" i="5"/>
  <c r="CG188" i="5"/>
  <c r="CH188" i="5"/>
  <c r="CI188" i="5"/>
  <c r="CJ188" i="5"/>
  <c r="CK188" i="5"/>
  <c r="CL188" i="5"/>
  <c r="CM188" i="5"/>
  <c r="CN188" i="5"/>
  <c r="CO188" i="5"/>
  <c r="CP188" i="5"/>
  <c r="CQ188" i="5"/>
  <c r="CR188" i="5"/>
  <c r="CS188" i="5"/>
  <c r="CT188" i="5"/>
  <c r="CU188" i="5"/>
  <c r="CV188" i="5"/>
  <c r="CW188" i="5"/>
  <c r="CX188" i="5"/>
  <c r="CY188" i="5"/>
  <c r="CZ188" i="5"/>
  <c r="DA188" i="5"/>
  <c r="DB188" i="5"/>
  <c r="DC188" i="5"/>
  <c r="DD188" i="5"/>
  <c r="DE188" i="5"/>
  <c r="DF188" i="5"/>
  <c r="DG188" i="5"/>
  <c r="DH188" i="5"/>
  <c r="DI188" i="5"/>
  <c r="DJ188" i="5"/>
  <c r="DK188" i="5"/>
  <c r="DL188" i="5"/>
  <c r="DM188" i="5"/>
  <c r="DN188" i="5"/>
  <c r="DO188" i="5"/>
  <c r="DP188" i="5"/>
  <c r="DQ188" i="5"/>
  <c r="DR188" i="5"/>
  <c r="DS188" i="5"/>
  <c r="DT188" i="5"/>
  <c r="DU188" i="5"/>
  <c r="DV188" i="5"/>
  <c r="DW188" i="5"/>
  <c r="DX188" i="5"/>
  <c r="DY188" i="5"/>
  <c r="DZ188" i="5"/>
  <c r="EA188" i="5"/>
  <c r="EB188" i="5"/>
  <c r="EC188" i="5"/>
  <c r="ED188" i="5"/>
  <c r="EE188" i="5"/>
  <c r="EF188" i="5"/>
  <c r="EG188" i="5"/>
  <c r="EH188" i="5"/>
  <c r="EI188" i="5"/>
  <c r="EJ188" i="5"/>
  <c r="EK188" i="5"/>
  <c r="EL188" i="5"/>
  <c r="EM188" i="5"/>
  <c r="EN188" i="5"/>
  <c r="EO188" i="5"/>
  <c r="EP188" i="5"/>
  <c r="EQ188" i="5"/>
  <c r="ER188" i="5"/>
  <c r="ES188" i="5"/>
  <c r="ET188" i="5"/>
  <c r="EU188" i="5"/>
  <c r="EV188" i="5"/>
  <c r="EW188" i="5"/>
  <c r="EX188" i="5"/>
  <c r="EY188" i="5"/>
  <c r="EZ188" i="5"/>
  <c r="FA188" i="5"/>
  <c r="FB188" i="5"/>
  <c r="FC188" i="5"/>
  <c r="FD188" i="5"/>
  <c r="FE188" i="5"/>
  <c r="FF188" i="5"/>
  <c r="FG188" i="5"/>
  <c r="FH188" i="5"/>
  <c r="FI188" i="5"/>
  <c r="FJ188" i="5"/>
  <c r="FK188" i="5"/>
  <c r="FL188" i="5"/>
  <c r="FM188" i="5"/>
  <c r="FN188" i="5"/>
  <c r="FO188" i="5"/>
  <c r="FP188" i="5"/>
  <c r="FQ188" i="5"/>
  <c r="FR188" i="5"/>
  <c r="FS188" i="5"/>
  <c r="FT188" i="5"/>
  <c r="FU188" i="5"/>
  <c r="FV188" i="5"/>
  <c r="FW188" i="5"/>
  <c r="FX188" i="5"/>
  <c r="FY188" i="5"/>
  <c r="FZ188" i="5"/>
  <c r="GA188" i="5"/>
  <c r="GB188" i="5"/>
  <c r="GC188" i="5"/>
  <c r="GD188" i="5"/>
  <c r="GE188" i="5"/>
  <c r="GF188" i="5"/>
  <c r="GG188" i="5"/>
  <c r="GH188" i="5"/>
  <c r="GI188" i="5"/>
  <c r="GJ188" i="5"/>
  <c r="GK188" i="5"/>
  <c r="GL188" i="5"/>
  <c r="GM188" i="5"/>
  <c r="GN188" i="5"/>
  <c r="GO188" i="5"/>
  <c r="A186" i="5" l="1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AQ186" i="5"/>
  <c r="AR186" i="5"/>
  <c r="AS186" i="5"/>
  <c r="AT186" i="5"/>
  <c r="AU186" i="5"/>
  <c r="AV186" i="5"/>
  <c r="AW186" i="5"/>
  <c r="AX186" i="5"/>
  <c r="AY186" i="5"/>
  <c r="A185" i="5" l="1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Q185" i="5"/>
  <c r="AR185" i="5"/>
  <c r="AS185" i="5"/>
  <c r="AT185" i="5"/>
  <c r="AU185" i="5"/>
  <c r="AV185" i="5"/>
  <c r="AW185" i="5"/>
  <c r="AX185" i="5"/>
  <c r="AY185" i="5"/>
  <c r="AZ185" i="5"/>
  <c r="BA185" i="5"/>
  <c r="BB185" i="5"/>
  <c r="BC185" i="5"/>
  <c r="BD185" i="5"/>
  <c r="BE185" i="5"/>
  <c r="BF185" i="5"/>
  <c r="BG185" i="5"/>
  <c r="BH185" i="5"/>
  <c r="BI185" i="5"/>
  <c r="BJ185" i="5"/>
  <c r="BK185" i="5"/>
  <c r="BL185" i="5"/>
  <c r="BM185" i="5"/>
  <c r="BN185" i="5"/>
  <c r="BO185" i="5"/>
  <c r="BP185" i="5"/>
  <c r="BQ185" i="5"/>
  <c r="BR185" i="5"/>
  <c r="BS185" i="5"/>
  <c r="BT185" i="5"/>
  <c r="BU185" i="5"/>
  <c r="BV185" i="5"/>
  <c r="BW185" i="5"/>
  <c r="BX185" i="5"/>
  <c r="BY185" i="5"/>
  <c r="BZ185" i="5"/>
  <c r="CA185" i="5"/>
  <c r="CB185" i="5"/>
  <c r="CC185" i="5"/>
  <c r="CD185" i="5"/>
  <c r="CE185" i="5"/>
  <c r="CF185" i="5"/>
  <c r="CG185" i="5"/>
  <c r="CH185" i="5"/>
  <c r="CI185" i="5"/>
  <c r="CJ185" i="5"/>
  <c r="CK185" i="5"/>
  <c r="CL185" i="5"/>
  <c r="CM185" i="5"/>
  <c r="CN185" i="5"/>
  <c r="CO185" i="5"/>
  <c r="CP185" i="5"/>
  <c r="CQ185" i="5"/>
  <c r="CR185" i="5"/>
  <c r="CS185" i="5"/>
  <c r="CT185" i="5"/>
  <c r="CU185" i="5"/>
  <c r="CV185" i="5"/>
  <c r="CW185" i="5"/>
  <c r="CX185" i="5"/>
  <c r="CY185" i="5"/>
  <c r="CZ185" i="5"/>
  <c r="DA185" i="5"/>
  <c r="DB185" i="5"/>
  <c r="DC185" i="5"/>
  <c r="DD185" i="5"/>
  <c r="DE185" i="5"/>
  <c r="DF185" i="5"/>
  <c r="DG185" i="5"/>
  <c r="DH185" i="5"/>
  <c r="DI185" i="5"/>
  <c r="DJ185" i="5"/>
  <c r="DK185" i="5"/>
  <c r="DL185" i="5"/>
  <c r="DM185" i="5"/>
  <c r="DN185" i="5"/>
  <c r="DO185" i="5"/>
  <c r="DP185" i="5"/>
  <c r="DQ185" i="5"/>
  <c r="DR185" i="5"/>
  <c r="DS185" i="5"/>
  <c r="DT185" i="5"/>
  <c r="DU185" i="5"/>
  <c r="DV185" i="5"/>
  <c r="DW185" i="5"/>
  <c r="DX185" i="5"/>
  <c r="DY185" i="5"/>
  <c r="DZ185" i="5"/>
  <c r="EA185" i="5"/>
  <c r="EB185" i="5"/>
  <c r="EC185" i="5"/>
  <c r="ED185" i="5"/>
  <c r="EE185" i="5"/>
  <c r="EF185" i="5"/>
  <c r="EG185" i="5"/>
  <c r="EH185" i="5"/>
  <c r="A184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AQ184" i="5"/>
  <c r="AR184" i="5"/>
  <c r="AS184" i="5"/>
  <c r="AT184" i="5"/>
  <c r="AU184" i="5"/>
  <c r="AV184" i="5"/>
  <c r="AW184" i="5"/>
  <c r="AX184" i="5"/>
  <c r="AY184" i="5"/>
  <c r="AZ184" i="5"/>
  <c r="BA184" i="5"/>
  <c r="BB184" i="5"/>
  <c r="BC184" i="5"/>
  <c r="BD184" i="5"/>
  <c r="BE184" i="5"/>
  <c r="BF184" i="5"/>
  <c r="BG184" i="5"/>
  <c r="BH184" i="5"/>
  <c r="BI184" i="5"/>
  <c r="BJ184" i="5"/>
  <c r="BK184" i="5"/>
  <c r="BL184" i="5"/>
  <c r="BM184" i="5"/>
  <c r="BN184" i="5"/>
  <c r="BO184" i="5"/>
  <c r="BP184" i="5"/>
  <c r="BQ184" i="5"/>
  <c r="BR184" i="5"/>
  <c r="BS184" i="5"/>
  <c r="BT184" i="5"/>
  <c r="BU184" i="5"/>
  <c r="BV184" i="5"/>
  <c r="BW184" i="5"/>
  <c r="BX184" i="5"/>
  <c r="BY184" i="5"/>
  <c r="BZ184" i="5"/>
  <c r="CA184" i="5"/>
  <c r="CB184" i="5"/>
  <c r="CC184" i="5"/>
  <c r="CD184" i="5"/>
  <c r="CE184" i="5"/>
  <c r="CF184" i="5"/>
  <c r="CG184" i="5"/>
  <c r="CH184" i="5"/>
  <c r="CI184" i="5"/>
  <c r="CJ184" i="5"/>
  <c r="CK184" i="5"/>
  <c r="CL184" i="5"/>
  <c r="CM184" i="5"/>
  <c r="CN184" i="5"/>
  <c r="CO184" i="5"/>
  <c r="CP184" i="5"/>
  <c r="CQ184" i="5"/>
  <c r="CR184" i="5"/>
  <c r="CS184" i="5"/>
  <c r="CT184" i="5"/>
  <c r="CU184" i="5"/>
  <c r="CV184" i="5"/>
  <c r="CW184" i="5"/>
  <c r="CX184" i="5"/>
  <c r="CY184" i="5"/>
  <c r="CZ184" i="5"/>
  <c r="DA184" i="5"/>
  <c r="DB184" i="5"/>
  <c r="DC184" i="5"/>
  <c r="DD184" i="5"/>
  <c r="DE184" i="5"/>
  <c r="DF184" i="5"/>
  <c r="DG184" i="5"/>
  <c r="DH184" i="5"/>
  <c r="DI184" i="5"/>
  <c r="DJ184" i="5"/>
  <c r="DK184" i="5"/>
  <c r="DL184" i="5"/>
  <c r="DM184" i="5"/>
  <c r="DN184" i="5"/>
  <c r="DO184" i="5"/>
  <c r="DP184" i="5"/>
  <c r="DQ184" i="5"/>
  <c r="DR184" i="5"/>
  <c r="DS184" i="5"/>
  <c r="DT184" i="5"/>
  <c r="DU184" i="5"/>
  <c r="DV184" i="5"/>
  <c r="DW184" i="5"/>
  <c r="DX184" i="5"/>
  <c r="DY184" i="5"/>
  <c r="DZ184" i="5"/>
  <c r="EA184" i="5"/>
  <c r="EB184" i="5"/>
  <c r="EC184" i="5"/>
  <c r="ED184" i="5"/>
  <c r="EE184" i="5"/>
  <c r="EF184" i="5"/>
  <c r="EG184" i="5"/>
  <c r="EH184" i="5"/>
  <c r="EI184" i="5"/>
  <c r="EJ184" i="5"/>
  <c r="EK184" i="5"/>
  <c r="EL184" i="5"/>
  <c r="EM184" i="5"/>
  <c r="EN184" i="5"/>
  <c r="EO184" i="5"/>
  <c r="EP184" i="5"/>
  <c r="EQ184" i="5"/>
  <c r="ER184" i="5"/>
  <c r="ES184" i="5"/>
  <c r="ET184" i="5"/>
  <c r="EU184" i="5"/>
  <c r="EV184" i="5"/>
  <c r="EW184" i="5"/>
  <c r="EX184" i="5"/>
  <c r="EY184" i="5"/>
  <c r="EZ184" i="5"/>
  <c r="FA184" i="5"/>
  <c r="FB184" i="5"/>
  <c r="FC184" i="5"/>
  <c r="FD184" i="5"/>
  <c r="FE184" i="5"/>
  <c r="FF184" i="5"/>
  <c r="FG184" i="5"/>
  <c r="FH184" i="5"/>
  <c r="FI184" i="5"/>
  <c r="FJ184" i="5"/>
  <c r="FK184" i="5"/>
  <c r="FL184" i="5"/>
  <c r="FM184" i="5"/>
  <c r="FN184" i="5"/>
  <c r="FO184" i="5"/>
  <c r="FP184" i="5"/>
  <c r="FQ184" i="5"/>
  <c r="FR184" i="5"/>
  <c r="FS184" i="5"/>
  <c r="FT184" i="5"/>
  <c r="FU184" i="5"/>
  <c r="FV184" i="5"/>
  <c r="FW184" i="5"/>
  <c r="FX184" i="5"/>
  <c r="FY184" i="5"/>
  <c r="FZ184" i="5"/>
  <c r="GA184" i="5"/>
  <c r="GB184" i="5"/>
  <c r="GC184" i="5"/>
  <c r="GD184" i="5"/>
  <c r="GE184" i="5"/>
  <c r="GF184" i="5"/>
  <c r="GG184" i="5"/>
  <c r="GH184" i="5"/>
  <c r="GI184" i="5"/>
  <c r="GJ184" i="5"/>
  <c r="GK184" i="5"/>
  <c r="GL184" i="5"/>
  <c r="GM184" i="5"/>
  <c r="GN184" i="5"/>
  <c r="GO184" i="5"/>
  <c r="GP184" i="5"/>
  <c r="GQ184" i="5"/>
  <c r="GR184" i="5"/>
  <c r="GS184" i="5"/>
  <c r="GT184" i="5"/>
  <c r="GU184" i="5"/>
  <c r="GV184" i="5"/>
  <c r="GW184" i="5"/>
  <c r="GX184" i="5"/>
  <c r="GY184" i="5"/>
  <c r="GZ184" i="5"/>
  <c r="HA184" i="5"/>
  <c r="HB184" i="5"/>
  <c r="HC184" i="5"/>
  <c r="HD184" i="5"/>
  <c r="HE184" i="5"/>
  <c r="HF184" i="5"/>
  <c r="HG184" i="5"/>
  <c r="HH184" i="5"/>
  <c r="HI184" i="5"/>
  <c r="HJ184" i="5"/>
  <c r="HK184" i="5"/>
  <c r="HL184" i="5"/>
  <c r="HM184" i="5"/>
  <c r="HN184" i="5"/>
  <c r="HO184" i="5"/>
  <c r="HP184" i="5"/>
  <c r="HQ184" i="5"/>
  <c r="HR184" i="5"/>
  <c r="HS184" i="5"/>
  <c r="HT184" i="5"/>
  <c r="HU184" i="5"/>
  <c r="HV184" i="5"/>
  <c r="HW184" i="5"/>
  <c r="HX184" i="5"/>
  <c r="HY184" i="5"/>
  <c r="HZ184" i="5"/>
  <c r="IA184" i="5"/>
  <c r="IB184" i="5"/>
  <c r="IC184" i="5"/>
  <c r="ID184" i="5"/>
  <c r="IE184" i="5"/>
  <c r="IF184" i="5"/>
  <c r="IG184" i="5"/>
  <c r="IH184" i="5"/>
  <c r="II184" i="5"/>
  <c r="IJ184" i="5"/>
  <c r="IK184" i="5"/>
  <c r="IL184" i="5"/>
  <c r="IM184" i="5"/>
  <c r="IN184" i="5"/>
  <c r="IO184" i="5"/>
  <c r="IP184" i="5"/>
  <c r="IQ184" i="5"/>
  <c r="IR184" i="5"/>
  <c r="IS184" i="5"/>
  <c r="IT184" i="5"/>
  <c r="IU184" i="5"/>
  <c r="IV184" i="5"/>
  <c r="A183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AQ183" i="5"/>
  <c r="AR183" i="5"/>
  <c r="AS183" i="5"/>
  <c r="AT183" i="5"/>
  <c r="AU183" i="5"/>
  <c r="AV183" i="5"/>
  <c r="AW183" i="5"/>
  <c r="AX183" i="5"/>
  <c r="AY183" i="5"/>
  <c r="AZ183" i="5"/>
  <c r="BA183" i="5"/>
  <c r="BB183" i="5"/>
  <c r="BC183" i="5"/>
  <c r="BD183" i="5"/>
  <c r="BE183" i="5"/>
  <c r="BF183" i="5"/>
  <c r="BG183" i="5"/>
  <c r="BH183" i="5"/>
  <c r="BI183" i="5"/>
  <c r="BJ183" i="5"/>
  <c r="BK183" i="5"/>
  <c r="BL183" i="5"/>
  <c r="BM183" i="5"/>
  <c r="BN183" i="5"/>
  <c r="BO183" i="5"/>
  <c r="BP183" i="5"/>
  <c r="BQ183" i="5"/>
  <c r="BR183" i="5"/>
  <c r="BS183" i="5"/>
  <c r="BT183" i="5"/>
  <c r="BU183" i="5"/>
  <c r="BV183" i="5"/>
  <c r="BW183" i="5"/>
  <c r="BX183" i="5"/>
  <c r="BY183" i="5"/>
  <c r="BZ183" i="5"/>
  <c r="CA183" i="5"/>
  <c r="CB183" i="5"/>
  <c r="CC183" i="5"/>
  <c r="CD183" i="5"/>
  <c r="CE183" i="5"/>
  <c r="CF183" i="5"/>
  <c r="CG183" i="5"/>
  <c r="CH183" i="5"/>
  <c r="CI183" i="5"/>
  <c r="CJ183" i="5"/>
  <c r="CK183" i="5"/>
  <c r="CL183" i="5"/>
  <c r="CM183" i="5"/>
  <c r="CN183" i="5"/>
  <c r="CO183" i="5"/>
  <c r="CP183" i="5"/>
  <c r="CQ183" i="5"/>
  <c r="CR183" i="5"/>
  <c r="CS183" i="5"/>
  <c r="CT183" i="5"/>
  <c r="CU183" i="5"/>
  <c r="CV183" i="5"/>
  <c r="CW183" i="5"/>
  <c r="CX183" i="5"/>
  <c r="CY183" i="5"/>
  <c r="CZ183" i="5"/>
  <c r="DA183" i="5"/>
  <c r="DB183" i="5"/>
  <c r="DC183" i="5"/>
  <c r="DD183" i="5"/>
  <c r="DE183" i="5"/>
  <c r="DF183" i="5"/>
  <c r="DG183" i="5"/>
  <c r="DH183" i="5"/>
  <c r="DI183" i="5"/>
  <c r="DJ183" i="5"/>
  <c r="DK183" i="5"/>
  <c r="DL183" i="5"/>
  <c r="DM183" i="5"/>
  <c r="DN183" i="5"/>
  <c r="DO183" i="5"/>
  <c r="DP183" i="5"/>
  <c r="DQ183" i="5"/>
  <c r="DR183" i="5"/>
  <c r="DS183" i="5"/>
  <c r="DT183" i="5"/>
  <c r="DU183" i="5"/>
  <c r="DV183" i="5"/>
  <c r="DW183" i="5"/>
  <c r="DX183" i="5"/>
  <c r="DY183" i="5"/>
  <c r="DZ183" i="5"/>
  <c r="EA183" i="5"/>
  <c r="EB183" i="5"/>
  <c r="EC183" i="5"/>
  <c r="ED183" i="5"/>
  <c r="EE183" i="5"/>
  <c r="EF183" i="5"/>
  <c r="EG183" i="5"/>
  <c r="EH183" i="5"/>
  <c r="EI183" i="5"/>
  <c r="EJ183" i="5"/>
  <c r="EK183" i="5"/>
  <c r="EL183" i="5"/>
  <c r="EM183" i="5"/>
  <c r="EN183" i="5"/>
  <c r="EO183" i="5"/>
  <c r="EP183" i="5"/>
  <c r="EQ183" i="5"/>
  <c r="ER183" i="5"/>
  <c r="ES183" i="5"/>
  <c r="ET183" i="5"/>
  <c r="EU183" i="5"/>
  <c r="EV183" i="5"/>
  <c r="EW183" i="5"/>
  <c r="EX183" i="5"/>
  <c r="EY183" i="5"/>
  <c r="EZ183" i="5"/>
  <c r="FA183" i="5"/>
  <c r="FB183" i="5"/>
  <c r="FC183" i="5"/>
  <c r="FD183" i="5"/>
  <c r="FE183" i="5"/>
  <c r="FF183" i="5"/>
  <c r="FG183" i="5"/>
  <c r="FH183" i="5"/>
  <c r="FI183" i="5"/>
  <c r="FJ183" i="5"/>
  <c r="FK183" i="5"/>
  <c r="FL183" i="5"/>
  <c r="FM183" i="5"/>
  <c r="FN183" i="5"/>
  <c r="FO183" i="5"/>
  <c r="FP183" i="5"/>
  <c r="FQ183" i="5"/>
  <c r="FR183" i="5"/>
  <c r="FS183" i="5"/>
  <c r="FT183" i="5"/>
  <c r="FU183" i="5"/>
  <c r="FV183" i="5"/>
  <c r="FW183" i="5"/>
  <c r="FX183" i="5"/>
  <c r="FY183" i="5"/>
  <c r="FZ183" i="5"/>
  <c r="GA183" i="5"/>
  <c r="GB183" i="5"/>
  <c r="GC183" i="5"/>
  <c r="GD183" i="5"/>
  <c r="GE183" i="5"/>
  <c r="GF183" i="5"/>
  <c r="GG183" i="5"/>
  <c r="GH183" i="5"/>
  <c r="GI183" i="5"/>
  <c r="GJ183" i="5"/>
  <c r="GK183" i="5"/>
  <c r="GL183" i="5"/>
  <c r="GM183" i="5"/>
  <c r="GN183" i="5"/>
  <c r="GO183" i="5"/>
  <c r="GP183" i="5"/>
  <c r="GQ183" i="5"/>
  <c r="GR183" i="5"/>
  <c r="GS183" i="5"/>
  <c r="GT183" i="5"/>
  <c r="GU183" i="5"/>
  <c r="GV183" i="5"/>
  <c r="GW183" i="5"/>
  <c r="GX183" i="5"/>
  <c r="GY183" i="5"/>
  <c r="GZ183" i="5"/>
  <c r="HA183" i="5"/>
  <c r="HB183" i="5"/>
  <c r="HC183" i="5"/>
  <c r="HD183" i="5"/>
  <c r="HE183" i="5"/>
  <c r="HF183" i="5"/>
  <c r="HG183" i="5"/>
  <c r="HH183" i="5"/>
  <c r="HI183" i="5"/>
  <c r="HJ183" i="5"/>
  <c r="HK183" i="5"/>
  <c r="HL183" i="5"/>
  <c r="HM183" i="5"/>
  <c r="HN183" i="5"/>
  <c r="HO183" i="5"/>
  <c r="HP183" i="5"/>
  <c r="HQ183" i="5"/>
  <c r="HR183" i="5"/>
  <c r="HS183" i="5"/>
  <c r="HT183" i="5"/>
  <c r="HU183" i="5"/>
  <c r="HV183" i="5"/>
  <c r="HW183" i="5"/>
  <c r="HX183" i="5"/>
  <c r="HY183" i="5"/>
  <c r="HZ183" i="5"/>
  <c r="IA183" i="5"/>
  <c r="IB183" i="5"/>
  <c r="IC183" i="5"/>
  <c r="ID183" i="5"/>
  <c r="IE183" i="5"/>
  <c r="IF183" i="5"/>
  <c r="IG183" i="5"/>
  <c r="IH183" i="5"/>
  <c r="II183" i="5"/>
  <c r="IJ183" i="5"/>
  <c r="IK183" i="5"/>
  <c r="IL183" i="5"/>
  <c r="IM183" i="5"/>
  <c r="IN183" i="5"/>
  <c r="IO183" i="5"/>
  <c r="IP183" i="5"/>
  <c r="IQ183" i="5"/>
  <c r="IR183" i="5"/>
  <c r="IS183" i="5"/>
  <c r="IT183" i="5"/>
  <c r="IU183" i="5"/>
  <c r="IV183" i="5"/>
  <c r="A182" i="5" l="1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AQ182" i="5"/>
  <c r="AR182" i="5"/>
  <c r="AS182" i="5"/>
  <c r="AT182" i="5"/>
  <c r="AU182" i="5"/>
  <c r="AV182" i="5"/>
  <c r="AW182" i="5"/>
  <c r="AX182" i="5"/>
  <c r="AY182" i="5"/>
  <c r="AZ182" i="5"/>
  <c r="BA182" i="5"/>
  <c r="BB182" i="5"/>
  <c r="BC182" i="5"/>
  <c r="BD182" i="5"/>
  <c r="BE182" i="5"/>
  <c r="BF182" i="5"/>
  <c r="BG182" i="5"/>
  <c r="BH182" i="5"/>
  <c r="BI182" i="5"/>
  <c r="BJ182" i="5"/>
  <c r="BK182" i="5"/>
  <c r="BL182" i="5"/>
  <c r="BM182" i="5"/>
  <c r="BN182" i="5"/>
  <c r="BO182" i="5"/>
  <c r="BP182" i="5"/>
  <c r="BQ182" i="5"/>
  <c r="BR182" i="5"/>
  <c r="BS182" i="5"/>
  <c r="BT182" i="5"/>
  <c r="BU182" i="5"/>
  <c r="BV182" i="5"/>
  <c r="BW182" i="5"/>
  <c r="BX182" i="5"/>
  <c r="BY182" i="5"/>
  <c r="BZ182" i="5"/>
  <c r="CA182" i="5"/>
  <c r="CB182" i="5"/>
  <c r="CC182" i="5"/>
  <c r="CD182" i="5"/>
  <c r="CE182" i="5"/>
  <c r="CF182" i="5"/>
  <c r="CG182" i="5"/>
  <c r="CH182" i="5"/>
  <c r="CI182" i="5"/>
  <c r="CJ182" i="5"/>
  <c r="CK182" i="5"/>
  <c r="CL182" i="5"/>
  <c r="CM182" i="5"/>
  <c r="CN182" i="5"/>
  <c r="CO182" i="5"/>
  <c r="CP182" i="5"/>
  <c r="CQ182" i="5"/>
  <c r="CR182" i="5"/>
  <c r="CS182" i="5"/>
  <c r="CT182" i="5"/>
  <c r="CU182" i="5"/>
  <c r="CV182" i="5"/>
  <c r="CW182" i="5"/>
  <c r="CX182" i="5"/>
  <c r="CY182" i="5"/>
  <c r="CZ182" i="5"/>
  <c r="DA182" i="5"/>
  <c r="DB182" i="5"/>
  <c r="DC182" i="5"/>
  <c r="DD182" i="5"/>
  <c r="DE182" i="5"/>
  <c r="DF182" i="5"/>
  <c r="DG182" i="5"/>
  <c r="DH182" i="5"/>
  <c r="DI182" i="5"/>
  <c r="DJ182" i="5"/>
  <c r="DK182" i="5"/>
  <c r="DL182" i="5"/>
  <c r="DM182" i="5"/>
  <c r="DN182" i="5"/>
  <c r="DO182" i="5"/>
  <c r="DP182" i="5"/>
  <c r="DQ182" i="5"/>
  <c r="DR182" i="5"/>
  <c r="DS182" i="5"/>
  <c r="DT182" i="5"/>
  <c r="DU182" i="5"/>
  <c r="DV182" i="5"/>
  <c r="DW182" i="5"/>
  <c r="DX182" i="5"/>
  <c r="DY182" i="5"/>
  <c r="DZ182" i="5"/>
  <c r="EA182" i="5"/>
  <c r="EB182" i="5"/>
  <c r="EC182" i="5"/>
  <c r="ED182" i="5"/>
  <c r="EE182" i="5"/>
  <c r="EF182" i="5"/>
  <c r="EG182" i="5"/>
  <c r="EH182" i="5"/>
  <c r="EI182" i="5"/>
  <c r="EJ182" i="5"/>
  <c r="EK182" i="5"/>
  <c r="EL182" i="5"/>
  <c r="EM182" i="5"/>
  <c r="EN182" i="5"/>
  <c r="EO182" i="5"/>
  <c r="EP182" i="5"/>
  <c r="EQ182" i="5"/>
  <c r="ER182" i="5"/>
  <c r="ES182" i="5"/>
  <c r="ET182" i="5"/>
  <c r="EU182" i="5"/>
  <c r="EV182" i="5"/>
  <c r="EW182" i="5"/>
  <c r="EX182" i="5"/>
  <c r="EY182" i="5"/>
  <c r="EZ182" i="5"/>
  <c r="FA182" i="5"/>
  <c r="FB182" i="5"/>
  <c r="FC182" i="5"/>
  <c r="FD182" i="5"/>
  <c r="FE182" i="5"/>
  <c r="FF182" i="5"/>
  <c r="FG182" i="5"/>
  <c r="FH182" i="5"/>
  <c r="FI182" i="5"/>
  <c r="FJ182" i="5"/>
  <c r="FK182" i="5"/>
  <c r="FL182" i="5"/>
  <c r="FM182" i="5"/>
  <c r="FN182" i="5"/>
  <c r="FO182" i="5"/>
  <c r="FP182" i="5"/>
  <c r="FQ182" i="5"/>
  <c r="FR182" i="5"/>
  <c r="FS182" i="5"/>
  <c r="FT182" i="5"/>
  <c r="FU182" i="5"/>
  <c r="FV182" i="5"/>
  <c r="FW182" i="5"/>
  <c r="FX182" i="5"/>
  <c r="FY182" i="5"/>
  <c r="FZ182" i="5"/>
  <c r="GA182" i="5"/>
  <c r="GB182" i="5"/>
  <c r="GC182" i="5"/>
  <c r="GD182" i="5"/>
  <c r="GE182" i="5"/>
  <c r="GF182" i="5"/>
  <c r="GG182" i="5"/>
  <c r="GH182" i="5"/>
  <c r="GI182" i="5"/>
  <c r="GJ182" i="5"/>
  <c r="GK182" i="5"/>
  <c r="GL182" i="5"/>
  <c r="GM182" i="5"/>
  <c r="GN182" i="5"/>
  <c r="GO182" i="5"/>
  <c r="GP182" i="5"/>
  <c r="GQ182" i="5"/>
  <c r="GR182" i="5"/>
  <c r="GS182" i="5"/>
  <c r="GT182" i="5"/>
  <c r="GU182" i="5"/>
  <c r="GV182" i="5"/>
  <c r="GW182" i="5"/>
  <c r="GX182" i="5"/>
  <c r="GY182" i="5"/>
  <c r="GZ182" i="5"/>
  <c r="HA182" i="5"/>
  <c r="HB182" i="5"/>
  <c r="HC182" i="5"/>
  <c r="HD182" i="5"/>
  <c r="HE182" i="5"/>
  <c r="HF182" i="5"/>
  <c r="HG182" i="5"/>
  <c r="HH182" i="5"/>
  <c r="HI182" i="5"/>
  <c r="HJ182" i="5"/>
  <c r="HK182" i="5"/>
  <c r="HL182" i="5"/>
  <c r="HM182" i="5"/>
  <c r="HN182" i="5"/>
  <c r="HO182" i="5"/>
  <c r="HP182" i="5"/>
  <c r="HQ182" i="5"/>
  <c r="HR182" i="5"/>
  <c r="HS182" i="5"/>
  <c r="HT182" i="5"/>
  <c r="HU182" i="5"/>
  <c r="HV182" i="5"/>
  <c r="HW182" i="5"/>
  <c r="HX182" i="5"/>
  <c r="HY182" i="5"/>
  <c r="HZ182" i="5"/>
  <c r="IA182" i="5"/>
  <c r="IB182" i="5"/>
  <c r="IC182" i="5"/>
  <c r="ID182" i="5"/>
  <c r="IE182" i="5"/>
  <c r="IF182" i="5"/>
  <c r="IG182" i="5"/>
  <c r="IH182" i="5"/>
  <c r="II182" i="5"/>
  <c r="IJ182" i="5"/>
  <c r="IK182" i="5"/>
  <c r="IL182" i="5"/>
  <c r="IM182" i="5"/>
  <c r="IN182" i="5"/>
  <c r="A181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AQ181" i="5"/>
  <c r="AR181" i="5"/>
  <c r="AS181" i="5"/>
  <c r="AT181" i="5"/>
  <c r="AU181" i="5"/>
  <c r="AV181" i="5"/>
  <c r="AW181" i="5"/>
  <c r="AX181" i="5"/>
  <c r="AY181" i="5"/>
  <c r="AZ181" i="5"/>
  <c r="BA181" i="5"/>
  <c r="BB181" i="5"/>
  <c r="BC181" i="5"/>
  <c r="BD181" i="5"/>
  <c r="BE181" i="5"/>
  <c r="BF181" i="5"/>
  <c r="BG181" i="5"/>
  <c r="BH181" i="5"/>
  <c r="BI181" i="5"/>
  <c r="BJ181" i="5"/>
  <c r="BK181" i="5"/>
  <c r="BL181" i="5"/>
  <c r="BM181" i="5"/>
  <c r="BN181" i="5"/>
  <c r="BO181" i="5"/>
  <c r="BP181" i="5"/>
  <c r="BQ181" i="5"/>
  <c r="BR181" i="5"/>
  <c r="BS181" i="5"/>
  <c r="BT181" i="5"/>
  <c r="BU181" i="5"/>
  <c r="BV181" i="5"/>
  <c r="BW181" i="5"/>
  <c r="BX181" i="5"/>
  <c r="BY181" i="5"/>
  <c r="BZ181" i="5"/>
  <c r="CA181" i="5"/>
  <c r="CB181" i="5"/>
  <c r="CC181" i="5"/>
  <c r="CD181" i="5"/>
  <c r="CE181" i="5"/>
  <c r="CF181" i="5"/>
  <c r="CG181" i="5"/>
  <c r="CH181" i="5"/>
  <c r="CI181" i="5"/>
  <c r="CJ181" i="5"/>
  <c r="CK181" i="5"/>
  <c r="CL181" i="5"/>
  <c r="CM181" i="5"/>
  <c r="CN181" i="5"/>
  <c r="CO181" i="5"/>
  <c r="CP181" i="5"/>
  <c r="CQ181" i="5"/>
  <c r="CR181" i="5"/>
  <c r="CS181" i="5"/>
  <c r="CT181" i="5"/>
  <c r="CU181" i="5"/>
  <c r="CV181" i="5"/>
  <c r="CW181" i="5"/>
  <c r="CX181" i="5"/>
  <c r="CY181" i="5"/>
  <c r="CZ181" i="5"/>
  <c r="DA181" i="5"/>
  <c r="DB181" i="5"/>
  <c r="DC181" i="5"/>
  <c r="DD181" i="5"/>
  <c r="DE181" i="5"/>
  <c r="DF181" i="5"/>
  <c r="DG181" i="5"/>
  <c r="DH181" i="5"/>
  <c r="DI181" i="5"/>
  <c r="DJ181" i="5"/>
  <c r="DK181" i="5"/>
  <c r="DL181" i="5"/>
  <c r="DM181" i="5"/>
  <c r="DN181" i="5"/>
  <c r="DO181" i="5"/>
  <c r="DP181" i="5"/>
  <c r="DQ181" i="5"/>
  <c r="DR181" i="5"/>
  <c r="DS181" i="5"/>
  <c r="DT181" i="5"/>
  <c r="DU181" i="5"/>
  <c r="DV181" i="5"/>
  <c r="DW181" i="5"/>
  <c r="DX181" i="5"/>
  <c r="DY181" i="5"/>
  <c r="DZ181" i="5"/>
  <c r="EA181" i="5"/>
  <c r="EB181" i="5"/>
  <c r="EC181" i="5"/>
  <c r="ED181" i="5"/>
  <c r="EE181" i="5"/>
  <c r="EF181" i="5"/>
  <c r="EG181" i="5"/>
  <c r="EH181" i="5"/>
  <c r="EI181" i="5"/>
  <c r="EJ181" i="5"/>
  <c r="EK181" i="5"/>
  <c r="EL181" i="5"/>
  <c r="EM181" i="5"/>
  <c r="EN181" i="5"/>
  <c r="EO181" i="5"/>
  <c r="EP181" i="5"/>
  <c r="EQ181" i="5"/>
  <c r="ER181" i="5"/>
  <c r="ES181" i="5"/>
  <c r="ET181" i="5"/>
  <c r="EU181" i="5"/>
  <c r="EV181" i="5"/>
  <c r="EW181" i="5"/>
  <c r="EX181" i="5"/>
  <c r="EY181" i="5"/>
  <c r="EZ181" i="5"/>
  <c r="FA181" i="5"/>
  <c r="FB181" i="5"/>
  <c r="FC181" i="5"/>
  <c r="FD181" i="5"/>
  <c r="FE181" i="5"/>
  <c r="FF181" i="5"/>
  <c r="FG181" i="5"/>
  <c r="FH181" i="5"/>
  <c r="FI181" i="5"/>
  <c r="FJ181" i="5"/>
  <c r="FK181" i="5"/>
  <c r="FL181" i="5"/>
  <c r="FM181" i="5"/>
  <c r="FN181" i="5"/>
  <c r="FO181" i="5"/>
  <c r="FP181" i="5"/>
  <c r="FQ181" i="5"/>
  <c r="FR181" i="5"/>
  <c r="FS181" i="5"/>
  <c r="FT181" i="5"/>
  <c r="FU181" i="5"/>
  <c r="FV181" i="5"/>
  <c r="FW181" i="5"/>
  <c r="FX181" i="5"/>
  <c r="FY181" i="5"/>
  <c r="FZ181" i="5"/>
  <c r="GA181" i="5"/>
  <c r="GB181" i="5"/>
  <c r="GC181" i="5"/>
  <c r="GD181" i="5"/>
  <c r="GE181" i="5"/>
  <c r="GF181" i="5"/>
  <c r="GG181" i="5"/>
  <c r="GH181" i="5"/>
  <c r="GI181" i="5"/>
  <c r="GJ181" i="5"/>
  <c r="GK181" i="5"/>
  <c r="GL181" i="5"/>
  <c r="GM181" i="5"/>
  <c r="GN181" i="5"/>
  <c r="GO181" i="5"/>
  <c r="GP181" i="5"/>
  <c r="GQ181" i="5"/>
  <c r="GR181" i="5"/>
  <c r="GS181" i="5"/>
  <c r="GT181" i="5"/>
  <c r="GU181" i="5"/>
  <c r="GV181" i="5"/>
  <c r="GW181" i="5"/>
  <c r="GX181" i="5"/>
  <c r="GY181" i="5"/>
  <c r="GZ181" i="5"/>
  <c r="HA181" i="5"/>
  <c r="HB181" i="5"/>
  <c r="HC181" i="5"/>
  <c r="HD181" i="5"/>
  <c r="HE181" i="5"/>
  <c r="HF181" i="5"/>
  <c r="HG181" i="5"/>
  <c r="HH181" i="5"/>
  <c r="HI181" i="5"/>
  <c r="HJ181" i="5"/>
  <c r="HK181" i="5"/>
  <c r="HL181" i="5"/>
  <c r="HM181" i="5"/>
  <c r="HN181" i="5"/>
  <c r="HO181" i="5"/>
  <c r="HP181" i="5"/>
  <c r="HQ181" i="5"/>
  <c r="HR181" i="5"/>
  <c r="HS181" i="5"/>
  <c r="HT181" i="5"/>
  <c r="HU181" i="5"/>
  <c r="HV181" i="5"/>
  <c r="HW181" i="5"/>
  <c r="HX181" i="5"/>
  <c r="HY181" i="5"/>
  <c r="HZ181" i="5"/>
  <c r="IA181" i="5"/>
  <c r="IB181" i="5"/>
  <c r="IC181" i="5"/>
  <c r="ID181" i="5"/>
  <c r="IE181" i="5"/>
  <c r="IF181" i="5"/>
  <c r="IG181" i="5"/>
  <c r="IH181" i="5"/>
  <c r="II181" i="5"/>
  <c r="IJ181" i="5"/>
  <c r="IK181" i="5"/>
  <c r="IL181" i="5"/>
  <c r="IM181" i="5"/>
  <c r="IN181" i="5"/>
  <c r="IO181" i="5"/>
  <c r="IP181" i="5"/>
  <c r="IQ181" i="5"/>
  <c r="IR181" i="5"/>
  <c r="IS181" i="5"/>
  <c r="IT181" i="5"/>
  <c r="IU181" i="5"/>
  <c r="IV181" i="5"/>
  <c r="A180" i="5" l="1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AQ180" i="5"/>
  <c r="AR180" i="5"/>
  <c r="AS180" i="5"/>
  <c r="AT180" i="5"/>
  <c r="AU180" i="5"/>
  <c r="AV180" i="5"/>
  <c r="AW180" i="5"/>
  <c r="AX180" i="5"/>
  <c r="AY180" i="5"/>
  <c r="AZ180" i="5"/>
  <c r="BA180" i="5"/>
  <c r="BB180" i="5"/>
  <c r="BC180" i="5"/>
  <c r="BD180" i="5"/>
  <c r="BE180" i="5"/>
  <c r="BF180" i="5"/>
  <c r="BG180" i="5"/>
  <c r="BH180" i="5"/>
  <c r="BI180" i="5"/>
  <c r="BJ180" i="5"/>
  <c r="BK180" i="5"/>
  <c r="BL180" i="5"/>
  <c r="BM180" i="5"/>
  <c r="BN180" i="5"/>
  <c r="BO180" i="5"/>
  <c r="BP180" i="5"/>
  <c r="BQ180" i="5"/>
  <c r="BR180" i="5"/>
  <c r="BS180" i="5"/>
  <c r="BT180" i="5"/>
  <c r="BU180" i="5"/>
  <c r="BV180" i="5"/>
  <c r="BW180" i="5"/>
  <c r="BX180" i="5"/>
  <c r="BY180" i="5"/>
  <c r="BZ180" i="5"/>
  <c r="CA180" i="5"/>
  <c r="CB180" i="5"/>
  <c r="CC180" i="5"/>
  <c r="CD180" i="5"/>
  <c r="CE180" i="5"/>
  <c r="CF180" i="5"/>
  <c r="CG180" i="5"/>
  <c r="CH180" i="5"/>
  <c r="CI180" i="5"/>
  <c r="CJ180" i="5"/>
  <c r="CK180" i="5"/>
  <c r="CL180" i="5"/>
  <c r="CM180" i="5"/>
  <c r="CN180" i="5"/>
  <c r="CO180" i="5"/>
  <c r="CP180" i="5"/>
  <c r="CQ180" i="5"/>
  <c r="CR180" i="5"/>
  <c r="CS180" i="5"/>
  <c r="CT180" i="5"/>
  <c r="CU180" i="5"/>
  <c r="CV180" i="5"/>
  <c r="CW180" i="5"/>
  <c r="CX180" i="5"/>
  <c r="CY180" i="5"/>
  <c r="CZ180" i="5"/>
  <c r="DA180" i="5"/>
  <c r="DB180" i="5"/>
  <c r="DC180" i="5"/>
  <c r="DD180" i="5"/>
  <c r="DE180" i="5"/>
  <c r="DF180" i="5"/>
  <c r="DG180" i="5"/>
  <c r="DH180" i="5"/>
  <c r="DI180" i="5"/>
  <c r="DJ180" i="5"/>
  <c r="DK180" i="5"/>
  <c r="A179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AQ179" i="5"/>
  <c r="AR179" i="5"/>
  <c r="AS179" i="5"/>
  <c r="AT179" i="5"/>
  <c r="AU179" i="5"/>
  <c r="AV179" i="5"/>
  <c r="AW179" i="5"/>
  <c r="AX179" i="5"/>
  <c r="AY179" i="5"/>
  <c r="AZ179" i="5"/>
  <c r="BA179" i="5"/>
  <c r="BB179" i="5"/>
  <c r="BC179" i="5"/>
  <c r="BD179" i="5"/>
  <c r="BE179" i="5"/>
  <c r="BF179" i="5"/>
  <c r="BG179" i="5"/>
  <c r="BH179" i="5"/>
  <c r="BI179" i="5"/>
  <c r="BJ179" i="5"/>
  <c r="BK179" i="5"/>
  <c r="BL179" i="5"/>
  <c r="BM179" i="5"/>
  <c r="BN179" i="5"/>
  <c r="BO179" i="5"/>
  <c r="BP179" i="5"/>
  <c r="BQ179" i="5"/>
  <c r="BR179" i="5"/>
  <c r="BS179" i="5"/>
  <c r="BT179" i="5"/>
  <c r="BU179" i="5"/>
  <c r="BV179" i="5"/>
  <c r="BW179" i="5"/>
  <c r="BX179" i="5"/>
  <c r="BY179" i="5"/>
  <c r="BZ179" i="5"/>
  <c r="CA179" i="5"/>
  <c r="CB179" i="5"/>
  <c r="CC179" i="5"/>
  <c r="CD179" i="5"/>
  <c r="CE179" i="5"/>
  <c r="CF179" i="5"/>
  <c r="CG179" i="5"/>
  <c r="CH179" i="5"/>
  <c r="CI179" i="5"/>
  <c r="CJ179" i="5"/>
  <c r="CK179" i="5"/>
  <c r="CL179" i="5"/>
  <c r="CM179" i="5"/>
  <c r="CN179" i="5"/>
  <c r="CO179" i="5"/>
  <c r="CP179" i="5"/>
  <c r="CQ179" i="5"/>
  <c r="CR179" i="5"/>
  <c r="CS179" i="5"/>
  <c r="CT179" i="5"/>
  <c r="CU179" i="5"/>
  <c r="CV179" i="5"/>
  <c r="CW179" i="5"/>
  <c r="CX179" i="5"/>
  <c r="CY179" i="5"/>
  <c r="CZ179" i="5"/>
  <c r="DA179" i="5"/>
  <c r="DB179" i="5"/>
  <c r="DC179" i="5"/>
  <c r="DD179" i="5"/>
  <c r="DE179" i="5"/>
  <c r="DF179" i="5"/>
  <c r="DG179" i="5"/>
  <c r="DH179" i="5"/>
  <c r="DI179" i="5"/>
  <c r="DJ179" i="5"/>
  <c r="DK179" i="5"/>
  <c r="DL179" i="5"/>
  <c r="DM179" i="5"/>
  <c r="DN179" i="5"/>
  <c r="DO179" i="5"/>
  <c r="DP179" i="5"/>
  <c r="DQ179" i="5"/>
  <c r="DR179" i="5"/>
  <c r="DS179" i="5"/>
  <c r="DT179" i="5"/>
  <c r="DU179" i="5"/>
  <c r="DV179" i="5"/>
  <c r="DW179" i="5"/>
  <c r="DX179" i="5"/>
  <c r="DY179" i="5"/>
  <c r="DZ179" i="5"/>
  <c r="EA179" i="5"/>
  <c r="EB179" i="5"/>
  <c r="EC179" i="5"/>
  <c r="ED179" i="5"/>
  <c r="EE179" i="5"/>
  <c r="EF179" i="5"/>
  <c r="EG179" i="5"/>
  <c r="EH179" i="5"/>
  <c r="EI179" i="5"/>
  <c r="EJ179" i="5"/>
  <c r="EK179" i="5"/>
  <c r="EL179" i="5"/>
  <c r="EM179" i="5"/>
  <c r="EN179" i="5"/>
  <c r="EO179" i="5"/>
  <c r="EP179" i="5"/>
  <c r="EQ179" i="5"/>
  <c r="ER179" i="5"/>
  <c r="ES179" i="5"/>
  <c r="ET179" i="5"/>
  <c r="EU179" i="5"/>
  <c r="EV179" i="5"/>
  <c r="EW179" i="5"/>
  <c r="EX179" i="5"/>
  <c r="EY179" i="5"/>
  <c r="EZ179" i="5"/>
  <c r="FA179" i="5"/>
  <c r="FB179" i="5"/>
  <c r="FC179" i="5"/>
  <c r="FD179" i="5"/>
  <c r="FE179" i="5"/>
  <c r="FF179" i="5"/>
  <c r="FG179" i="5"/>
  <c r="FH179" i="5"/>
  <c r="FI179" i="5"/>
  <c r="FJ179" i="5"/>
  <c r="FK179" i="5"/>
  <c r="FL179" i="5"/>
  <c r="FM179" i="5"/>
  <c r="FN179" i="5"/>
  <c r="FO179" i="5"/>
  <c r="FP179" i="5"/>
  <c r="FQ179" i="5"/>
  <c r="FR179" i="5"/>
  <c r="FS179" i="5"/>
  <c r="FT179" i="5"/>
  <c r="FU179" i="5"/>
  <c r="FV179" i="5"/>
  <c r="FW179" i="5"/>
  <c r="FX179" i="5"/>
  <c r="FY179" i="5"/>
  <c r="FZ179" i="5"/>
  <c r="GA179" i="5"/>
  <c r="GB179" i="5"/>
  <c r="GC179" i="5"/>
  <c r="GD179" i="5"/>
  <c r="GE179" i="5"/>
  <c r="GF179" i="5"/>
  <c r="GG179" i="5"/>
  <c r="GH179" i="5"/>
  <c r="GI179" i="5"/>
  <c r="GJ179" i="5"/>
  <c r="GK179" i="5"/>
  <c r="GL179" i="5"/>
  <c r="GM179" i="5"/>
  <c r="GN179" i="5"/>
  <c r="GO179" i="5"/>
  <c r="GP179" i="5"/>
  <c r="GQ179" i="5"/>
  <c r="GR179" i="5"/>
  <c r="GS179" i="5"/>
  <c r="GT179" i="5"/>
  <c r="GU179" i="5"/>
  <c r="GV179" i="5"/>
  <c r="GW179" i="5"/>
  <c r="GX179" i="5"/>
  <c r="GY179" i="5"/>
  <c r="GZ179" i="5"/>
  <c r="HA179" i="5"/>
  <c r="HB179" i="5"/>
  <c r="HC179" i="5"/>
  <c r="HD179" i="5"/>
  <c r="HE179" i="5"/>
  <c r="HF179" i="5"/>
  <c r="HG179" i="5"/>
  <c r="HH179" i="5"/>
  <c r="HI179" i="5"/>
  <c r="HJ179" i="5"/>
  <c r="HK179" i="5"/>
  <c r="HL179" i="5"/>
  <c r="HM179" i="5"/>
  <c r="HN179" i="5"/>
  <c r="HO179" i="5"/>
  <c r="HP179" i="5"/>
  <c r="HQ179" i="5"/>
  <c r="HR179" i="5"/>
  <c r="HS179" i="5"/>
  <c r="HT179" i="5"/>
  <c r="HU179" i="5"/>
  <c r="HV179" i="5"/>
  <c r="HW179" i="5"/>
  <c r="HX179" i="5"/>
  <c r="HY179" i="5"/>
  <c r="HZ179" i="5"/>
  <c r="IA179" i="5"/>
  <c r="IB179" i="5"/>
  <c r="IC179" i="5"/>
  <c r="ID179" i="5"/>
  <c r="IE179" i="5"/>
  <c r="IF179" i="5"/>
  <c r="IG179" i="5"/>
  <c r="IH179" i="5"/>
  <c r="II179" i="5"/>
  <c r="IJ179" i="5"/>
  <c r="IK179" i="5"/>
  <c r="IL179" i="5"/>
  <c r="IM179" i="5"/>
  <c r="IN179" i="5"/>
  <c r="IO179" i="5"/>
  <c r="IP179" i="5"/>
  <c r="IQ179" i="5"/>
  <c r="IR179" i="5"/>
  <c r="IS179" i="5"/>
  <c r="IT179" i="5"/>
  <c r="IU179" i="5"/>
  <c r="IV179" i="5"/>
  <c r="A178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AQ178" i="5"/>
  <c r="AR178" i="5"/>
  <c r="AS178" i="5"/>
  <c r="AT178" i="5"/>
  <c r="AU178" i="5"/>
  <c r="AV178" i="5"/>
  <c r="AW178" i="5"/>
  <c r="AX178" i="5"/>
  <c r="AY178" i="5"/>
  <c r="AZ178" i="5"/>
  <c r="BA178" i="5"/>
  <c r="BB178" i="5"/>
  <c r="BC178" i="5"/>
  <c r="BD178" i="5"/>
  <c r="BE178" i="5"/>
  <c r="BF178" i="5"/>
  <c r="BG178" i="5"/>
  <c r="BH178" i="5"/>
  <c r="BI178" i="5"/>
  <c r="BJ178" i="5"/>
  <c r="BK178" i="5"/>
  <c r="BL178" i="5"/>
  <c r="BM178" i="5"/>
  <c r="BN178" i="5"/>
  <c r="BO178" i="5"/>
  <c r="BP178" i="5"/>
  <c r="BQ178" i="5"/>
  <c r="BR178" i="5"/>
  <c r="BS178" i="5"/>
  <c r="BT178" i="5"/>
  <c r="BU178" i="5"/>
  <c r="BV178" i="5"/>
  <c r="BW178" i="5"/>
  <c r="BX178" i="5"/>
  <c r="BY178" i="5"/>
  <c r="BZ178" i="5"/>
  <c r="CA178" i="5"/>
  <c r="CB178" i="5"/>
  <c r="CC178" i="5"/>
  <c r="CD178" i="5"/>
  <c r="CE178" i="5"/>
  <c r="CF178" i="5"/>
  <c r="CG178" i="5"/>
  <c r="CH178" i="5"/>
  <c r="CI178" i="5"/>
  <c r="CJ178" i="5"/>
  <c r="CK178" i="5"/>
  <c r="CL178" i="5"/>
  <c r="CM178" i="5"/>
  <c r="CN178" i="5"/>
  <c r="CO178" i="5"/>
  <c r="CP178" i="5"/>
  <c r="CQ178" i="5"/>
  <c r="CR178" i="5"/>
  <c r="CS178" i="5"/>
  <c r="CT178" i="5"/>
  <c r="CU178" i="5"/>
  <c r="CV178" i="5"/>
  <c r="CW178" i="5"/>
  <c r="CX178" i="5"/>
  <c r="CY178" i="5"/>
  <c r="CZ178" i="5"/>
  <c r="DA178" i="5"/>
  <c r="DB178" i="5"/>
  <c r="DC178" i="5"/>
  <c r="DD178" i="5"/>
  <c r="DE178" i="5"/>
  <c r="DF178" i="5"/>
  <c r="DG178" i="5"/>
  <c r="DH178" i="5"/>
  <c r="DI178" i="5"/>
  <c r="DJ178" i="5"/>
  <c r="DK178" i="5"/>
  <c r="DL178" i="5"/>
  <c r="DM178" i="5"/>
  <c r="DN178" i="5"/>
  <c r="DO178" i="5"/>
  <c r="DP178" i="5"/>
  <c r="DQ178" i="5"/>
  <c r="DR178" i="5"/>
  <c r="DS178" i="5"/>
  <c r="DT178" i="5"/>
  <c r="DU178" i="5"/>
  <c r="DV178" i="5"/>
  <c r="DW178" i="5"/>
  <c r="DX178" i="5"/>
  <c r="DY178" i="5"/>
  <c r="DZ178" i="5"/>
  <c r="EA178" i="5"/>
  <c r="EB178" i="5"/>
  <c r="EC178" i="5"/>
  <c r="ED178" i="5"/>
  <c r="EE178" i="5"/>
  <c r="EF178" i="5"/>
  <c r="EG178" i="5"/>
  <c r="EH178" i="5"/>
  <c r="EI178" i="5"/>
  <c r="EJ178" i="5"/>
  <c r="EK178" i="5"/>
  <c r="EL178" i="5"/>
  <c r="EM178" i="5"/>
  <c r="EN178" i="5"/>
  <c r="EO178" i="5"/>
  <c r="EP178" i="5"/>
  <c r="EQ178" i="5"/>
  <c r="ER178" i="5"/>
  <c r="ES178" i="5"/>
  <c r="ET178" i="5"/>
  <c r="EU178" i="5"/>
  <c r="EV178" i="5"/>
  <c r="EW178" i="5"/>
  <c r="EX178" i="5"/>
  <c r="EY178" i="5"/>
  <c r="EZ178" i="5"/>
  <c r="FA178" i="5"/>
  <c r="FB178" i="5"/>
  <c r="FC178" i="5"/>
  <c r="FD178" i="5"/>
  <c r="FE178" i="5"/>
  <c r="FF178" i="5"/>
  <c r="FG178" i="5"/>
  <c r="FH178" i="5"/>
  <c r="FI178" i="5"/>
  <c r="FJ178" i="5"/>
  <c r="FK178" i="5"/>
  <c r="FL178" i="5"/>
  <c r="FM178" i="5"/>
  <c r="FN178" i="5"/>
  <c r="FO178" i="5"/>
  <c r="FP178" i="5"/>
  <c r="FQ178" i="5"/>
  <c r="FR178" i="5"/>
  <c r="FS178" i="5"/>
  <c r="FT178" i="5"/>
  <c r="FU178" i="5"/>
  <c r="FV178" i="5"/>
  <c r="FW178" i="5"/>
  <c r="FX178" i="5"/>
  <c r="FY178" i="5"/>
  <c r="FZ178" i="5"/>
  <c r="GA178" i="5"/>
  <c r="GB178" i="5"/>
  <c r="GC178" i="5"/>
  <c r="GD178" i="5"/>
  <c r="GE178" i="5"/>
  <c r="GF178" i="5"/>
  <c r="GG178" i="5"/>
  <c r="GH178" i="5"/>
  <c r="GI178" i="5"/>
  <c r="GJ178" i="5"/>
  <c r="GK178" i="5"/>
  <c r="GL178" i="5"/>
  <c r="GM178" i="5"/>
  <c r="GN178" i="5"/>
  <c r="GO178" i="5"/>
  <c r="GP178" i="5"/>
  <c r="GQ178" i="5"/>
  <c r="GR178" i="5"/>
  <c r="GS178" i="5"/>
  <c r="GT178" i="5"/>
  <c r="GU178" i="5"/>
  <c r="GV178" i="5"/>
  <c r="GW178" i="5"/>
  <c r="GX178" i="5"/>
  <c r="GY178" i="5"/>
  <c r="GZ178" i="5"/>
  <c r="HA178" i="5"/>
  <c r="HB178" i="5"/>
  <c r="HC178" i="5"/>
  <c r="HD178" i="5"/>
  <c r="HE178" i="5"/>
  <c r="HF178" i="5"/>
  <c r="HG178" i="5"/>
  <c r="HH178" i="5"/>
  <c r="HI178" i="5"/>
  <c r="HJ178" i="5"/>
  <c r="HK178" i="5"/>
  <c r="HL178" i="5"/>
  <c r="HM178" i="5"/>
  <c r="HN178" i="5"/>
  <c r="HO178" i="5"/>
  <c r="HP178" i="5"/>
  <c r="HQ178" i="5"/>
  <c r="HR178" i="5"/>
  <c r="HS178" i="5"/>
  <c r="HT178" i="5"/>
  <c r="HU178" i="5"/>
  <c r="HV178" i="5"/>
  <c r="HW178" i="5"/>
  <c r="HX178" i="5"/>
  <c r="HY178" i="5"/>
  <c r="HZ178" i="5"/>
  <c r="IA178" i="5"/>
  <c r="IB178" i="5"/>
  <c r="IC178" i="5"/>
  <c r="ID178" i="5"/>
  <c r="IE178" i="5"/>
  <c r="IF178" i="5"/>
  <c r="IG178" i="5"/>
  <c r="IH178" i="5"/>
  <c r="II178" i="5"/>
  <c r="IJ178" i="5"/>
  <c r="IK178" i="5"/>
  <c r="IL178" i="5"/>
  <c r="IM178" i="5"/>
  <c r="IN178" i="5"/>
  <c r="IO178" i="5"/>
  <c r="IP178" i="5"/>
  <c r="IQ178" i="5"/>
  <c r="IR178" i="5"/>
  <c r="IS178" i="5"/>
  <c r="IT178" i="5"/>
  <c r="IU178" i="5"/>
  <c r="IV178" i="5"/>
  <c r="A177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AQ177" i="5"/>
  <c r="AR177" i="5"/>
  <c r="AS177" i="5"/>
  <c r="AT177" i="5"/>
  <c r="AU177" i="5"/>
  <c r="AV177" i="5"/>
  <c r="AW177" i="5"/>
  <c r="AX177" i="5"/>
  <c r="AY177" i="5"/>
  <c r="AZ177" i="5"/>
  <c r="BA177" i="5"/>
  <c r="BB177" i="5"/>
  <c r="BC177" i="5"/>
  <c r="BD177" i="5"/>
  <c r="BE177" i="5"/>
  <c r="BF177" i="5"/>
  <c r="BG177" i="5"/>
  <c r="BH177" i="5"/>
  <c r="BI177" i="5"/>
  <c r="BJ177" i="5"/>
  <c r="BK177" i="5"/>
  <c r="BL177" i="5"/>
  <c r="BM177" i="5"/>
  <c r="BN177" i="5"/>
  <c r="BO177" i="5"/>
  <c r="BP177" i="5"/>
  <c r="BQ177" i="5"/>
  <c r="BR177" i="5"/>
  <c r="BS177" i="5"/>
  <c r="BT177" i="5"/>
  <c r="BU177" i="5"/>
  <c r="BV177" i="5"/>
  <c r="A176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AQ176" i="5"/>
  <c r="AR176" i="5"/>
  <c r="AS176" i="5"/>
  <c r="AT176" i="5"/>
  <c r="AU176" i="5"/>
  <c r="AV176" i="5"/>
  <c r="AW176" i="5"/>
  <c r="AX176" i="5"/>
  <c r="AY176" i="5"/>
  <c r="AZ176" i="5"/>
  <c r="BA176" i="5"/>
  <c r="BB176" i="5"/>
  <c r="BC176" i="5"/>
  <c r="BD176" i="5"/>
  <c r="BE176" i="5"/>
  <c r="BF176" i="5"/>
  <c r="BG176" i="5"/>
  <c r="BH176" i="5"/>
  <c r="BI176" i="5"/>
  <c r="BJ176" i="5"/>
  <c r="BK176" i="5"/>
  <c r="BL176" i="5"/>
  <c r="BM176" i="5"/>
  <c r="BN176" i="5"/>
  <c r="BO176" i="5"/>
  <c r="BP176" i="5"/>
  <c r="BQ176" i="5"/>
  <c r="BR176" i="5"/>
  <c r="BS176" i="5"/>
  <c r="BT176" i="5"/>
  <c r="BU176" i="5"/>
  <c r="BV176" i="5"/>
  <c r="BW176" i="5"/>
  <c r="BX176" i="5"/>
  <c r="BY176" i="5"/>
  <c r="BZ176" i="5"/>
  <c r="CA176" i="5"/>
  <c r="CB176" i="5"/>
  <c r="CC176" i="5"/>
  <c r="CD176" i="5"/>
  <c r="CE176" i="5"/>
  <c r="CF176" i="5"/>
  <c r="CG176" i="5"/>
  <c r="CH176" i="5"/>
  <c r="CI176" i="5"/>
  <c r="CJ176" i="5"/>
  <c r="CK176" i="5"/>
  <c r="CL176" i="5"/>
  <c r="CM176" i="5"/>
  <c r="CN176" i="5"/>
  <c r="CO176" i="5"/>
  <c r="CP176" i="5"/>
  <c r="CQ176" i="5"/>
  <c r="CR176" i="5"/>
  <c r="CS176" i="5"/>
  <c r="CT176" i="5"/>
  <c r="CU176" i="5"/>
  <c r="CV176" i="5"/>
  <c r="CW176" i="5"/>
  <c r="CX176" i="5"/>
  <c r="CY176" i="5"/>
  <c r="CZ176" i="5"/>
  <c r="DA176" i="5"/>
  <c r="DB176" i="5"/>
  <c r="DC176" i="5"/>
  <c r="DD176" i="5"/>
  <c r="DE176" i="5"/>
  <c r="DF176" i="5"/>
  <c r="DG176" i="5"/>
  <c r="DH176" i="5"/>
  <c r="DI176" i="5"/>
  <c r="DJ176" i="5"/>
  <c r="DK176" i="5"/>
  <c r="DL176" i="5"/>
  <c r="DM176" i="5"/>
  <c r="DN176" i="5"/>
  <c r="DO176" i="5"/>
  <c r="DP176" i="5"/>
  <c r="DQ176" i="5"/>
  <c r="DR176" i="5"/>
  <c r="DS176" i="5"/>
  <c r="DT176" i="5"/>
  <c r="DU176" i="5"/>
  <c r="DV176" i="5"/>
  <c r="DW176" i="5"/>
  <c r="DX176" i="5"/>
  <c r="DY176" i="5"/>
  <c r="DZ176" i="5"/>
  <c r="EA176" i="5"/>
  <c r="EB176" i="5"/>
  <c r="EC176" i="5"/>
  <c r="ED176" i="5"/>
  <c r="EE176" i="5"/>
  <c r="EF176" i="5"/>
  <c r="EG176" i="5"/>
  <c r="EH176" i="5"/>
  <c r="EI176" i="5"/>
  <c r="EJ176" i="5"/>
  <c r="EK176" i="5"/>
  <c r="EL176" i="5"/>
  <c r="EM176" i="5"/>
  <c r="EN176" i="5"/>
  <c r="EO176" i="5"/>
  <c r="EP176" i="5"/>
  <c r="EQ176" i="5"/>
  <c r="ER176" i="5"/>
  <c r="ES176" i="5"/>
  <c r="ET176" i="5"/>
  <c r="EU176" i="5"/>
  <c r="EV176" i="5"/>
  <c r="EW176" i="5"/>
  <c r="EX176" i="5"/>
  <c r="EY176" i="5"/>
  <c r="EZ176" i="5"/>
  <c r="FA176" i="5"/>
  <c r="FB176" i="5"/>
  <c r="FC176" i="5"/>
  <c r="FD176" i="5"/>
  <c r="FE176" i="5"/>
  <c r="FF176" i="5"/>
  <c r="FG176" i="5"/>
  <c r="FH176" i="5"/>
  <c r="FI176" i="5"/>
  <c r="FJ176" i="5"/>
  <c r="FK176" i="5"/>
  <c r="FL176" i="5"/>
  <c r="FM176" i="5"/>
  <c r="FN176" i="5"/>
  <c r="FO176" i="5"/>
  <c r="FP176" i="5"/>
  <c r="FQ176" i="5"/>
  <c r="FR176" i="5"/>
  <c r="FS176" i="5"/>
  <c r="FT176" i="5"/>
  <c r="FU176" i="5"/>
  <c r="FV176" i="5"/>
  <c r="FW176" i="5"/>
  <c r="FX176" i="5"/>
  <c r="FY176" i="5"/>
  <c r="FZ176" i="5"/>
  <c r="GA176" i="5"/>
  <c r="GB176" i="5"/>
  <c r="GC176" i="5"/>
  <c r="GD176" i="5"/>
  <c r="GE176" i="5"/>
  <c r="GF176" i="5"/>
  <c r="GG176" i="5"/>
  <c r="GH176" i="5"/>
  <c r="GI176" i="5"/>
  <c r="GJ176" i="5"/>
  <c r="GK176" i="5"/>
  <c r="GL176" i="5"/>
  <c r="GM176" i="5"/>
  <c r="GN176" i="5"/>
  <c r="GO176" i="5"/>
  <c r="GP176" i="5"/>
  <c r="GQ176" i="5"/>
  <c r="GR176" i="5"/>
  <c r="GS176" i="5"/>
  <c r="GT176" i="5"/>
  <c r="GU176" i="5"/>
  <c r="GV176" i="5"/>
  <c r="GW176" i="5"/>
  <c r="GX176" i="5"/>
  <c r="GY176" i="5"/>
  <c r="GZ176" i="5"/>
  <c r="HA176" i="5"/>
  <c r="HB176" i="5"/>
  <c r="HC176" i="5"/>
  <c r="HD176" i="5"/>
  <c r="HE176" i="5"/>
  <c r="HF176" i="5"/>
  <c r="HG176" i="5"/>
  <c r="HH176" i="5"/>
  <c r="HI176" i="5"/>
  <c r="HJ176" i="5"/>
  <c r="HK176" i="5"/>
  <c r="HL176" i="5"/>
  <c r="HM176" i="5"/>
  <c r="HN176" i="5"/>
  <c r="HO176" i="5"/>
  <c r="HP176" i="5"/>
  <c r="HQ176" i="5"/>
  <c r="HR176" i="5"/>
  <c r="HS176" i="5"/>
  <c r="HT176" i="5"/>
  <c r="HU176" i="5"/>
  <c r="HV176" i="5"/>
  <c r="HW176" i="5"/>
  <c r="HX176" i="5"/>
  <c r="HY176" i="5"/>
  <c r="HZ176" i="5"/>
  <c r="IA176" i="5"/>
  <c r="IB176" i="5"/>
  <c r="IC176" i="5"/>
  <c r="ID176" i="5"/>
  <c r="IE176" i="5"/>
  <c r="IF176" i="5"/>
  <c r="IG176" i="5"/>
  <c r="IH176" i="5"/>
  <c r="II176" i="5"/>
  <c r="IJ176" i="5"/>
  <c r="IK176" i="5"/>
  <c r="IL176" i="5"/>
  <c r="IM176" i="5"/>
  <c r="IN176" i="5"/>
  <c r="IO176" i="5"/>
  <c r="IP176" i="5"/>
  <c r="IQ176" i="5"/>
  <c r="IR176" i="5"/>
  <c r="IS176" i="5"/>
  <c r="IT176" i="5"/>
  <c r="IU176" i="5"/>
  <c r="IV176" i="5"/>
  <c r="A175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AQ175" i="5"/>
  <c r="AR175" i="5"/>
  <c r="AS175" i="5"/>
  <c r="AT175" i="5"/>
  <c r="AU175" i="5"/>
  <c r="AV175" i="5"/>
  <c r="AW175" i="5"/>
  <c r="AX175" i="5"/>
  <c r="AY175" i="5"/>
  <c r="AZ175" i="5"/>
  <c r="BA175" i="5"/>
  <c r="BB175" i="5"/>
  <c r="BC175" i="5"/>
  <c r="BD175" i="5"/>
  <c r="BE175" i="5"/>
  <c r="BF175" i="5"/>
  <c r="BG175" i="5"/>
  <c r="BH175" i="5"/>
  <c r="BI175" i="5"/>
  <c r="BJ175" i="5"/>
  <c r="BK175" i="5"/>
  <c r="BL175" i="5"/>
  <c r="BM175" i="5"/>
  <c r="BN175" i="5"/>
  <c r="BO175" i="5"/>
  <c r="BP175" i="5"/>
  <c r="BQ175" i="5"/>
  <c r="BR175" i="5"/>
  <c r="BS175" i="5"/>
  <c r="BT175" i="5"/>
  <c r="BU175" i="5"/>
  <c r="BV175" i="5"/>
  <c r="BW175" i="5"/>
  <c r="BX175" i="5"/>
  <c r="BY175" i="5"/>
  <c r="BZ175" i="5"/>
  <c r="CA175" i="5"/>
  <c r="CB175" i="5"/>
  <c r="CC175" i="5"/>
  <c r="CD175" i="5"/>
  <c r="CE175" i="5"/>
  <c r="CF175" i="5"/>
  <c r="CG175" i="5"/>
  <c r="CH175" i="5"/>
  <c r="CI175" i="5"/>
  <c r="CJ175" i="5"/>
  <c r="CK175" i="5"/>
  <c r="CL175" i="5"/>
  <c r="CM175" i="5"/>
  <c r="CN175" i="5"/>
  <c r="CO175" i="5"/>
  <c r="CP175" i="5"/>
  <c r="CQ175" i="5"/>
  <c r="CR175" i="5"/>
  <c r="CS175" i="5"/>
  <c r="CT175" i="5"/>
  <c r="CU175" i="5"/>
  <c r="CV175" i="5"/>
  <c r="CW175" i="5"/>
  <c r="CX175" i="5"/>
  <c r="CY175" i="5"/>
  <c r="CZ175" i="5"/>
  <c r="DA175" i="5"/>
  <c r="DB175" i="5"/>
  <c r="DC175" i="5"/>
  <c r="DD175" i="5"/>
  <c r="DE175" i="5"/>
  <c r="DF175" i="5"/>
  <c r="DG175" i="5"/>
  <c r="DH175" i="5"/>
  <c r="DI175" i="5"/>
  <c r="DJ175" i="5"/>
  <c r="DK175" i="5"/>
  <c r="DL175" i="5"/>
  <c r="DM175" i="5"/>
  <c r="DN175" i="5"/>
  <c r="DO175" i="5"/>
  <c r="DP175" i="5"/>
  <c r="DQ175" i="5"/>
  <c r="DR175" i="5"/>
  <c r="DS175" i="5"/>
  <c r="DT175" i="5"/>
  <c r="DU175" i="5"/>
  <c r="DV175" i="5"/>
  <c r="DW175" i="5"/>
  <c r="DX175" i="5"/>
  <c r="DY175" i="5"/>
  <c r="DZ175" i="5"/>
  <c r="EA175" i="5"/>
  <c r="EB175" i="5"/>
  <c r="EC175" i="5"/>
  <c r="ED175" i="5"/>
  <c r="EE175" i="5"/>
  <c r="EF175" i="5"/>
  <c r="EG175" i="5"/>
  <c r="EH175" i="5"/>
  <c r="EI175" i="5"/>
  <c r="EJ175" i="5"/>
  <c r="EK175" i="5"/>
  <c r="EL175" i="5"/>
  <c r="EM175" i="5"/>
  <c r="EN175" i="5"/>
  <c r="EO175" i="5"/>
  <c r="EP175" i="5"/>
  <c r="EQ175" i="5"/>
  <c r="ER175" i="5"/>
  <c r="ES175" i="5"/>
  <c r="ET175" i="5"/>
  <c r="EU175" i="5"/>
  <c r="EV175" i="5"/>
  <c r="EW175" i="5"/>
  <c r="EX175" i="5"/>
  <c r="EY175" i="5"/>
  <c r="EZ175" i="5"/>
  <c r="FA175" i="5"/>
  <c r="FB175" i="5"/>
  <c r="FC175" i="5"/>
  <c r="FD175" i="5"/>
  <c r="FE175" i="5"/>
  <c r="FF175" i="5"/>
  <c r="FG175" i="5"/>
  <c r="FH175" i="5"/>
  <c r="FI175" i="5"/>
  <c r="FJ175" i="5"/>
  <c r="FK175" i="5"/>
  <c r="FL175" i="5"/>
  <c r="FM175" i="5"/>
  <c r="FN175" i="5"/>
  <c r="FO175" i="5"/>
  <c r="FP175" i="5"/>
  <c r="FQ175" i="5"/>
  <c r="FR175" i="5"/>
  <c r="FS175" i="5"/>
  <c r="FT175" i="5"/>
  <c r="FU175" i="5"/>
  <c r="FV175" i="5"/>
  <c r="FW175" i="5"/>
  <c r="FX175" i="5"/>
  <c r="FY175" i="5"/>
  <c r="FZ175" i="5"/>
  <c r="GA175" i="5"/>
  <c r="GB175" i="5"/>
  <c r="GC175" i="5"/>
  <c r="GD175" i="5"/>
  <c r="GE175" i="5"/>
  <c r="GF175" i="5"/>
  <c r="GG175" i="5"/>
  <c r="GH175" i="5"/>
  <c r="GI175" i="5"/>
  <c r="GJ175" i="5"/>
  <c r="GK175" i="5"/>
  <c r="GL175" i="5"/>
  <c r="GM175" i="5"/>
  <c r="GN175" i="5"/>
  <c r="GO175" i="5"/>
  <c r="GP175" i="5"/>
  <c r="GQ175" i="5"/>
  <c r="GR175" i="5"/>
  <c r="GS175" i="5"/>
  <c r="GT175" i="5"/>
  <c r="GU175" i="5"/>
  <c r="GV175" i="5"/>
  <c r="GW175" i="5"/>
  <c r="GX175" i="5"/>
  <c r="GY175" i="5"/>
  <c r="GZ175" i="5"/>
  <c r="HA175" i="5"/>
  <c r="HB175" i="5"/>
  <c r="HC175" i="5"/>
  <c r="HD175" i="5"/>
  <c r="HE175" i="5"/>
  <c r="HF175" i="5"/>
  <c r="HG175" i="5"/>
  <c r="HH175" i="5"/>
  <c r="HI175" i="5"/>
  <c r="HJ175" i="5"/>
  <c r="HK175" i="5"/>
  <c r="HL175" i="5"/>
  <c r="HM175" i="5"/>
  <c r="HN175" i="5"/>
  <c r="HO175" i="5"/>
  <c r="HP175" i="5"/>
  <c r="HQ175" i="5"/>
  <c r="HR175" i="5"/>
  <c r="HS175" i="5"/>
  <c r="HT175" i="5"/>
  <c r="HU175" i="5"/>
  <c r="HV175" i="5"/>
  <c r="HW175" i="5"/>
  <c r="HX175" i="5"/>
  <c r="HY175" i="5"/>
  <c r="HZ175" i="5"/>
  <c r="IA175" i="5"/>
  <c r="IB175" i="5"/>
  <c r="IC175" i="5"/>
  <c r="ID175" i="5"/>
  <c r="IE175" i="5"/>
  <c r="IF175" i="5"/>
  <c r="IG175" i="5"/>
  <c r="IH175" i="5"/>
  <c r="II175" i="5"/>
  <c r="IJ175" i="5"/>
  <c r="IK175" i="5"/>
  <c r="IL175" i="5"/>
  <c r="IM175" i="5"/>
  <c r="IN175" i="5"/>
  <c r="IO175" i="5"/>
  <c r="IP175" i="5"/>
  <c r="IQ175" i="5"/>
  <c r="IR175" i="5"/>
  <c r="IS175" i="5"/>
  <c r="IT175" i="5"/>
  <c r="IU175" i="5"/>
  <c r="IV175" i="5"/>
  <c r="A174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AQ174" i="5"/>
  <c r="AR174" i="5"/>
  <c r="AS174" i="5"/>
  <c r="AT174" i="5"/>
  <c r="AU174" i="5"/>
  <c r="AV174" i="5"/>
  <c r="AW174" i="5"/>
  <c r="AX174" i="5"/>
  <c r="AY174" i="5"/>
  <c r="AZ174" i="5"/>
  <c r="BA174" i="5"/>
  <c r="BB174" i="5"/>
  <c r="BC174" i="5"/>
  <c r="BD174" i="5"/>
  <c r="BE174" i="5"/>
  <c r="BF174" i="5"/>
  <c r="BG174" i="5"/>
  <c r="BH174" i="5"/>
  <c r="BI174" i="5"/>
  <c r="BJ174" i="5"/>
  <c r="BK174" i="5"/>
  <c r="BL174" i="5"/>
  <c r="BM174" i="5"/>
  <c r="BN174" i="5"/>
  <c r="BO174" i="5"/>
  <c r="BP174" i="5"/>
  <c r="BQ174" i="5"/>
  <c r="BR174" i="5"/>
  <c r="BS174" i="5"/>
  <c r="BT174" i="5"/>
  <c r="BU174" i="5"/>
  <c r="BV174" i="5"/>
  <c r="BW174" i="5"/>
  <c r="BX174" i="5"/>
  <c r="BY174" i="5"/>
  <c r="BZ174" i="5"/>
  <c r="CA174" i="5"/>
  <c r="CB174" i="5"/>
  <c r="CC174" i="5"/>
  <c r="CD174" i="5"/>
  <c r="CE174" i="5"/>
  <c r="CF174" i="5"/>
  <c r="CG174" i="5"/>
  <c r="CH174" i="5"/>
  <c r="CI174" i="5"/>
  <c r="CJ174" i="5"/>
  <c r="CK174" i="5"/>
  <c r="CL174" i="5"/>
  <c r="CM174" i="5"/>
  <c r="CN174" i="5"/>
  <c r="CO174" i="5"/>
  <c r="CP174" i="5"/>
  <c r="CQ174" i="5"/>
  <c r="CR174" i="5"/>
  <c r="CS174" i="5"/>
  <c r="CT174" i="5"/>
  <c r="CU174" i="5"/>
  <c r="CV174" i="5"/>
  <c r="CW174" i="5"/>
  <c r="CX174" i="5"/>
  <c r="CY174" i="5"/>
  <c r="CZ174" i="5"/>
  <c r="DA174" i="5"/>
  <c r="DB174" i="5"/>
  <c r="DC174" i="5"/>
  <c r="DD174" i="5"/>
  <c r="DE174" i="5"/>
  <c r="DF174" i="5"/>
  <c r="DG174" i="5"/>
  <c r="DH174" i="5"/>
  <c r="DI174" i="5"/>
  <c r="DJ174" i="5"/>
  <c r="DK174" i="5"/>
  <c r="DL174" i="5"/>
  <c r="DM174" i="5"/>
  <c r="DN174" i="5"/>
  <c r="DO174" i="5"/>
  <c r="DP174" i="5"/>
  <c r="DQ174" i="5"/>
  <c r="DR174" i="5"/>
  <c r="DS174" i="5"/>
  <c r="DT174" i="5"/>
  <c r="DU174" i="5"/>
  <c r="DV174" i="5"/>
  <c r="DW174" i="5"/>
  <c r="DX174" i="5"/>
  <c r="DY174" i="5"/>
  <c r="DZ174" i="5"/>
  <c r="EA174" i="5"/>
  <c r="EB174" i="5"/>
  <c r="EC174" i="5"/>
  <c r="ED174" i="5"/>
  <c r="EE174" i="5"/>
  <c r="EF174" i="5"/>
  <c r="EG174" i="5"/>
  <c r="EH174" i="5"/>
  <c r="EI174" i="5"/>
  <c r="EJ174" i="5"/>
  <c r="EK174" i="5"/>
  <c r="EL174" i="5"/>
  <c r="EM174" i="5"/>
  <c r="EN174" i="5"/>
  <c r="EO174" i="5"/>
  <c r="EP174" i="5"/>
  <c r="EQ174" i="5"/>
  <c r="ER174" i="5"/>
  <c r="ES174" i="5"/>
  <c r="ET174" i="5"/>
  <c r="EU174" i="5"/>
  <c r="EV174" i="5"/>
  <c r="EW174" i="5"/>
  <c r="EX174" i="5"/>
  <c r="EY174" i="5"/>
  <c r="EZ174" i="5"/>
  <c r="FA174" i="5"/>
  <c r="FB174" i="5"/>
  <c r="FC174" i="5"/>
  <c r="FD174" i="5"/>
  <c r="FE174" i="5"/>
  <c r="FF174" i="5"/>
  <c r="FG174" i="5"/>
  <c r="FH174" i="5"/>
  <c r="FI174" i="5"/>
  <c r="FJ174" i="5"/>
  <c r="FK174" i="5"/>
  <c r="FL174" i="5"/>
  <c r="FM174" i="5"/>
  <c r="FN174" i="5"/>
  <c r="FO174" i="5"/>
  <c r="FP174" i="5"/>
  <c r="FQ174" i="5"/>
  <c r="FR174" i="5"/>
  <c r="FS174" i="5"/>
  <c r="FT174" i="5"/>
  <c r="FU174" i="5"/>
  <c r="FV174" i="5"/>
  <c r="FW174" i="5"/>
  <c r="FX174" i="5"/>
  <c r="FY174" i="5"/>
  <c r="FZ174" i="5"/>
  <c r="GA174" i="5"/>
  <c r="GB174" i="5"/>
  <c r="GC174" i="5"/>
  <c r="GD174" i="5"/>
  <c r="GE174" i="5"/>
  <c r="GF174" i="5"/>
  <c r="GG174" i="5"/>
  <c r="GH174" i="5"/>
  <c r="GI174" i="5"/>
  <c r="GJ174" i="5"/>
  <c r="GK174" i="5"/>
  <c r="GL174" i="5"/>
  <c r="GM174" i="5"/>
  <c r="GN174" i="5"/>
  <c r="GO174" i="5"/>
  <c r="GP174" i="5"/>
  <c r="GQ174" i="5"/>
  <c r="GR174" i="5"/>
  <c r="GS174" i="5"/>
  <c r="GT174" i="5"/>
  <c r="GU174" i="5"/>
  <c r="GV174" i="5"/>
  <c r="GW174" i="5"/>
  <c r="GX174" i="5"/>
  <c r="GY174" i="5"/>
  <c r="GZ174" i="5"/>
  <c r="HA174" i="5"/>
  <c r="HB174" i="5"/>
  <c r="HC174" i="5"/>
  <c r="HD174" i="5"/>
  <c r="HE174" i="5"/>
  <c r="HF174" i="5"/>
  <c r="HG174" i="5"/>
  <c r="HH174" i="5"/>
  <c r="HI174" i="5"/>
  <c r="HJ174" i="5"/>
  <c r="HK174" i="5"/>
  <c r="HL174" i="5"/>
  <c r="HM174" i="5"/>
  <c r="HN174" i="5"/>
  <c r="HO174" i="5"/>
  <c r="HP174" i="5"/>
  <c r="HQ174" i="5"/>
  <c r="HR174" i="5"/>
  <c r="HS174" i="5"/>
  <c r="HT174" i="5"/>
  <c r="HU174" i="5"/>
  <c r="HV174" i="5"/>
  <c r="HW174" i="5"/>
  <c r="HX174" i="5"/>
  <c r="HY174" i="5"/>
  <c r="HZ174" i="5"/>
  <c r="IA174" i="5"/>
  <c r="IB174" i="5"/>
  <c r="IC174" i="5"/>
  <c r="ID174" i="5"/>
  <c r="IE174" i="5"/>
  <c r="IF174" i="5"/>
  <c r="IG174" i="5"/>
  <c r="IH174" i="5"/>
  <c r="II174" i="5"/>
  <c r="IJ174" i="5"/>
  <c r="IK174" i="5"/>
  <c r="IL174" i="5"/>
  <c r="IM174" i="5"/>
  <c r="IN174" i="5"/>
  <c r="IO174" i="5"/>
  <c r="IP174" i="5"/>
  <c r="IQ174" i="5"/>
  <c r="IR174" i="5"/>
  <c r="IS174" i="5"/>
  <c r="IT174" i="5"/>
  <c r="IU174" i="5"/>
  <c r="IV174" i="5"/>
  <c r="A173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AQ173" i="5"/>
  <c r="AR173" i="5"/>
  <c r="AS173" i="5"/>
  <c r="AT173" i="5"/>
  <c r="AU173" i="5"/>
  <c r="AV173" i="5"/>
  <c r="AW173" i="5"/>
  <c r="AX173" i="5"/>
  <c r="AY173" i="5"/>
  <c r="AZ173" i="5"/>
  <c r="BA173" i="5"/>
  <c r="BB173" i="5"/>
  <c r="BC173" i="5"/>
  <c r="BD173" i="5"/>
  <c r="BE173" i="5"/>
  <c r="BF173" i="5"/>
  <c r="BG173" i="5"/>
  <c r="BH173" i="5"/>
  <c r="BI173" i="5"/>
  <c r="BJ173" i="5"/>
  <c r="BK173" i="5"/>
  <c r="BL173" i="5"/>
  <c r="BM173" i="5"/>
  <c r="BN173" i="5"/>
  <c r="BO173" i="5"/>
  <c r="BP173" i="5"/>
  <c r="BQ173" i="5"/>
  <c r="BR173" i="5"/>
  <c r="BS173" i="5"/>
  <c r="BT173" i="5"/>
  <c r="BU173" i="5"/>
  <c r="BV173" i="5"/>
  <c r="BW173" i="5"/>
  <c r="BX173" i="5"/>
  <c r="BY173" i="5"/>
  <c r="BZ173" i="5"/>
  <c r="CA173" i="5"/>
  <c r="CB173" i="5"/>
  <c r="CC173" i="5"/>
  <c r="CD173" i="5"/>
  <c r="CE173" i="5"/>
  <c r="CF173" i="5"/>
  <c r="CG173" i="5"/>
  <c r="CH173" i="5"/>
  <c r="CI173" i="5"/>
  <c r="CJ173" i="5"/>
  <c r="CK173" i="5"/>
  <c r="CL173" i="5"/>
  <c r="CM173" i="5"/>
  <c r="CN173" i="5"/>
  <c r="CO173" i="5"/>
  <c r="CP173" i="5"/>
  <c r="CQ173" i="5"/>
  <c r="CR173" i="5"/>
  <c r="CS173" i="5"/>
  <c r="CT173" i="5"/>
  <c r="CU173" i="5"/>
  <c r="CV173" i="5"/>
  <c r="CW173" i="5"/>
  <c r="CX173" i="5"/>
  <c r="CY173" i="5"/>
  <c r="CZ173" i="5"/>
  <c r="DA173" i="5"/>
  <c r="DB173" i="5"/>
  <c r="DC173" i="5"/>
  <c r="DD173" i="5"/>
  <c r="DE173" i="5"/>
  <c r="DF173" i="5"/>
  <c r="DG173" i="5"/>
  <c r="DH173" i="5"/>
  <c r="DI173" i="5"/>
  <c r="DJ173" i="5"/>
  <c r="DK173" i="5"/>
  <c r="DL173" i="5"/>
  <c r="DM173" i="5"/>
  <c r="DN173" i="5"/>
  <c r="DO173" i="5"/>
  <c r="DP173" i="5"/>
  <c r="DQ173" i="5"/>
  <c r="DR173" i="5"/>
  <c r="DS173" i="5"/>
  <c r="DT173" i="5"/>
  <c r="DU173" i="5"/>
  <c r="DV173" i="5"/>
  <c r="DW173" i="5"/>
  <c r="DX173" i="5"/>
  <c r="DY173" i="5"/>
  <c r="DZ173" i="5"/>
  <c r="EA173" i="5"/>
  <c r="EB173" i="5"/>
  <c r="EC173" i="5"/>
  <c r="ED173" i="5"/>
  <c r="EE173" i="5"/>
  <c r="EF173" i="5"/>
  <c r="EG173" i="5"/>
  <c r="EH173" i="5"/>
  <c r="EI173" i="5"/>
  <c r="EJ173" i="5"/>
  <c r="EK173" i="5"/>
  <c r="EL173" i="5"/>
  <c r="EM173" i="5"/>
  <c r="EN173" i="5"/>
  <c r="EO173" i="5"/>
  <c r="EP173" i="5"/>
  <c r="EQ173" i="5"/>
  <c r="ER173" i="5"/>
  <c r="ES173" i="5"/>
  <c r="ET173" i="5"/>
  <c r="EU173" i="5"/>
  <c r="EV173" i="5"/>
  <c r="EW173" i="5"/>
  <c r="EX173" i="5"/>
  <c r="EY173" i="5"/>
  <c r="EZ173" i="5"/>
  <c r="FA173" i="5"/>
  <c r="FB173" i="5"/>
  <c r="FC173" i="5"/>
  <c r="FD173" i="5"/>
  <c r="FE173" i="5"/>
  <c r="FF173" i="5"/>
  <c r="FG173" i="5"/>
  <c r="FH173" i="5"/>
  <c r="FI173" i="5"/>
  <c r="FJ173" i="5"/>
  <c r="FK173" i="5"/>
  <c r="FL173" i="5"/>
  <c r="FM173" i="5"/>
  <c r="FN173" i="5"/>
  <c r="FO173" i="5"/>
  <c r="FP173" i="5"/>
  <c r="FQ173" i="5"/>
  <c r="FR173" i="5"/>
  <c r="FS173" i="5"/>
  <c r="FT173" i="5"/>
  <c r="FU173" i="5"/>
  <c r="FV173" i="5"/>
  <c r="FW173" i="5"/>
  <c r="FX173" i="5"/>
  <c r="FY173" i="5"/>
  <c r="FZ173" i="5"/>
  <c r="GA173" i="5"/>
  <c r="GB173" i="5"/>
  <c r="GC173" i="5"/>
  <c r="GD173" i="5"/>
  <c r="GE173" i="5"/>
  <c r="GF173" i="5"/>
  <c r="GG173" i="5"/>
  <c r="GH173" i="5"/>
  <c r="GI173" i="5"/>
  <c r="GJ173" i="5"/>
  <c r="GK173" i="5"/>
  <c r="GL173" i="5"/>
  <c r="GM173" i="5"/>
  <c r="GN173" i="5"/>
  <c r="GO173" i="5"/>
  <c r="GP173" i="5"/>
  <c r="GQ173" i="5"/>
  <c r="GR173" i="5"/>
  <c r="GS173" i="5"/>
  <c r="GT173" i="5"/>
  <c r="GU173" i="5"/>
  <c r="GV173" i="5"/>
  <c r="GW173" i="5"/>
  <c r="GX173" i="5"/>
  <c r="GY173" i="5"/>
  <c r="GZ173" i="5"/>
  <c r="HA173" i="5"/>
  <c r="HB173" i="5"/>
  <c r="HC173" i="5"/>
  <c r="HD173" i="5"/>
  <c r="HE173" i="5"/>
  <c r="HF173" i="5"/>
  <c r="HG173" i="5"/>
  <c r="HH173" i="5"/>
  <c r="HI173" i="5"/>
  <c r="HJ173" i="5"/>
  <c r="HK173" i="5"/>
  <c r="HL173" i="5"/>
  <c r="HM173" i="5"/>
  <c r="HN173" i="5"/>
  <c r="HO173" i="5"/>
  <c r="HP173" i="5"/>
  <c r="HQ173" i="5"/>
  <c r="HR173" i="5"/>
  <c r="HS173" i="5"/>
  <c r="HT173" i="5"/>
  <c r="HU173" i="5"/>
  <c r="HV173" i="5"/>
  <c r="HW173" i="5"/>
  <c r="HX173" i="5"/>
  <c r="HY173" i="5"/>
  <c r="HZ173" i="5"/>
  <c r="IA173" i="5"/>
  <c r="IB173" i="5"/>
  <c r="IC173" i="5"/>
  <c r="ID173" i="5"/>
  <c r="IE173" i="5"/>
  <c r="IF173" i="5"/>
  <c r="IG173" i="5"/>
  <c r="IH173" i="5"/>
  <c r="II173" i="5"/>
  <c r="IJ173" i="5"/>
  <c r="IK173" i="5"/>
  <c r="IL173" i="5"/>
  <c r="IM173" i="5"/>
  <c r="IN173" i="5"/>
  <c r="IO173" i="5"/>
  <c r="IP173" i="5"/>
  <c r="IQ173" i="5"/>
  <c r="IR173" i="5"/>
  <c r="IS173" i="5"/>
  <c r="IT173" i="5"/>
  <c r="IU173" i="5"/>
  <c r="IV173" i="5"/>
  <c r="A172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Q172" i="5"/>
  <c r="AR172" i="5"/>
  <c r="AS172" i="5"/>
  <c r="AT172" i="5"/>
  <c r="AU172" i="5"/>
  <c r="AV172" i="5"/>
  <c r="AW172" i="5"/>
  <c r="AX172" i="5"/>
  <c r="AY172" i="5"/>
  <c r="AZ172" i="5"/>
  <c r="BA172" i="5"/>
  <c r="BB172" i="5"/>
  <c r="BC172" i="5"/>
  <c r="BD172" i="5"/>
  <c r="BE172" i="5"/>
  <c r="BF172" i="5"/>
  <c r="BG172" i="5"/>
  <c r="BH172" i="5"/>
  <c r="BI172" i="5"/>
  <c r="BJ172" i="5"/>
  <c r="BK172" i="5"/>
  <c r="BL172" i="5"/>
  <c r="BM172" i="5"/>
  <c r="BN172" i="5"/>
  <c r="BO172" i="5"/>
  <c r="A171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AQ171" i="5"/>
  <c r="AR171" i="5"/>
  <c r="AS171" i="5"/>
  <c r="AT171" i="5"/>
  <c r="AU171" i="5"/>
  <c r="AV171" i="5"/>
  <c r="AW171" i="5"/>
  <c r="AX171" i="5"/>
  <c r="AY171" i="5"/>
  <c r="AZ171" i="5"/>
  <c r="BA171" i="5"/>
  <c r="BB171" i="5"/>
  <c r="BC171" i="5"/>
  <c r="BD171" i="5"/>
  <c r="BE171" i="5"/>
  <c r="BF171" i="5"/>
  <c r="BG171" i="5"/>
  <c r="BH171" i="5"/>
  <c r="BI171" i="5"/>
  <c r="BJ171" i="5"/>
  <c r="BK171" i="5"/>
  <c r="BL171" i="5"/>
  <c r="BM171" i="5"/>
  <c r="BN171" i="5"/>
  <c r="BO171" i="5"/>
  <c r="BP171" i="5"/>
  <c r="BQ171" i="5"/>
  <c r="BR171" i="5"/>
  <c r="BS171" i="5"/>
  <c r="BT171" i="5"/>
  <c r="BU171" i="5"/>
  <c r="BV171" i="5"/>
  <c r="BW171" i="5"/>
  <c r="BX171" i="5"/>
  <c r="BY171" i="5"/>
  <c r="BZ171" i="5"/>
  <c r="CA171" i="5"/>
  <c r="CB171" i="5"/>
  <c r="CC171" i="5"/>
  <c r="CD171" i="5"/>
  <c r="CE171" i="5"/>
  <c r="CF171" i="5"/>
  <c r="CG171" i="5"/>
  <c r="CH171" i="5"/>
  <c r="CI171" i="5"/>
  <c r="CJ171" i="5"/>
  <c r="CK171" i="5"/>
  <c r="CL171" i="5"/>
  <c r="CM171" i="5"/>
  <c r="CN171" i="5"/>
  <c r="CO171" i="5"/>
  <c r="CP171" i="5"/>
  <c r="CQ171" i="5"/>
  <c r="CR171" i="5"/>
  <c r="CS171" i="5"/>
  <c r="CT171" i="5"/>
  <c r="CU171" i="5"/>
  <c r="CV171" i="5"/>
  <c r="CW171" i="5"/>
  <c r="CX171" i="5"/>
  <c r="CY171" i="5"/>
  <c r="CZ171" i="5"/>
  <c r="DA171" i="5"/>
  <c r="DB171" i="5"/>
  <c r="DC171" i="5"/>
  <c r="DD171" i="5"/>
  <c r="DE171" i="5"/>
  <c r="DF171" i="5"/>
  <c r="DG171" i="5"/>
  <c r="DH171" i="5"/>
  <c r="DI171" i="5"/>
  <c r="DJ171" i="5"/>
  <c r="DK171" i="5"/>
  <c r="DL171" i="5"/>
  <c r="DM171" i="5"/>
  <c r="DN171" i="5"/>
  <c r="DO171" i="5"/>
  <c r="DP171" i="5"/>
  <c r="DQ171" i="5"/>
  <c r="DR171" i="5"/>
  <c r="DS171" i="5"/>
  <c r="DT171" i="5"/>
  <c r="DU171" i="5"/>
  <c r="DV171" i="5"/>
  <c r="DW171" i="5"/>
  <c r="DX171" i="5"/>
  <c r="DY171" i="5"/>
  <c r="DZ171" i="5"/>
  <c r="EA171" i="5"/>
  <c r="EB171" i="5"/>
  <c r="EC171" i="5"/>
  <c r="ED171" i="5"/>
  <c r="EE171" i="5"/>
  <c r="EF171" i="5"/>
  <c r="EG171" i="5"/>
  <c r="EH171" i="5"/>
  <c r="EI171" i="5"/>
  <c r="EJ171" i="5"/>
  <c r="EK171" i="5"/>
  <c r="EL171" i="5"/>
  <c r="EM171" i="5"/>
  <c r="EN171" i="5"/>
  <c r="EO171" i="5"/>
  <c r="EP171" i="5"/>
  <c r="EQ171" i="5"/>
  <c r="ER171" i="5"/>
  <c r="ES171" i="5"/>
  <c r="ET171" i="5"/>
  <c r="EU171" i="5"/>
  <c r="EV171" i="5"/>
  <c r="EW171" i="5"/>
  <c r="EX171" i="5"/>
  <c r="EY171" i="5"/>
  <c r="EZ171" i="5"/>
  <c r="FA171" i="5"/>
  <c r="FB171" i="5"/>
  <c r="FC171" i="5"/>
  <c r="FD171" i="5"/>
  <c r="FE171" i="5"/>
  <c r="FF171" i="5"/>
  <c r="FG171" i="5"/>
  <c r="FH171" i="5"/>
  <c r="FI171" i="5"/>
  <c r="FJ171" i="5"/>
  <c r="FK171" i="5"/>
  <c r="FL171" i="5"/>
  <c r="FM171" i="5"/>
  <c r="FN171" i="5"/>
  <c r="FO171" i="5"/>
  <c r="FP171" i="5"/>
  <c r="FQ171" i="5"/>
  <c r="FR171" i="5"/>
  <c r="FS171" i="5"/>
  <c r="FT171" i="5"/>
  <c r="FU171" i="5"/>
  <c r="FV171" i="5"/>
  <c r="FW171" i="5"/>
  <c r="FX171" i="5"/>
  <c r="FY171" i="5"/>
  <c r="FZ171" i="5"/>
  <c r="GA171" i="5"/>
  <c r="GB171" i="5"/>
  <c r="GC171" i="5"/>
  <c r="GD171" i="5"/>
  <c r="GE171" i="5"/>
  <c r="GF171" i="5"/>
  <c r="GG171" i="5"/>
  <c r="GH171" i="5"/>
  <c r="GI171" i="5"/>
  <c r="GJ171" i="5"/>
  <c r="GK171" i="5"/>
  <c r="GL171" i="5"/>
  <c r="GM171" i="5"/>
  <c r="GN171" i="5"/>
  <c r="GO171" i="5"/>
  <c r="GP171" i="5"/>
  <c r="GQ171" i="5"/>
  <c r="GR171" i="5"/>
  <c r="GS171" i="5"/>
  <c r="GT171" i="5"/>
  <c r="GU171" i="5"/>
  <c r="GV171" i="5"/>
  <c r="GW171" i="5"/>
  <c r="GX171" i="5"/>
  <c r="GY171" i="5"/>
  <c r="GZ171" i="5"/>
  <c r="HA171" i="5"/>
  <c r="HB171" i="5"/>
  <c r="HC171" i="5"/>
  <c r="HD171" i="5"/>
  <c r="HE171" i="5"/>
  <c r="HF171" i="5"/>
  <c r="HG171" i="5"/>
  <c r="HH171" i="5"/>
  <c r="HI171" i="5"/>
  <c r="HJ171" i="5"/>
  <c r="HK171" i="5"/>
  <c r="HL171" i="5"/>
  <c r="HM171" i="5"/>
  <c r="HN171" i="5"/>
  <c r="HO171" i="5"/>
  <c r="HP171" i="5"/>
  <c r="HQ171" i="5"/>
  <c r="HR171" i="5"/>
  <c r="HS171" i="5"/>
  <c r="HT171" i="5"/>
  <c r="HU171" i="5"/>
  <c r="HV171" i="5"/>
  <c r="HW171" i="5"/>
  <c r="HX171" i="5"/>
  <c r="HY171" i="5"/>
  <c r="HZ171" i="5"/>
  <c r="IA171" i="5"/>
  <c r="IB171" i="5"/>
  <c r="IC171" i="5"/>
  <c r="ID171" i="5"/>
  <c r="IE171" i="5"/>
  <c r="IF171" i="5"/>
  <c r="IG171" i="5"/>
  <c r="IH171" i="5"/>
  <c r="II171" i="5"/>
  <c r="IJ171" i="5"/>
  <c r="IK171" i="5"/>
  <c r="IL171" i="5"/>
  <c r="IM171" i="5"/>
  <c r="IN171" i="5"/>
  <c r="IO171" i="5"/>
  <c r="IP171" i="5"/>
  <c r="IQ171" i="5"/>
  <c r="IR171" i="5"/>
  <c r="IS171" i="5"/>
  <c r="IT171" i="5"/>
  <c r="IU171" i="5"/>
  <c r="IV171" i="5"/>
  <c r="A170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AQ170" i="5"/>
  <c r="AR170" i="5"/>
  <c r="AS170" i="5"/>
  <c r="AT170" i="5"/>
  <c r="AU170" i="5"/>
  <c r="AV170" i="5"/>
  <c r="AW170" i="5"/>
  <c r="AX170" i="5"/>
  <c r="AY170" i="5"/>
  <c r="AZ170" i="5"/>
  <c r="BA170" i="5"/>
  <c r="BB170" i="5"/>
  <c r="BC170" i="5"/>
  <c r="BD170" i="5"/>
  <c r="BE170" i="5"/>
  <c r="BF170" i="5"/>
  <c r="BG170" i="5"/>
  <c r="BH170" i="5"/>
  <c r="BI170" i="5"/>
  <c r="BJ170" i="5"/>
  <c r="BK170" i="5"/>
  <c r="BL170" i="5"/>
  <c r="BM170" i="5"/>
  <c r="BN170" i="5"/>
  <c r="BO170" i="5"/>
  <c r="BP170" i="5"/>
  <c r="BQ170" i="5"/>
  <c r="BR170" i="5"/>
  <c r="BS170" i="5"/>
  <c r="BT170" i="5"/>
  <c r="BU170" i="5"/>
  <c r="BV170" i="5"/>
  <c r="BW170" i="5"/>
  <c r="BX170" i="5"/>
  <c r="BY170" i="5"/>
  <c r="BZ170" i="5"/>
  <c r="CA170" i="5"/>
  <c r="CB170" i="5"/>
  <c r="CC170" i="5"/>
  <c r="CD170" i="5"/>
  <c r="CE170" i="5"/>
  <c r="CF170" i="5"/>
  <c r="CG170" i="5"/>
  <c r="CH170" i="5"/>
  <c r="CI170" i="5"/>
  <c r="CJ170" i="5"/>
  <c r="CK170" i="5"/>
  <c r="CL170" i="5"/>
  <c r="CM170" i="5"/>
  <c r="CN170" i="5"/>
  <c r="CO170" i="5"/>
  <c r="CP170" i="5"/>
  <c r="CQ170" i="5"/>
  <c r="CR170" i="5"/>
  <c r="CS170" i="5"/>
  <c r="CT170" i="5"/>
  <c r="CU170" i="5"/>
  <c r="CV170" i="5"/>
  <c r="CW170" i="5"/>
  <c r="CX170" i="5"/>
  <c r="CY170" i="5"/>
  <c r="CZ170" i="5"/>
  <c r="DA170" i="5"/>
  <c r="DB170" i="5"/>
  <c r="DC170" i="5"/>
  <c r="DD170" i="5"/>
  <c r="DE170" i="5"/>
  <c r="DF170" i="5"/>
  <c r="DG170" i="5"/>
  <c r="DH170" i="5"/>
  <c r="DI170" i="5"/>
  <c r="DJ170" i="5"/>
  <c r="DK170" i="5"/>
  <c r="DL170" i="5"/>
  <c r="DM170" i="5"/>
  <c r="DN170" i="5"/>
  <c r="DO170" i="5"/>
  <c r="DP170" i="5"/>
  <c r="DQ170" i="5"/>
  <c r="DR170" i="5"/>
  <c r="DS170" i="5"/>
  <c r="DT170" i="5"/>
  <c r="DU170" i="5"/>
  <c r="DV170" i="5"/>
  <c r="DW170" i="5"/>
  <c r="DX170" i="5"/>
  <c r="DY170" i="5"/>
  <c r="DZ170" i="5"/>
  <c r="EA170" i="5"/>
  <c r="EB170" i="5"/>
  <c r="EC170" i="5"/>
  <c r="ED170" i="5"/>
  <c r="EE170" i="5"/>
  <c r="EF170" i="5"/>
  <c r="EG170" i="5"/>
  <c r="EH170" i="5"/>
  <c r="EI170" i="5"/>
  <c r="EJ170" i="5"/>
  <c r="EK170" i="5"/>
  <c r="EL170" i="5"/>
  <c r="EM170" i="5"/>
  <c r="EN170" i="5"/>
  <c r="EO170" i="5"/>
  <c r="EP170" i="5"/>
  <c r="EQ170" i="5"/>
  <c r="ER170" i="5"/>
  <c r="ES170" i="5"/>
  <c r="ET170" i="5"/>
  <c r="EU170" i="5"/>
  <c r="EV170" i="5"/>
  <c r="EW170" i="5"/>
  <c r="EX170" i="5"/>
  <c r="EY170" i="5"/>
  <c r="EZ170" i="5"/>
  <c r="FA170" i="5"/>
  <c r="FB170" i="5"/>
  <c r="FC170" i="5"/>
  <c r="FD170" i="5"/>
  <c r="FE170" i="5"/>
  <c r="FF170" i="5"/>
  <c r="FG170" i="5"/>
  <c r="FH170" i="5"/>
  <c r="FI170" i="5"/>
  <c r="FJ170" i="5"/>
  <c r="FK170" i="5"/>
  <c r="FL170" i="5"/>
  <c r="FM170" i="5"/>
  <c r="FN170" i="5"/>
  <c r="FO170" i="5"/>
  <c r="FP170" i="5"/>
  <c r="FQ170" i="5"/>
  <c r="FR170" i="5"/>
  <c r="FS170" i="5"/>
  <c r="FT170" i="5"/>
  <c r="FU170" i="5"/>
  <c r="FV170" i="5"/>
  <c r="FW170" i="5"/>
  <c r="FX170" i="5"/>
  <c r="FY170" i="5"/>
  <c r="FZ170" i="5"/>
  <c r="GA170" i="5"/>
  <c r="GB170" i="5"/>
  <c r="GC170" i="5"/>
  <c r="GD170" i="5"/>
  <c r="GE170" i="5"/>
  <c r="GF170" i="5"/>
  <c r="GG170" i="5"/>
  <c r="GH170" i="5"/>
  <c r="GI170" i="5"/>
  <c r="GJ170" i="5"/>
  <c r="GK170" i="5"/>
  <c r="GL170" i="5"/>
  <c r="GM170" i="5"/>
  <c r="GN170" i="5"/>
  <c r="GO170" i="5"/>
  <c r="GP170" i="5"/>
  <c r="GQ170" i="5"/>
  <c r="GR170" i="5"/>
  <c r="GS170" i="5"/>
  <c r="GT170" i="5"/>
  <c r="GU170" i="5"/>
  <c r="GV170" i="5"/>
  <c r="GW170" i="5"/>
  <c r="GX170" i="5"/>
  <c r="GY170" i="5"/>
  <c r="GZ170" i="5"/>
  <c r="HA170" i="5"/>
  <c r="HB170" i="5"/>
  <c r="HC170" i="5"/>
  <c r="HD170" i="5"/>
  <c r="HE170" i="5"/>
  <c r="HF170" i="5"/>
  <c r="HG170" i="5"/>
  <c r="HH170" i="5"/>
  <c r="HI170" i="5"/>
  <c r="HJ170" i="5"/>
  <c r="HK170" i="5"/>
  <c r="HL170" i="5"/>
  <c r="HM170" i="5"/>
  <c r="HN170" i="5"/>
  <c r="HO170" i="5"/>
  <c r="HP170" i="5"/>
  <c r="HQ170" i="5"/>
  <c r="HR170" i="5"/>
  <c r="HS170" i="5"/>
  <c r="HT170" i="5"/>
  <c r="HU170" i="5"/>
  <c r="HV170" i="5"/>
  <c r="HW170" i="5"/>
  <c r="HX170" i="5"/>
  <c r="HY170" i="5"/>
  <c r="HZ170" i="5"/>
  <c r="IA170" i="5"/>
  <c r="IB170" i="5"/>
  <c r="IC170" i="5"/>
  <c r="ID170" i="5"/>
  <c r="IE170" i="5"/>
  <c r="IF170" i="5"/>
  <c r="IG170" i="5"/>
  <c r="IH170" i="5"/>
  <c r="II170" i="5"/>
  <c r="IJ170" i="5"/>
  <c r="IK170" i="5"/>
  <c r="IL170" i="5"/>
  <c r="IM170" i="5"/>
  <c r="IN170" i="5"/>
  <c r="IO170" i="5"/>
  <c r="IP170" i="5"/>
  <c r="IQ170" i="5"/>
  <c r="IR170" i="5"/>
  <c r="IS170" i="5"/>
  <c r="IT170" i="5"/>
  <c r="IU170" i="5"/>
  <c r="IV170" i="5"/>
  <c r="A169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AQ169" i="5"/>
  <c r="AR169" i="5"/>
  <c r="AS169" i="5"/>
  <c r="AT169" i="5"/>
  <c r="AU169" i="5"/>
  <c r="AV169" i="5"/>
  <c r="AW169" i="5"/>
  <c r="AX169" i="5"/>
  <c r="AY169" i="5"/>
  <c r="AZ169" i="5"/>
  <c r="BA169" i="5"/>
  <c r="BB169" i="5"/>
  <c r="BC169" i="5"/>
  <c r="BD169" i="5"/>
  <c r="BE169" i="5"/>
  <c r="BF169" i="5"/>
  <c r="BG169" i="5"/>
  <c r="BH169" i="5"/>
  <c r="BI169" i="5"/>
  <c r="BJ169" i="5"/>
  <c r="BK169" i="5"/>
  <c r="BL169" i="5"/>
  <c r="BM169" i="5"/>
  <c r="BN169" i="5"/>
  <c r="BO169" i="5"/>
  <c r="BP169" i="5"/>
  <c r="BQ169" i="5"/>
  <c r="BR169" i="5"/>
  <c r="BS169" i="5"/>
  <c r="BT169" i="5"/>
  <c r="BU169" i="5"/>
  <c r="BV169" i="5"/>
  <c r="BW169" i="5"/>
  <c r="BX169" i="5"/>
  <c r="BY169" i="5"/>
  <c r="BZ169" i="5"/>
  <c r="CA169" i="5"/>
  <c r="CB169" i="5"/>
  <c r="CC169" i="5"/>
  <c r="CD169" i="5"/>
  <c r="CE169" i="5"/>
  <c r="CF169" i="5"/>
  <c r="CG169" i="5"/>
  <c r="CH169" i="5"/>
  <c r="CI169" i="5"/>
  <c r="CJ169" i="5"/>
  <c r="CK169" i="5"/>
  <c r="CL169" i="5"/>
  <c r="CM169" i="5"/>
  <c r="CN169" i="5"/>
  <c r="CO169" i="5"/>
  <c r="CP169" i="5"/>
  <c r="CQ169" i="5"/>
  <c r="CR169" i="5"/>
  <c r="CS169" i="5"/>
  <c r="CT169" i="5"/>
  <c r="CU169" i="5"/>
  <c r="CV169" i="5"/>
  <c r="CW169" i="5"/>
  <c r="CX169" i="5"/>
  <c r="CY169" i="5"/>
  <c r="CZ169" i="5"/>
  <c r="DA169" i="5"/>
  <c r="DB169" i="5"/>
  <c r="DC169" i="5"/>
  <c r="DD169" i="5"/>
  <c r="DE169" i="5"/>
  <c r="DF169" i="5"/>
  <c r="DG169" i="5"/>
  <c r="DH169" i="5"/>
  <c r="DI169" i="5"/>
  <c r="DJ169" i="5"/>
  <c r="DK169" i="5"/>
  <c r="DL169" i="5"/>
  <c r="DM169" i="5"/>
  <c r="DN169" i="5"/>
  <c r="DO169" i="5"/>
  <c r="DP169" i="5"/>
  <c r="DQ169" i="5"/>
  <c r="DR169" i="5"/>
  <c r="DS169" i="5"/>
  <c r="DT169" i="5"/>
  <c r="DU169" i="5"/>
  <c r="DV169" i="5"/>
  <c r="DW169" i="5"/>
  <c r="DX169" i="5"/>
  <c r="DY169" i="5"/>
  <c r="DZ169" i="5"/>
  <c r="EA169" i="5"/>
  <c r="EB169" i="5"/>
  <c r="EC169" i="5"/>
  <c r="ED169" i="5"/>
  <c r="EE169" i="5"/>
  <c r="EF169" i="5"/>
  <c r="EG169" i="5"/>
  <c r="EH169" i="5"/>
  <c r="EI169" i="5"/>
  <c r="EJ169" i="5"/>
  <c r="EK169" i="5"/>
  <c r="EL169" i="5"/>
  <c r="EM169" i="5"/>
  <c r="EN169" i="5"/>
  <c r="EO169" i="5"/>
  <c r="EP169" i="5"/>
  <c r="EQ169" i="5"/>
  <c r="ER169" i="5"/>
  <c r="ES169" i="5"/>
  <c r="ET169" i="5"/>
  <c r="EU169" i="5"/>
  <c r="EV169" i="5"/>
  <c r="EW169" i="5"/>
  <c r="EX169" i="5"/>
  <c r="EY169" i="5"/>
  <c r="EZ169" i="5"/>
  <c r="FA169" i="5"/>
  <c r="FB169" i="5"/>
  <c r="FC169" i="5"/>
  <c r="FD169" i="5"/>
  <c r="FE169" i="5"/>
  <c r="FF169" i="5"/>
  <c r="FG169" i="5"/>
  <c r="FH169" i="5"/>
  <c r="FI169" i="5"/>
  <c r="FJ169" i="5"/>
  <c r="FK169" i="5"/>
  <c r="FL169" i="5"/>
  <c r="FM169" i="5"/>
  <c r="FN169" i="5"/>
  <c r="FO169" i="5"/>
  <c r="FP169" i="5"/>
  <c r="FQ169" i="5"/>
  <c r="FR169" i="5"/>
  <c r="FS169" i="5"/>
  <c r="FT169" i="5"/>
  <c r="FU169" i="5"/>
  <c r="FV169" i="5"/>
  <c r="FW169" i="5"/>
  <c r="FX169" i="5"/>
  <c r="FY169" i="5"/>
  <c r="FZ169" i="5"/>
  <c r="GA169" i="5"/>
  <c r="GB169" i="5"/>
  <c r="GC169" i="5"/>
  <c r="GD169" i="5"/>
  <c r="GE169" i="5"/>
  <c r="GF169" i="5"/>
  <c r="GG169" i="5"/>
  <c r="GH169" i="5"/>
  <c r="GI169" i="5"/>
  <c r="GJ169" i="5"/>
  <c r="GK169" i="5"/>
  <c r="GL169" i="5"/>
  <c r="GM169" i="5"/>
  <c r="GN169" i="5"/>
  <c r="GO169" i="5"/>
  <c r="GP169" i="5"/>
  <c r="GQ169" i="5"/>
  <c r="GR169" i="5"/>
  <c r="GS169" i="5"/>
  <c r="GT169" i="5"/>
  <c r="GU169" i="5"/>
  <c r="GV169" i="5"/>
  <c r="GW169" i="5"/>
  <c r="GX169" i="5"/>
  <c r="GY169" i="5"/>
  <c r="GZ169" i="5"/>
  <c r="HA169" i="5"/>
  <c r="HB169" i="5"/>
  <c r="HC169" i="5"/>
  <c r="HD169" i="5"/>
  <c r="HE169" i="5"/>
  <c r="HF169" i="5"/>
  <c r="HG169" i="5"/>
  <c r="HH169" i="5"/>
  <c r="HI169" i="5"/>
  <c r="HJ169" i="5"/>
  <c r="HK169" i="5"/>
  <c r="HL169" i="5"/>
  <c r="HM169" i="5"/>
  <c r="HN169" i="5"/>
  <c r="HO169" i="5"/>
  <c r="HP169" i="5"/>
  <c r="HQ169" i="5"/>
  <c r="HR169" i="5"/>
  <c r="HS169" i="5"/>
  <c r="HT169" i="5"/>
  <c r="HU169" i="5"/>
  <c r="HV169" i="5"/>
  <c r="HW169" i="5"/>
  <c r="HX169" i="5"/>
  <c r="HY169" i="5"/>
  <c r="HZ169" i="5"/>
  <c r="IA169" i="5"/>
  <c r="IB169" i="5"/>
  <c r="IC169" i="5"/>
  <c r="ID169" i="5"/>
  <c r="IE169" i="5"/>
  <c r="IF169" i="5"/>
  <c r="IG169" i="5"/>
  <c r="IH169" i="5"/>
  <c r="II169" i="5"/>
  <c r="IJ169" i="5"/>
  <c r="IK169" i="5"/>
  <c r="IL169" i="5"/>
  <c r="IM169" i="5"/>
  <c r="IN169" i="5"/>
  <c r="IO169" i="5"/>
  <c r="IP169" i="5"/>
  <c r="IQ169" i="5"/>
  <c r="IR169" i="5"/>
  <c r="IS169" i="5"/>
  <c r="IT169" i="5"/>
  <c r="IU169" i="5"/>
  <c r="IV169" i="5"/>
  <c r="A168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AQ168" i="5"/>
  <c r="AR168" i="5"/>
  <c r="AS168" i="5"/>
  <c r="AT168" i="5"/>
  <c r="AU168" i="5"/>
  <c r="AV168" i="5"/>
  <c r="AW168" i="5"/>
  <c r="AX168" i="5"/>
  <c r="AY168" i="5"/>
  <c r="AZ168" i="5"/>
  <c r="BA168" i="5"/>
  <c r="BB168" i="5"/>
  <c r="BC168" i="5"/>
  <c r="BD168" i="5"/>
  <c r="BE168" i="5"/>
  <c r="BF168" i="5"/>
  <c r="BG168" i="5"/>
  <c r="BH168" i="5"/>
  <c r="BI168" i="5"/>
  <c r="BJ168" i="5"/>
  <c r="BK168" i="5"/>
  <c r="BL168" i="5"/>
  <c r="BM168" i="5"/>
  <c r="BN168" i="5"/>
  <c r="BO168" i="5"/>
  <c r="BP168" i="5"/>
  <c r="BQ168" i="5"/>
  <c r="BR168" i="5"/>
  <c r="BS168" i="5"/>
  <c r="BT168" i="5"/>
  <c r="BU168" i="5"/>
  <c r="BV168" i="5"/>
  <c r="BW168" i="5"/>
  <c r="BX168" i="5"/>
  <c r="BY168" i="5"/>
  <c r="BZ168" i="5"/>
  <c r="CA168" i="5"/>
  <c r="CB168" i="5"/>
  <c r="CC168" i="5"/>
  <c r="CD168" i="5"/>
  <c r="CE168" i="5"/>
  <c r="CF168" i="5"/>
  <c r="CG168" i="5"/>
  <c r="CH168" i="5"/>
  <c r="CI168" i="5"/>
  <c r="CJ168" i="5"/>
  <c r="CK168" i="5"/>
  <c r="CL168" i="5"/>
  <c r="CM168" i="5"/>
  <c r="CN168" i="5"/>
  <c r="CO168" i="5"/>
  <c r="CP168" i="5"/>
  <c r="CQ168" i="5"/>
  <c r="CR168" i="5"/>
  <c r="CS168" i="5"/>
  <c r="CT168" i="5"/>
  <c r="CU168" i="5"/>
  <c r="CV168" i="5"/>
  <c r="CW168" i="5"/>
  <c r="CX168" i="5"/>
  <c r="CY168" i="5"/>
  <c r="CZ168" i="5"/>
  <c r="DA168" i="5"/>
  <c r="DB168" i="5"/>
  <c r="DC168" i="5"/>
  <c r="DD168" i="5"/>
  <c r="DE168" i="5"/>
  <c r="DF168" i="5"/>
  <c r="DG168" i="5"/>
  <c r="DH168" i="5"/>
  <c r="DI168" i="5"/>
  <c r="DJ168" i="5"/>
  <c r="DK168" i="5"/>
  <c r="DL168" i="5"/>
  <c r="DM168" i="5"/>
  <c r="DN168" i="5"/>
  <c r="DO168" i="5"/>
  <c r="DP168" i="5"/>
  <c r="DQ168" i="5"/>
  <c r="DR168" i="5"/>
  <c r="DS168" i="5"/>
  <c r="DT168" i="5"/>
  <c r="DU168" i="5"/>
  <c r="DV168" i="5"/>
  <c r="DW168" i="5"/>
  <c r="DX168" i="5"/>
  <c r="DY168" i="5"/>
  <c r="DZ168" i="5"/>
  <c r="EA168" i="5"/>
  <c r="EB168" i="5"/>
  <c r="EC168" i="5"/>
  <c r="ED168" i="5"/>
  <c r="EE168" i="5"/>
  <c r="EF168" i="5"/>
  <c r="EG168" i="5"/>
  <c r="EH168" i="5"/>
  <c r="EI168" i="5"/>
  <c r="EJ168" i="5"/>
  <c r="EK168" i="5"/>
  <c r="EL168" i="5"/>
  <c r="EM168" i="5"/>
  <c r="EN168" i="5"/>
  <c r="EO168" i="5"/>
  <c r="EP168" i="5"/>
  <c r="EQ168" i="5"/>
  <c r="ER168" i="5"/>
  <c r="ES168" i="5"/>
  <c r="ET168" i="5"/>
  <c r="EU168" i="5"/>
  <c r="EV168" i="5"/>
  <c r="EW168" i="5"/>
  <c r="EX168" i="5"/>
  <c r="EY168" i="5"/>
  <c r="EZ168" i="5"/>
  <c r="FA168" i="5"/>
  <c r="FB168" i="5"/>
  <c r="FC168" i="5"/>
  <c r="FD168" i="5"/>
  <c r="FE168" i="5"/>
  <c r="FF168" i="5"/>
  <c r="FG168" i="5"/>
  <c r="FH168" i="5"/>
  <c r="FI168" i="5"/>
  <c r="FJ168" i="5"/>
  <c r="FK168" i="5"/>
  <c r="FL168" i="5"/>
  <c r="FM168" i="5"/>
  <c r="FN168" i="5"/>
  <c r="FO168" i="5"/>
  <c r="FP168" i="5"/>
  <c r="FQ168" i="5"/>
  <c r="FR168" i="5"/>
  <c r="FS168" i="5"/>
  <c r="FT168" i="5"/>
  <c r="FU168" i="5"/>
  <c r="FV168" i="5"/>
  <c r="FW168" i="5"/>
  <c r="FX168" i="5"/>
  <c r="FY168" i="5"/>
  <c r="FZ168" i="5"/>
  <c r="GA168" i="5"/>
  <c r="GB168" i="5"/>
  <c r="GC168" i="5"/>
  <c r="GD168" i="5"/>
  <c r="GE168" i="5"/>
  <c r="GF168" i="5"/>
  <c r="GG168" i="5"/>
  <c r="GH168" i="5"/>
  <c r="GI168" i="5"/>
  <c r="GJ168" i="5"/>
  <c r="GK168" i="5"/>
  <c r="GL168" i="5"/>
  <c r="GM168" i="5"/>
  <c r="GN168" i="5"/>
  <c r="GO168" i="5"/>
  <c r="GP168" i="5"/>
  <c r="GQ168" i="5"/>
  <c r="GR168" i="5"/>
  <c r="GS168" i="5"/>
  <c r="GT168" i="5"/>
  <c r="GU168" i="5"/>
  <c r="GV168" i="5"/>
  <c r="GW168" i="5"/>
  <c r="GX168" i="5"/>
  <c r="GY168" i="5"/>
  <c r="GZ168" i="5"/>
  <c r="HA168" i="5"/>
  <c r="HB168" i="5"/>
  <c r="HC168" i="5"/>
  <c r="HD168" i="5"/>
  <c r="HE168" i="5"/>
  <c r="HF168" i="5"/>
  <c r="HG168" i="5"/>
  <c r="HH168" i="5"/>
  <c r="HI168" i="5"/>
  <c r="HJ168" i="5"/>
  <c r="HK168" i="5"/>
  <c r="HL168" i="5"/>
  <c r="HM168" i="5"/>
  <c r="HN168" i="5"/>
  <c r="HO168" i="5"/>
  <c r="HP168" i="5"/>
  <c r="HQ168" i="5"/>
  <c r="HR168" i="5"/>
  <c r="HS168" i="5"/>
  <c r="HT168" i="5"/>
  <c r="HU168" i="5"/>
  <c r="HV168" i="5"/>
  <c r="HW168" i="5"/>
  <c r="HX168" i="5"/>
  <c r="HY168" i="5"/>
  <c r="HZ168" i="5"/>
  <c r="IA168" i="5"/>
  <c r="IB168" i="5"/>
  <c r="IC168" i="5"/>
  <c r="ID168" i="5"/>
  <c r="IE168" i="5"/>
  <c r="IF168" i="5"/>
  <c r="IG168" i="5"/>
  <c r="IH168" i="5"/>
  <c r="II168" i="5"/>
  <c r="IJ168" i="5"/>
  <c r="IK168" i="5"/>
  <c r="IL168" i="5"/>
  <c r="IM168" i="5"/>
  <c r="IN168" i="5"/>
  <c r="IO168" i="5"/>
  <c r="IP168" i="5"/>
  <c r="IQ168" i="5"/>
  <c r="IR168" i="5"/>
  <c r="IS168" i="5"/>
  <c r="IT168" i="5"/>
  <c r="IU168" i="5"/>
  <c r="IV168" i="5"/>
  <c r="A167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Q167" i="5"/>
  <c r="AR167" i="5"/>
  <c r="AS167" i="5"/>
  <c r="AT167" i="5"/>
  <c r="AU167" i="5"/>
  <c r="AV167" i="5"/>
  <c r="AW167" i="5"/>
  <c r="AX167" i="5"/>
  <c r="AY167" i="5"/>
  <c r="AZ167" i="5"/>
  <c r="BA167" i="5"/>
  <c r="BB167" i="5"/>
  <c r="BC167" i="5"/>
  <c r="BD167" i="5"/>
  <c r="BE167" i="5"/>
  <c r="BF167" i="5"/>
  <c r="BG167" i="5"/>
  <c r="BH167" i="5"/>
  <c r="BI167" i="5"/>
  <c r="BJ167" i="5"/>
  <c r="BK167" i="5"/>
  <c r="BL167" i="5"/>
  <c r="BM167" i="5"/>
  <c r="BN167" i="5"/>
  <c r="BO167" i="5"/>
  <c r="BP167" i="5"/>
  <c r="BQ167" i="5"/>
  <c r="BR167" i="5"/>
  <c r="BS167" i="5"/>
  <c r="BT167" i="5"/>
  <c r="BU167" i="5"/>
  <c r="BV167" i="5"/>
  <c r="BW167" i="5"/>
  <c r="BX167" i="5"/>
  <c r="BY167" i="5"/>
  <c r="BZ167" i="5"/>
  <c r="CA167" i="5"/>
  <c r="CB167" i="5"/>
  <c r="CC167" i="5"/>
  <c r="CD167" i="5"/>
  <c r="CE167" i="5"/>
  <c r="CF167" i="5"/>
  <c r="CG167" i="5"/>
  <c r="CH167" i="5"/>
  <c r="CI167" i="5"/>
  <c r="CJ167" i="5"/>
  <c r="CK167" i="5"/>
  <c r="CL167" i="5"/>
  <c r="CM167" i="5"/>
  <c r="CN167" i="5"/>
  <c r="CO167" i="5"/>
  <c r="CP167" i="5"/>
  <c r="CQ167" i="5"/>
  <c r="CR167" i="5"/>
  <c r="CS167" i="5"/>
  <c r="CT167" i="5"/>
  <c r="CU167" i="5"/>
  <c r="CV167" i="5"/>
  <c r="CW167" i="5"/>
  <c r="CX167" i="5"/>
  <c r="CY167" i="5"/>
  <c r="CZ167" i="5"/>
  <c r="DA167" i="5"/>
  <c r="DB167" i="5"/>
  <c r="DC167" i="5"/>
  <c r="DD167" i="5"/>
  <c r="DE167" i="5"/>
  <c r="DF167" i="5"/>
  <c r="DG167" i="5"/>
  <c r="DH167" i="5"/>
  <c r="DI167" i="5"/>
  <c r="DJ167" i="5"/>
  <c r="DK167" i="5"/>
  <c r="DL167" i="5"/>
  <c r="DM167" i="5"/>
  <c r="DN167" i="5"/>
  <c r="DO167" i="5"/>
  <c r="DP167" i="5"/>
  <c r="DQ167" i="5"/>
  <c r="DR167" i="5"/>
  <c r="DS167" i="5"/>
  <c r="DT167" i="5"/>
  <c r="DU167" i="5"/>
  <c r="DV167" i="5"/>
  <c r="DW167" i="5"/>
  <c r="DX167" i="5"/>
  <c r="DY167" i="5"/>
  <c r="DZ167" i="5"/>
  <c r="EA167" i="5"/>
  <c r="EB167" i="5"/>
  <c r="EC167" i="5"/>
  <c r="ED167" i="5"/>
  <c r="EE167" i="5"/>
  <c r="EF167" i="5"/>
  <c r="EG167" i="5"/>
  <c r="EH167" i="5"/>
  <c r="EI167" i="5"/>
  <c r="EJ167" i="5"/>
  <c r="EK167" i="5"/>
  <c r="EL167" i="5"/>
  <c r="EM167" i="5"/>
  <c r="EN167" i="5"/>
  <c r="EO167" i="5"/>
  <c r="EP167" i="5"/>
  <c r="EQ167" i="5"/>
  <c r="ER167" i="5"/>
  <c r="ES167" i="5"/>
  <c r="ET167" i="5"/>
  <c r="EU167" i="5"/>
  <c r="EV167" i="5"/>
  <c r="EW167" i="5"/>
  <c r="EX167" i="5"/>
  <c r="EY167" i="5"/>
  <c r="EZ167" i="5"/>
  <c r="FA167" i="5"/>
  <c r="FB167" i="5"/>
  <c r="FC167" i="5"/>
  <c r="FD167" i="5"/>
  <c r="FE167" i="5"/>
  <c r="FF167" i="5"/>
  <c r="FG167" i="5"/>
  <c r="FH167" i="5"/>
  <c r="FI167" i="5"/>
  <c r="FJ167" i="5"/>
  <c r="FK167" i="5"/>
  <c r="FL167" i="5"/>
  <c r="FM167" i="5"/>
  <c r="FN167" i="5"/>
  <c r="FO167" i="5"/>
  <c r="FP167" i="5"/>
  <c r="FQ167" i="5"/>
  <c r="FR167" i="5"/>
  <c r="FS167" i="5"/>
  <c r="FT167" i="5"/>
  <c r="FU167" i="5"/>
  <c r="FV167" i="5"/>
  <c r="FW167" i="5"/>
  <c r="FX167" i="5"/>
  <c r="FY167" i="5"/>
  <c r="FZ167" i="5"/>
  <c r="GA167" i="5"/>
  <c r="GB167" i="5"/>
  <c r="GC167" i="5"/>
  <c r="GD167" i="5"/>
  <c r="GE167" i="5"/>
  <c r="GF167" i="5"/>
  <c r="GG167" i="5"/>
  <c r="GH167" i="5"/>
  <c r="GI167" i="5"/>
  <c r="GJ167" i="5"/>
  <c r="GK167" i="5"/>
  <c r="GL167" i="5"/>
  <c r="GM167" i="5"/>
  <c r="GN167" i="5"/>
  <c r="GO167" i="5"/>
  <c r="GP167" i="5"/>
  <c r="GQ167" i="5"/>
  <c r="GR167" i="5"/>
  <c r="GS167" i="5"/>
  <c r="GT167" i="5"/>
  <c r="GU167" i="5"/>
  <c r="GV167" i="5"/>
  <c r="GW167" i="5"/>
  <c r="GX167" i="5"/>
  <c r="GY167" i="5"/>
  <c r="GZ167" i="5"/>
  <c r="HA167" i="5"/>
  <c r="HB167" i="5"/>
  <c r="HC167" i="5"/>
  <c r="HD167" i="5"/>
  <c r="HE167" i="5"/>
  <c r="HF167" i="5"/>
  <c r="HG167" i="5"/>
  <c r="HH167" i="5"/>
  <c r="HI167" i="5"/>
  <c r="HJ167" i="5"/>
  <c r="HK167" i="5"/>
  <c r="HL167" i="5"/>
  <c r="HM167" i="5"/>
  <c r="HN167" i="5"/>
  <c r="HO167" i="5"/>
  <c r="HP167" i="5"/>
  <c r="HQ167" i="5"/>
  <c r="HR167" i="5"/>
  <c r="HS167" i="5"/>
  <c r="HT167" i="5"/>
  <c r="HU167" i="5"/>
  <c r="HV167" i="5"/>
  <c r="HW167" i="5"/>
  <c r="HX167" i="5"/>
  <c r="HY167" i="5"/>
  <c r="HZ167" i="5"/>
  <c r="IA167" i="5"/>
  <c r="IB167" i="5"/>
  <c r="IC167" i="5"/>
  <c r="ID167" i="5"/>
  <c r="IE167" i="5"/>
  <c r="IF167" i="5"/>
  <c r="IG167" i="5"/>
  <c r="IH167" i="5"/>
  <c r="II167" i="5"/>
  <c r="IJ167" i="5"/>
  <c r="IK167" i="5"/>
  <c r="IL167" i="5"/>
  <c r="IM167" i="5"/>
  <c r="IN167" i="5"/>
  <c r="IO167" i="5"/>
  <c r="IP167" i="5"/>
  <c r="IQ167" i="5"/>
  <c r="IR167" i="5"/>
  <c r="IS167" i="5"/>
  <c r="IT167" i="5"/>
  <c r="IU167" i="5"/>
  <c r="IV167" i="5"/>
  <c r="A166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AQ166" i="5"/>
  <c r="AR166" i="5"/>
  <c r="AS166" i="5"/>
  <c r="AT166" i="5"/>
  <c r="AU166" i="5"/>
  <c r="AV166" i="5"/>
  <c r="AW166" i="5"/>
  <c r="AX166" i="5"/>
  <c r="AY166" i="5"/>
  <c r="AZ166" i="5"/>
  <c r="BA166" i="5"/>
  <c r="BB166" i="5"/>
  <c r="BC166" i="5"/>
  <c r="BD166" i="5"/>
  <c r="BE166" i="5"/>
  <c r="BF166" i="5"/>
  <c r="BG166" i="5"/>
  <c r="BH166" i="5"/>
  <c r="BI166" i="5"/>
  <c r="BJ166" i="5"/>
  <c r="BK166" i="5"/>
  <c r="BL166" i="5"/>
  <c r="BM166" i="5"/>
  <c r="BN166" i="5"/>
  <c r="BO166" i="5"/>
  <c r="BP166" i="5"/>
  <c r="BQ166" i="5"/>
  <c r="BR166" i="5"/>
  <c r="BS166" i="5"/>
  <c r="BT166" i="5"/>
  <c r="BU166" i="5"/>
  <c r="BV166" i="5"/>
  <c r="BW166" i="5"/>
  <c r="BX166" i="5"/>
  <c r="BY166" i="5"/>
  <c r="BZ166" i="5"/>
  <c r="CA166" i="5"/>
  <c r="CB166" i="5"/>
  <c r="CC166" i="5"/>
  <c r="CD166" i="5"/>
  <c r="CE166" i="5"/>
  <c r="CF166" i="5"/>
  <c r="CG166" i="5"/>
  <c r="CH166" i="5"/>
  <c r="CI166" i="5"/>
  <c r="CJ166" i="5"/>
  <c r="CK166" i="5"/>
  <c r="CL166" i="5"/>
  <c r="CM166" i="5"/>
  <c r="CN166" i="5"/>
  <c r="CO166" i="5"/>
  <c r="CP166" i="5"/>
  <c r="CQ166" i="5"/>
  <c r="CR166" i="5"/>
  <c r="CS166" i="5"/>
  <c r="CT166" i="5"/>
  <c r="CU166" i="5"/>
  <c r="CV166" i="5"/>
  <c r="CW166" i="5"/>
  <c r="CX166" i="5"/>
  <c r="CY166" i="5"/>
  <c r="CZ166" i="5"/>
  <c r="DA166" i="5"/>
  <c r="DB166" i="5"/>
  <c r="DC166" i="5"/>
  <c r="DD166" i="5"/>
  <c r="DE166" i="5"/>
  <c r="DF166" i="5"/>
  <c r="DG166" i="5"/>
  <c r="DH166" i="5"/>
  <c r="DI166" i="5"/>
  <c r="DJ166" i="5"/>
  <c r="DK166" i="5"/>
  <c r="DL166" i="5"/>
  <c r="DM166" i="5"/>
  <c r="DN166" i="5"/>
  <c r="DO166" i="5"/>
  <c r="DP166" i="5"/>
  <c r="DQ166" i="5"/>
  <c r="DR166" i="5"/>
  <c r="DS166" i="5"/>
  <c r="DT166" i="5"/>
  <c r="DU166" i="5"/>
  <c r="DV166" i="5"/>
  <c r="DW166" i="5"/>
  <c r="DX166" i="5"/>
  <c r="DY166" i="5"/>
  <c r="DZ166" i="5"/>
  <c r="EA166" i="5"/>
  <c r="EB166" i="5"/>
  <c r="EC166" i="5"/>
  <c r="ED166" i="5"/>
  <c r="EE166" i="5"/>
  <c r="EF166" i="5"/>
  <c r="EG166" i="5"/>
  <c r="EH166" i="5"/>
  <c r="EI166" i="5"/>
  <c r="EJ166" i="5"/>
  <c r="EK166" i="5"/>
  <c r="EL166" i="5"/>
  <c r="EM166" i="5"/>
  <c r="EN166" i="5"/>
  <c r="EO166" i="5"/>
  <c r="EP166" i="5"/>
  <c r="EQ166" i="5"/>
  <c r="ER166" i="5"/>
  <c r="ES166" i="5"/>
  <c r="ET166" i="5"/>
  <c r="EU166" i="5"/>
  <c r="EV166" i="5"/>
  <c r="EW166" i="5"/>
  <c r="EX166" i="5"/>
  <c r="EY166" i="5"/>
  <c r="EZ166" i="5"/>
  <c r="FA166" i="5"/>
  <c r="FB166" i="5"/>
  <c r="FC166" i="5"/>
  <c r="FD166" i="5"/>
  <c r="FE166" i="5"/>
  <c r="FF166" i="5"/>
  <c r="FG166" i="5"/>
  <c r="FH166" i="5"/>
  <c r="FI166" i="5"/>
  <c r="FJ166" i="5"/>
  <c r="FK166" i="5"/>
  <c r="FL166" i="5"/>
  <c r="FM166" i="5"/>
  <c r="FN166" i="5"/>
  <c r="FO166" i="5"/>
  <c r="FP166" i="5"/>
  <c r="FQ166" i="5"/>
  <c r="FR166" i="5"/>
  <c r="FS166" i="5"/>
  <c r="FT166" i="5"/>
  <c r="FU166" i="5"/>
  <c r="FV166" i="5"/>
  <c r="FW166" i="5"/>
  <c r="FX166" i="5"/>
  <c r="FY166" i="5"/>
  <c r="FZ166" i="5"/>
  <c r="GA166" i="5"/>
  <c r="GB166" i="5"/>
  <c r="GC166" i="5"/>
  <c r="GD166" i="5"/>
  <c r="GE166" i="5"/>
  <c r="GF166" i="5"/>
  <c r="GG166" i="5"/>
  <c r="GH166" i="5"/>
  <c r="GI166" i="5"/>
  <c r="GJ166" i="5"/>
  <c r="GK166" i="5"/>
  <c r="GL166" i="5"/>
  <c r="GM166" i="5"/>
  <c r="GN166" i="5"/>
  <c r="GO166" i="5"/>
  <c r="GP166" i="5"/>
  <c r="GQ166" i="5"/>
  <c r="GR166" i="5"/>
  <c r="GS166" i="5"/>
  <c r="GT166" i="5"/>
  <c r="GU166" i="5"/>
  <c r="GV166" i="5"/>
  <c r="GW166" i="5"/>
  <c r="GX166" i="5"/>
  <c r="GY166" i="5"/>
  <c r="GZ166" i="5"/>
  <c r="HA166" i="5"/>
  <c r="HB166" i="5"/>
  <c r="HC166" i="5"/>
  <c r="HD166" i="5"/>
  <c r="HE166" i="5"/>
  <c r="HF166" i="5"/>
  <c r="HG166" i="5"/>
  <c r="HH166" i="5"/>
  <c r="HI166" i="5"/>
  <c r="HJ166" i="5"/>
  <c r="HK166" i="5"/>
  <c r="HL166" i="5"/>
  <c r="HM166" i="5"/>
  <c r="HN166" i="5"/>
  <c r="HO166" i="5"/>
  <c r="HP166" i="5"/>
  <c r="HQ166" i="5"/>
  <c r="HR166" i="5"/>
  <c r="HS166" i="5"/>
  <c r="HT166" i="5"/>
  <c r="HU166" i="5"/>
  <c r="HV166" i="5"/>
  <c r="HW166" i="5"/>
  <c r="HX166" i="5"/>
  <c r="HY166" i="5"/>
  <c r="HZ166" i="5"/>
  <c r="IA166" i="5"/>
  <c r="IB166" i="5"/>
  <c r="IC166" i="5"/>
  <c r="ID166" i="5"/>
  <c r="IE166" i="5"/>
  <c r="IF166" i="5"/>
  <c r="IG166" i="5"/>
  <c r="IH166" i="5"/>
  <c r="II166" i="5"/>
  <c r="IJ166" i="5"/>
  <c r="IK166" i="5"/>
  <c r="IL166" i="5"/>
  <c r="IM166" i="5"/>
  <c r="IN166" i="5"/>
  <c r="IO166" i="5"/>
  <c r="IP166" i="5"/>
  <c r="IQ166" i="5"/>
  <c r="IR166" i="5"/>
  <c r="IS166" i="5"/>
  <c r="IT166" i="5"/>
  <c r="IU166" i="5"/>
  <c r="IV166" i="5"/>
  <c r="A165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AQ165" i="5"/>
  <c r="AR165" i="5"/>
  <c r="AS165" i="5"/>
  <c r="AT165" i="5"/>
  <c r="AU165" i="5"/>
  <c r="AV165" i="5"/>
  <c r="AW165" i="5"/>
  <c r="AX165" i="5"/>
  <c r="AY165" i="5"/>
  <c r="AZ165" i="5"/>
  <c r="BA165" i="5"/>
  <c r="BB165" i="5"/>
  <c r="BC165" i="5"/>
  <c r="BD165" i="5"/>
  <c r="BE165" i="5"/>
  <c r="BF165" i="5"/>
  <c r="BG165" i="5"/>
  <c r="BH165" i="5"/>
  <c r="BI165" i="5"/>
  <c r="BJ165" i="5"/>
  <c r="BK165" i="5"/>
  <c r="BL165" i="5"/>
  <c r="BM165" i="5"/>
  <c r="BN165" i="5"/>
  <c r="BO165" i="5"/>
  <c r="BP165" i="5"/>
  <c r="BQ165" i="5"/>
  <c r="BR165" i="5"/>
  <c r="BS165" i="5"/>
  <c r="BT165" i="5"/>
  <c r="BU165" i="5"/>
  <c r="BV165" i="5"/>
  <c r="BW165" i="5"/>
  <c r="BX165" i="5"/>
  <c r="BY165" i="5"/>
  <c r="BZ165" i="5"/>
  <c r="CA165" i="5"/>
  <c r="CB165" i="5"/>
  <c r="CC165" i="5"/>
  <c r="CD165" i="5"/>
  <c r="CE165" i="5"/>
  <c r="CF165" i="5"/>
  <c r="CG165" i="5"/>
  <c r="CH165" i="5"/>
  <c r="CI165" i="5"/>
  <c r="CJ165" i="5"/>
  <c r="CK165" i="5"/>
  <c r="CL165" i="5"/>
  <c r="CM165" i="5"/>
  <c r="CN165" i="5"/>
  <c r="CO165" i="5"/>
  <c r="CP165" i="5"/>
  <c r="CQ165" i="5"/>
  <c r="CR165" i="5"/>
  <c r="CS165" i="5"/>
  <c r="CT165" i="5"/>
  <c r="CU165" i="5"/>
  <c r="CV165" i="5"/>
  <c r="CW165" i="5"/>
  <c r="CX165" i="5"/>
  <c r="CY165" i="5"/>
  <c r="CZ165" i="5"/>
  <c r="DA165" i="5"/>
  <c r="DB165" i="5"/>
  <c r="DC165" i="5"/>
  <c r="DD165" i="5"/>
  <c r="DE165" i="5"/>
  <c r="DF165" i="5"/>
  <c r="DG165" i="5"/>
  <c r="DH165" i="5"/>
  <c r="DI165" i="5"/>
  <c r="DJ165" i="5"/>
  <c r="DK165" i="5"/>
  <c r="DL165" i="5"/>
  <c r="DM165" i="5"/>
  <c r="DN165" i="5"/>
  <c r="DO165" i="5"/>
  <c r="DP165" i="5"/>
  <c r="DQ165" i="5"/>
  <c r="DR165" i="5"/>
  <c r="DS165" i="5"/>
  <c r="DT165" i="5"/>
  <c r="DU165" i="5"/>
  <c r="DV165" i="5"/>
  <c r="DW165" i="5"/>
  <c r="DX165" i="5"/>
  <c r="DY165" i="5"/>
  <c r="DZ165" i="5"/>
  <c r="EA165" i="5"/>
  <c r="EB165" i="5"/>
  <c r="EC165" i="5"/>
  <c r="ED165" i="5"/>
  <c r="EE165" i="5"/>
  <c r="EF165" i="5"/>
  <c r="EG165" i="5"/>
  <c r="EH165" i="5"/>
  <c r="EI165" i="5"/>
  <c r="EJ165" i="5"/>
  <c r="EK165" i="5"/>
  <c r="EL165" i="5"/>
  <c r="EM165" i="5"/>
  <c r="EN165" i="5"/>
  <c r="EO165" i="5"/>
  <c r="EP165" i="5"/>
  <c r="EQ165" i="5"/>
  <c r="ER165" i="5"/>
  <c r="ES165" i="5"/>
  <c r="ET165" i="5"/>
  <c r="EU165" i="5"/>
  <c r="EV165" i="5"/>
  <c r="EW165" i="5"/>
  <c r="EX165" i="5"/>
  <c r="EY165" i="5"/>
  <c r="EZ165" i="5"/>
  <c r="FA165" i="5"/>
  <c r="FB165" i="5"/>
  <c r="FC165" i="5"/>
  <c r="FD165" i="5"/>
  <c r="FE165" i="5"/>
  <c r="FF165" i="5"/>
  <c r="FG165" i="5"/>
  <c r="FH165" i="5"/>
  <c r="FI165" i="5"/>
  <c r="FJ165" i="5"/>
  <c r="FK165" i="5"/>
  <c r="FL165" i="5"/>
  <c r="FM165" i="5"/>
  <c r="FN165" i="5"/>
  <c r="FO165" i="5"/>
  <c r="FP165" i="5"/>
  <c r="FQ165" i="5"/>
  <c r="FR165" i="5"/>
  <c r="FS165" i="5"/>
  <c r="FT165" i="5"/>
  <c r="FU165" i="5"/>
  <c r="FV165" i="5"/>
  <c r="FW165" i="5"/>
  <c r="FX165" i="5"/>
  <c r="FY165" i="5"/>
  <c r="FZ165" i="5"/>
  <c r="GA165" i="5"/>
  <c r="GB165" i="5"/>
  <c r="GC165" i="5"/>
  <c r="GD165" i="5"/>
  <c r="GE165" i="5"/>
  <c r="GF165" i="5"/>
  <c r="GG165" i="5"/>
  <c r="GH165" i="5"/>
  <c r="GI165" i="5"/>
  <c r="GJ165" i="5"/>
  <c r="GK165" i="5"/>
  <c r="GL165" i="5"/>
  <c r="GM165" i="5"/>
  <c r="GN165" i="5"/>
  <c r="GO165" i="5"/>
  <c r="GP165" i="5"/>
  <c r="GQ165" i="5"/>
  <c r="GR165" i="5"/>
  <c r="GS165" i="5"/>
  <c r="GT165" i="5"/>
  <c r="GU165" i="5"/>
  <c r="GV165" i="5"/>
  <c r="GW165" i="5"/>
  <c r="GX165" i="5"/>
  <c r="GY165" i="5"/>
  <c r="GZ165" i="5"/>
  <c r="HA165" i="5"/>
  <c r="HB165" i="5"/>
  <c r="HC165" i="5"/>
  <c r="HD165" i="5"/>
  <c r="HE165" i="5"/>
  <c r="HF165" i="5"/>
  <c r="HG165" i="5"/>
  <c r="HH165" i="5"/>
  <c r="HI165" i="5"/>
  <c r="HJ165" i="5"/>
  <c r="HK165" i="5"/>
  <c r="HL165" i="5"/>
  <c r="HM165" i="5"/>
  <c r="HN165" i="5"/>
  <c r="HO165" i="5"/>
  <c r="HP165" i="5"/>
  <c r="HQ165" i="5"/>
  <c r="HR165" i="5"/>
  <c r="HS165" i="5"/>
  <c r="HT165" i="5"/>
  <c r="HU165" i="5"/>
  <c r="HV165" i="5"/>
  <c r="HW165" i="5"/>
  <c r="HX165" i="5"/>
  <c r="HY165" i="5"/>
  <c r="HZ165" i="5"/>
  <c r="IA165" i="5"/>
  <c r="IB165" i="5"/>
  <c r="IC165" i="5"/>
  <c r="ID165" i="5"/>
  <c r="IE165" i="5"/>
  <c r="IF165" i="5"/>
  <c r="IG165" i="5"/>
  <c r="IH165" i="5"/>
  <c r="II165" i="5"/>
  <c r="IJ165" i="5"/>
  <c r="IK165" i="5"/>
  <c r="IL165" i="5"/>
  <c r="IM165" i="5"/>
  <c r="IN165" i="5"/>
  <c r="IO165" i="5"/>
  <c r="IP165" i="5"/>
  <c r="IQ165" i="5"/>
  <c r="IR165" i="5"/>
  <c r="IS165" i="5"/>
  <c r="IT165" i="5"/>
  <c r="IU165" i="5"/>
  <c r="IV165" i="5"/>
  <c r="A164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AQ164" i="5"/>
  <c r="AR164" i="5"/>
  <c r="AS164" i="5"/>
  <c r="AT164" i="5"/>
  <c r="AU164" i="5"/>
  <c r="AV164" i="5"/>
  <c r="AW164" i="5"/>
  <c r="AX164" i="5"/>
  <c r="AY164" i="5"/>
  <c r="AZ164" i="5"/>
  <c r="BA164" i="5"/>
  <c r="BB164" i="5"/>
  <c r="BC164" i="5"/>
  <c r="BD164" i="5"/>
  <c r="BE164" i="5"/>
  <c r="BF164" i="5"/>
  <c r="BG164" i="5"/>
  <c r="BH164" i="5"/>
  <c r="BI164" i="5"/>
  <c r="BJ164" i="5"/>
  <c r="BK164" i="5"/>
  <c r="BL164" i="5"/>
  <c r="BM164" i="5"/>
  <c r="BN164" i="5"/>
  <c r="BO164" i="5"/>
  <c r="BP164" i="5"/>
  <c r="BQ164" i="5"/>
  <c r="BR164" i="5"/>
  <c r="BS164" i="5"/>
  <c r="BT164" i="5"/>
  <c r="BU164" i="5"/>
  <c r="BV164" i="5"/>
  <c r="BW164" i="5"/>
  <c r="BX164" i="5"/>
  <c r="BY164" i="5"/>
  <c r="BZ164" i="5"/>
  <c r="CA164" i="5"/>
  <c r="CB164" i="5"/>
  <c r="CC164" i="5"/>
  <c r="CD164" i="5"/>
  <c r="CE164" i="5"/>
  <c r="CF164" i="5"/>
  <c r="CG164" i="5"/>
  <c r="CH164" i="5"/>
  <c r="CI164" i="5"/>
  <c r="CJ164" i="5"/>
  <c r="CK164" i="5"/>
  <c r="CL164" i="5"/>
  <c r="CM164" i="5"/>
  <c r="CN164" i="5"/>
  <c r="CO164" i="5"/>
  <c r="CP164" i="5"/>
  <c r="CQ164" i="5"/>
  <c r="CR164" i="5"/>
  <c r="CS164" i="5"/>
  <c r="CT164" i="5"/>
  <c r="CU164" i="5"/>
  <c r="CV164" i="5"/>
  <c r="CW164" i="5"/>
  <c r="CX164" i="5"/>
  <c r="CY164" i="5"/>
  <c r="CZ164" i="5"/>
  <c r="DA164" i="5"/>
  <c r="DB164" i="5"/>
  <c r="DC164" i="5"/>
  <c r="DD164" i="5"/>
  <c r="DE164" i="5"/>
  <c r="DF164" i="5"/>
  <c r="DG164" i="5"/>
  <c r="DH164" i="5"/>
  <c r="DI164" i="5"/>
  <c r="DJ164" i="5"/>
  <c r="DK164" i="5"/>
  <c r="DL164" i="5"/>
  <c r="DM164" i="5"/>
  <c r="DN164" i="5"/>
  <c r="DO164" i="5"/>
  <c r="DP164" i="5"/>
  <c r="DQ164" i="5"/>
  <c r="DR164" i="5"/>
  <c r="DS164" i="5"/>
  <c r="DT164" i="5"/>
  <c r="DU164" i="5"/>
  <c r="DV164" i="5"/>
  <c r="DW164" i="5"/>
  <c r="DX164" i="5"/>
  <c r="DY164" i="5"/>
  <c r="DZ164" i="5"/>
  <c r="EA164" i="5"/>
  <c r="EB164" i="5"/>
  <c r="EC164" i="5"/>
  <c r="ED164" i="5"/>
  <c r="EE164" i="5"/>
  <c r="EF164" i="5"/>
  <c r="EG164" i="5"/>
  <c r="EH164" i="5"/>
  <c r="EI164" i="5"/>
  <c r="EJ164" i="5"/>
  <c r="EK164" i="5"/>
  <c r="EL164" i="5"/>
  <c r="EM164" i="5"/>
  <c r="EN164" i="5"/>
  <c r="EO164" i="5"/>
  <c r="EP164" i="5"/>
  <c r="EQ164" i="5"/>
  <c r="ER164" i="5"/>
  <c r="ES164" i="5"/>
  <c r="ET164" i="5"/>
  <c r="EU164" i="5"/>
  <c r="EV164" i="5"/>
  <c r="EW164" i="5"/>
  <c r="EX164" i="5"/>
  <c r="EY164" i="5"/>
  <c r="EZ164" i="5"/>
  <c r="FA164" i="5"/>
  <c r="FB164" i="5"/>
  <c r="FC164" i="5"/>
  <c r="FD164" i="5"/>
  <c r="FE164" i="5"/>
  <c r="FF164" i="5"/>
  <c r="FG164" i="5"/>
  <c r="FH164" i="5"/>
  <c r="FI164" i="5"/>
  <c r="FJ164" i="5"/>
  <c r="FK164" i="5"/>
  <c r="FL164" i="5"/>
  <c r="FM164" i="5"/>
  <c r="FN164" i="5"/>
  <c r="FO164" i="5"/>
  <c r="FP164" i="5"/>
  <c r="FQ164" i="5"/>
  <c r="FR164" i="5"/>
  <c r="FS164" i="5"/>
  <c r="FT164" i="5"/>
  <c r="FU164" i="5"/>
  <c r="FV164" i="5"/>
  <c r="FW164" i="5"/>
  <c r="FX164" i="5"/>
  <c r="FY164" i="5"/>
  <c r="FZ164" i="5"/>
  <c r="GA164" i="5"/>
  <c r="GB164" i="5"/>
  <c r="GC164" i="5"/>
  <c r="GD164" i="5"/>
  <c r="GE164" i="5"/>
  <c r="GF164" i="5"/>
  <c r="GG164" i="5"/>
  <c r="GH164" i="5"/>
  <c r="GI164" i="5"/>
  <c r="GJ164" i="5"/>
  <c r="GK164" i="5"/>
  <c r="GL164" i="5"/>
  <c r="GM164" i="5"/>
  <c r="GN164" i="5"/>
  <c r="GO164" i="5"/>
  <c r="GP164" i="5"/>
  <c r="GQ164" i="5"/>
  <c r="GR164" i="5"/>
  <c r="GS164" i="5"/>
  <c r="GT164" i="5"/>
  <c r="GU164" i="5"/>
  <c r="GV164" i="5"/>
  <c r="GW164" i="5"/>
  <c r="GX164" i="5"/>
  <c r="GY164" i="5"/>
  <c r="GZ164" i="5"/>
  <c r="HA164" i="5"/>
  <c r="HB164" i="5"/>
  <c r="HC164" i="5"/>
  <c r="HD164" i="5"/>
  <c r="HE164" i="5"/>
  <c r="HF164" i="5"/>
  <c r="HG164" i="5"/>
  <c r="HH164" i="5"/>
  <c r="HI164" i="5"/>
  <c r="HJ164" i="5"/>
  <c r="HK164" i="5"/>
  <c r="HL164" i="5"/>
  <c r="HM164" i="5"/>
  <c r="HN164" i="5"/>
  <c r="HO164" i="5"/>
  <c r="HP164" i="5"/>
  <c r="HQ164" i="5"/>
  <c r="HR164" i="5"/>
  <c r="HS164" i="5"/>
  <c r="HT164" i="5"/>
  <c r="HU164" i="5"/>
  <c r="HV164" i="5"/>
  <c r="HW164" i="5"/>
  <c r="HX164" i="5"/>
  <c r="HY164" i="5"/>
  <c r="HZ164" i="5"/>
  <c r="IA164" i="5"/>
  <c r="IB164" i="5"/>
  <c r="IC164" i="5"/>
  <c r="ID164" i="5"/>
  <c r="IE164" i="5"/>
  <c r="IF164" i="5"/>
  <c r="IG164" i="5"/>
  <c r="IH164" i="5"/>
  <c r="II164" i="5"/>
  <c r="IJ164" i="5"/>
  <c r="IK164" i="5"/>
  <c r="IL164" i="5"/>
  <c r="IM164" i="5"/>
  <c r="IN164" i="5"/>
  <c r="IO164" i="5"/>
  <c r="IP164" i="5"/>
  <c r="IQ164" i="5"/>
  <c r="IR164" i="5"/>
  <c r="IS164" i="5"/>
  <c r="IT164" i="5"/>
  <c r="IU164" i="5"/>
  <c r="IV164" i="5"/>
  <c r="A163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AQ163" i="5"/>
  <c r="AR163" i="5"/>
  <c r="AS163" i="5"/>
  <c r="AT163" i="5"/>
  <c r="AU163" i="5"/>
  <c r="AV163" i="5"/>
  <c r="AW163" i="5"/>
  <c r="AX163" i="5"/>
  <c r="AY163" i="5"/>
  <c r="AZ163" i="5"/>
  <c r="BA163" i="5"/>
  <c r="BB163" i="5"/>
  <c r="BC163" i="5"/>
  <c r="BD163" i="5"/>
  <c r="BE163" i="5"/>
  <c r="BF163" i="5"/>
  <c r="BG163" i="5"/>
  <c r="BH163" i="5"/>
  <c r="BI163" i="5"/>
  <c r="BJ163" i="5"/>
  <c r="BK163" i="5"/>
  <c r="BL163" i="5"/>
  <c r="BM163" i="5"/>
  <c r="BN163" i="5"/>
  <c r="BO163" i="5"/>
  <c r="BP163" i="5"/>
  <c r="BQ163" i="5"/>
  <c r="BR163" i="5"/>
  <c r="BS163" i="5"/>
  <c r="BT163" i="5"/>
  <c r="BU163" i="5"/>
  <c r="BV163" i="5"/>
  <c r="BW163" i="5"/>
  <c r="BX163" i="5"/>
  <c r="BY163" i="5"/>
  <c r="BZ163" i="5"/>
  <c r="CA163" i="5"/>
  <c r="CB163" i="5"/>
  <c r="CC163" i="5"/>
  <c r="CD163" i="5"/>
  <c r="CE163" i="5"/>
  <c r="CF163" i="5"/>
  <c r="CG163" i="5"/>
  <c r="CH163" i="5"/>
  <c r="CI163" i="5"/>
  <c r="CJ163" i="5"/>
  <c r="CK163" i="5"/>
  <c r="CL163" i="5"/>
  <c r="CM163" i="5"/>
  <c r="CN163" i="5"/>
  <c r="CO163" i="5"/>
  <c r="CP163" i="5"/>
  <c r="CQ163" i="5"/>
  <c r="CR163" i="5"/>
  <c r="CS163" i="5"/>
  <c r="CT163" i="5"/>
  <c r="CU163" i="5"/>
  <c r="CV163" i="5"/>
  <c r="CW163" i="5"/>
  <c r="CX163" i="5"/>
  <c r="CY163" i="5"/>
  <c r="CZ163" i="5"/>
  <c r="DA163" i="5"/>
  <c r="DB163" i="5"/>
  <c r="DC163" i="5"/>
  <c r="DD163" i="5"/>
  <c r="DE163" i="5"/>
  <c r="DF163" i="5"/>
  <c r="DG163" i="5"/>
  <c r="DH163" i="5"/>
  <c r="DI163" i="5"/>
  <c r="DJ163" i="5"/>
  <c r="DK163" i="5"/>
  <c r="DL163" i="5"/>
  <c r="DM163" i="5"/>
  <c r="DN163" i="5"/>
  <c r="DO163" i="5"/>
  <c r="DP163" i="5"/>
  <c r="DQ163" i="5"/>
  <c r="DR163" i="5"/>
  <c r="DS163" i="5"/>
  <c r="DT163" i="5"/>
  <c r="DU163" i="5"/>
  <c r="DV163" i="5"/>
  <c r="DW163" i="5"/>
  <c r="DX163" i="5"/>
  <c r="DY163" i="5"/>
  <c r="DZ163" i="5"/>
  <c r="EA163" i="5"/>
  <c r="EB163" i="5"/>
  <c r="EC163" i="5"/>
  <c r="ED163" i="5"/>
  <c r="EE163" i="5"/>
  <c r="EF163" i="5"/>
  <c r="EG163" i="5"/>
  <c r="EH163" i="5"/>
  <c r="EI163" i="5"/>
  <c r="EJ163" i="5"/>
  <c r="EK163" i="5"/>
  <c r="EL163" i="5"/>
  <c r="EM163" i="5"/>
  <c r="EN163" i="5"/>
  <c r="EO163" i="5"/>
  <c r="EP163" i="5"/>
  <c r="EQ163" i="5"/>
  <c r="ER163" i="5"/>
  <c r="ES163" i="5"/>
  <c r="ET163" i="5"/>
  <c r="EU163" i="5"/>
  <c r="EV163" i="5"/>
  <c r="EW163" i="5"/>
  <c r="EX163" i="5"/>
  <c r="EY163" i="5"/>
  <c r="EZ163" i="5"/>
  <c r="FA163" i="5"/>
  <c r="FB163" i="5"/>
  <c r="FC163" i="5"/>
  <c r="FD163" i="5"/>
  <c r="FE163" i="5"/>
  <c r="FF163" i="5"/>
  <c r="FG163" i="5"/>
  <c r="FH163" i="5"/>
  <c r="FI163" i="5"/>
  <c r="FJ163" i="5"/>
  <c r="FK163" i="5"/>
  <c r="FL163" i="5"/>
  <c r="FM163" i="5"/>
  <c r="FN163" i="5"/>
  <c r="FO163" i="5"/>
  <c r="FP163" i="5"/>
  <c r="FQ163" i="5"/>
  <c r="FR163" i="5"/>
  <c r="FS163" i="5"/>
  <c r="FT163" i="5"/>
  <c r="FU163" i="5"/>
  <c r="FV163" i="5"/>
  <c r="FW163" i="5"/>
  <c r="FX163" i="5"/>
  <c r="FY163" i="5"/>
  <c r="FZ163" i="5"/>
  <c r="GA163" i="5"/>
  <c r="GB163" i="5"/>
  <c r="GC163" i="5"/>
  <c r="GD163" i="5"/>
  <c r="GE163" i="5"/>
  <c r="GF163" i="5"/>
  <c r="GG163" i="5"/>
  <c r="GH163" i="5"/>
  <c r="GI163" i="5"/>
  <c r="GJ163" i="5"/>
  <c r="GK163" i="5"/>
  <c r="GL163" i="5"/>
  <c r="GM163" i="5"/>
  <c r="GN163" i="5"/>
  <c r="GO163" i="5"/>
  <c r="GP163" i="5"/>
  <c r="GQ163" i="5"/>
  <c r="GR163" i="5"/>
  <c r="GS163" i="5"/>
  <c r="GT163" i="5"/>
  <c r="GU163" i="5"/>
  <c r="GV163" i="5"/>
  <c r="GW163" i="5"/>
  <c r="GX163" i="5"/>
  <c r="GY163" i="5"/>
  <c r="GZ163" i="5"/>
  <c r="HA163" i="5"/>
  <c r="HB163" i="5"/>
  <c r="HC163" i="5"/>
  <c r="HD163" i="5"/>
  <c r="HE163" i="5"/>
  <c r="HF163" i="5"/>
  <c r="HG163" i="5"/>
  <c r="HH163" i="5"/>
  <c r="HI163" i="5"/>
  <c r="HJ163" i="5"/>
  <c r="HK163" i="5"/>
  <c r="HL163" i="5"/>
  <c r="HM163" i="5"/>
  <c r="HN163" i="5"/>
  <c r="HO163" i="5"/>
  <c r="HP163" i="5"/>
  <c r="HQ163" i="5"/>
  <c r="HR163" i="5"/>
  <c r="HS163" i="5"/>
  <c r="HT163" i="5"/>
  <c r="HU163" i="5"/>
  <c r="HV163" i="5"/>
  <c r="HW163" i="5"/>
  <c r="HX163" i="5"/>
  <c r="HY163" i="5"/>
  <c r="HZ163" i="5"/>
  <c r="IA163" i="5"/>
  <c r="IB163" i="5"/>
  <c r="IC163" i="5"/>
  <c r="ID163" i="5"/>
  <c r="IE163" i="5"/>
  <c r="IF163" i="5"/>
  <c r="IG163" i="5"/>
  <c r="IH163" i="5"/>
  <c r="II163" i="5"/>
  <c r="IJ163" i="5"/>
  <c r="IK163" i="5"/>
  <c r="IL163" i="5"/>
  <c r="IM163" i="5"/>
  <c r="IN163" i="5"/>
  <c r="IO163" i="5"/>
  <c r="IP163" i="5"/>
  <c r="IQ163" i="5"/>
  <c r="IR163" i="5"/>
  <c r="IS163" i="5"/>
  <c r="IT163" i="5"/>
  <c r="IU163" i="5"/>
  <c r="IV163" i="5"/>
  <c r="A162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AQ162" i="5"/>
  <c r="AR162" i="5"/>
  <c r="AS162" i="5"/>
  <c r="AT162" i="5"/>
  <c r="AU162" i="5"/>
  <c r="AV162" i="5"/>
  <c r="AW162" i="5"/>
  <c r="AX162" i="5"/>
  <c r="AY162" i="5"/>
  <c r="AZ162" i="5"/>
  <c r="BA162" i="5"/>
  <c r="BB162" i="5"/>
  <c r="BC162" i="5"/>
  <c r="BD162" i="5"/>
  <c r="BE162" i="5"/>
  <c r="BF162" i="5"/>
  <c r="BG162" i="5"/>
  <c r="BH162" i="5"/>
  <c r="BI162" i="5"/>
  <c r="BJ162" i="5"/>
  <c r="BK162" i="5"/>
  <c r="BL162" i="5"/>
  <c r="BM162" i="5"/>
  <c r="BN162" i="5"/>
  <c r="BO162" i="5"/>
  <c r="BP162" i="5"/>
  <c r="BQ162" i="5"/>
  <c r="BR162" i="5"/>
  <c r="BS162" i="5"/>
  <c r="BT162" i="5"/>
  <c r="BU162" i="5"/>
  <c r="BV162" i="5"/>
  <c r="BW162" i="5"/>
  <c r="BX162" i="5"/>
  <c r="BY162" i="5"/>
  <c r="BZ162" i="5"/>
  <c r="CA162" i="5"/>
  <c r="CB162" i="5"/>
  <c r="CC162" i="5"/>
  <c r="CD162" i="5"/>
  <c r="CE162" i="5"/>
  <c r="CF162" i="5"/>
  <c r="CG162" i="5"/>
  <c r="CH162" i="5"/>
  <c r="CI162" i="5"/>
  <c r="CJ162" i="5"/>
  <c r="CK162" i="5"/>
  <c r="CL162" i="5"/>
  <c r="CM162" i="5"/>
  <c r="CN162" i="5"/>
  <c r="CO162" i="5"/>
  <c r="CP162" i="5"/>
  <c r="CQ162" i="5"/>
  <c r="CR162" i="5"/>
  <c r="CS162" i="5"/>
  <c r="CT162" i="5"/>
  <c r="CU162" i="5"/>
  <c r="CV162" i="5"/>
  <c r="CW162" i="5"/>
  <c r="CX162" i="5"/>
  <c r="CY162" i="5"/>
  <c r="CZ162" i="5"/>
  <c r="DA162" i="5"/>
  <c r="DB162" i="5"/>
  <c r="DC162" i="5"/>
  <c r="DD162" i="5"/>
  <c r="DE162" i="5"/>
  <c r="DF162" i="5"/>
  <c r="DG162" i="5"/>
  <c r="DH162" i="5"/>
  <c r="DI162" i="5"/>
  <c r="DJ162" i="5"/>
  <c r="DK162" i="5"/>
  <c r="DL162" i="5"/>
  <c r="DM162" i="5"/>
  <c r="DN162" i="5"/>
  <c r="DO162" i="5"/>
  <c r="DP162" i="5"/>
  <c r="DQ162" i="5"/>
  <c r="DR162" i="5"/>
  <c r="DS162" i="5"/>
  <c r="DT162" i="5"/>
  <c r="DU162" i="5"/>
  <c r="DV162" i="5"/>
  <c r="DW162" i="5"/>
  <c r="DX162" i="5"/>
  <c r="DY162" i="5"/>
  <c r="DZ162" i="5"/>
  <c r="EA162" i="5"/>
  <c r="EB162" i="5"/>
  <c r="EC162" i="5"/>
  <c r="ED162" i="5"/>
  <c r="EE162" i="5"/>
  <c r="EF162" i="5"/>
  <c r="EG162" i="5"/>
  <c r="EH162" i="5"/>
  <c r="EI162" i="5"/>
  <c r="EJ162" i="5"/>
  <c r="EK162" i="5"/>
  <c r="EL162" i="5"/>
  <c r="EM162" i="5"/>
  <c r="EN162" i="5"/>
  <c r="EO162" i="5"/>
  <c r="EP162" i="5"/>
  <c r="EQ162" i="5"/>
  <c r="ER162" i="5"/>
  <c r="ES162" i="5"/>
  <c r="ET162" i="5"/>
  <c r="EU162" i="5"/>
  <c r="EV162" i="5"/>
  <c r="EW162" i="5"/>
  <c r="EX162" i="5"/>
  <c r="EY162" i="5"/>
  <c r="EZ162" i="5"/>
  <c r="FA162" i="5"/>
  <c r="FB162" i="5"/>
  <c r="FC162" i="5"/>
  <c r="FD162" i="5"/>
  <c r="FE162" i="5"/>
  <c r="FF162" i="5"/>
  <c r="FG162" i="5"/>
  <c r="FH162" i="5"/>
  <c r="FI162" i="5"/>
  <c r="FJ162" i="5"/>
  <c r="FK162" i="5"/>
  <c r="FL162" i="5"/>
  <c r="FM162" i="5"/>
  <c r="FN162" i="5"/>
  <c r="FO162" i="5"/>
  <c r="FP162" i="5"/>
  <c r="FQ162" i="5"/>
  <c r="FR162" i="5"/>
  <c r="FS162" i="5"/>
  <c r="FT162" i="5"/>
  <c r="FU162" i="5"/>
  <c r="FV162" i="5"/>
  <c r="FW162" i="5"/>
  <c r="FX162" i="5"/>
  <c r="FY162" i="5"/>
  <c r="FZ162" i="5"/>
  <c r="GA162" i="5"/>
  <c r="GB162" i="5"/>
  <c r="GC162" i="5"/>
  <c r="GD162" i="5"/>
  <c r="GE162" i="5"/>
  <c r="GF162" i="5"/>
  <c r="GG162" i="5"/>
  <c r="GH162" i="5"/>
  <c r="GI162" i="5"/>
  <c r="GJ162" i="5"/>
  <c r="GK162" i="5"/>
  <c r="GL162" i="5"/>
  <c r="GM162" i="5"/>
  <c r="GN162" i="5"/>
  <c r="GO162" i="5"/>
  <c r="GP162" i="5"/>
  <c r="GQ162" i="5"/>
  <c r="GR162" i="5"/>
  <c r="GS162" i="5"/>
  <c r="GT162" i="5"/>
  <c r="GU162" i="5"/>
  <c r="GV162" i="5"/>
  <c r="GW162" i="5"/>
  <c r="GX162" i="5"/>
  <c r="GY162" i="5"/>
  <c r="GZ162" i="5"/>
  <c r="HA162" i="5"/>
  <c r="HB162" i="5"/>
  <c r="HC162" i="5"/>
  <c r="HD162" i="5"/>
  <c r="HE162" i="5"/>
  <c r="HF162" i="5"/>
  <c r="HG162" i="5"/>
  <c r="HH162" i="5"/>
  <c r="HI162" i="5"/>
  <c r="HJ162" i="5"/>
  <c r="HK162" i="5"/>
  <c r="HL162" i="5"/>
  <c r="HM162" i="5"/>
  <c r="HN162" i="5"/>
  <c r="HO162" i="5"/>
  <c r="HP162" i="5"/>
  <c r="HQ162" i="5"/>
  <c r="HR162" i="5"/>
  <c r="HS162" i="5"/>
  <c r="HT162" i="5"/>
  <c r="HU162" i="5"/>
  <c r="HV162" i="5"/>
  <c r="HW162" i="5"/>
  <c r="HX162" i="5"/>
  <c r="HY162" i="5"/>
  <c r="HZ162" i="5"/>
  <c r="IA162" i="5"/>
  <c r="IB162" i="5"/>
  <c r="IC162" i="5"/>
  <c r="ID162" i="5"/>
  <c r="IE162" i="5"/>
  <c r="IF162" i="5"/>
  <c r="IG162" i="5"/>
  <c r="IH162" i="5"/>
  <c r="II162" i="5"/>
  <c r="IJ162" i="5"/>
  <c r="IK162" i="5"/>
  <c r="IL162" i="5"/>
  <c r="IM162" i="5"/>
  <c r="IN162" i="5"/>
  <c r="IO162" i="5"/>
  <c r="IP162" i="5"/>
  <c r="IQ162" i="5"/>
  <c r="IR162" i="5"/>
  <c r="IS162" i="5"/>
  <c r="IT162" i="5"/>
  <c r="IU162" i="5"/>
  <c r="IV162" i="5"/>
  <c r="A161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AQ161" i="5"/>
  <c r="AR161" i="5"/>
  <c r="AS161" i="5"/>
  <c r="AT161" i="5"/>
  <c r="AU161" i="5"/>
  <c r="AV161" i="5"/>
  <c r="AW161" i="5"/>
  <c r="AX161" i="5"/>
  <c r="AY161" i="5"/>
  <c r="AZ161" i="5"/>
  <c r="BA161" i="5"/>
  <c r="BB161" i="5"/>
  <c r="BC161" i="5"/>
  <c r="BD161" i="5"/>
  <c r="BE161" i="5"/>
  <c r="BF161" i="5"/>
  <c r="BG161" i="5"/>
  <c r="BH161" i="5"/>
  <c r="BI161" i="5"/>
  <c r="BJ161" i="5"/>
  <c r="BK161" i="5"/>
  <c r="BL161" i="5"/>
  <c r="BM161" i="5"/>
  <c r="BN161" i="5"/>
  <c r="BO161" i="5"/>
  <c r="BP161" i="5"/>
  <c r="BQ161" i="5"/>
  <c r="BR161" i="5"/>
  <c r="BS161" i="5"/>
  <c r="BT161" i="5"/>
  <c r="BU161" i="5"/>
  <c r="BV161" i="5"/>
  <c r="BW161" i="5"/>
  <c r="BX161" i="5"/>
  <c r="BY161" i="5"/>
  <c r="BZ161" i="5"/>
  <c r="CA161" i="5"/>
  <c r="CB161" i="5"/>
  <c r="CC161" i="5"/>
  <c r="CD161" i="5"/>
  <c r="CE161" i="5"/>
  <c r="CF161" i="5"/>
  <c r="CG161" i="5"/>
  <c r="CH161" i="5"/>
  <c r="CI161" i="5"/>
  <c r="CJ161" i="5"/>
  <c r="CK161" i="5"/>
  <c r="CL161" i="5"/>
  <c r="CM161" i="5"/>
  <c r="CN161" i="5"/>
  <c r="CO161" i="5"/>
  <c r="CP161" i="5"/>
  <c r="CQ161" i="5"/>
  <c r="CR161" i="5"/>
  <c r="CS161" i="5"/>
  <c r="CT161" i="5"/>
  <c r="CU161" i="5"/>
  <c r="CV161" i="5"/>
  <c r="CW161" i="5"/>
  <c r="CX161" i="5"/>
  <c r="CY161" i="5"/>
  <c r="CZ161" i="5"/>
  <c r="DA161" i="5"/>
  <c r="DB161" i="5"/>
  <c r="DC161" i="5"/>
  <c r="DD161" i="5"/>
  <c r="DE161" i="5"/>
  <c r="DF161" i="5"/>
  <c r="DG161" i="5"/>
  <c r="DH161" i="5"/>
  <c r="DI161" i="5"/>
  <c r="DJ161" i="5"/>
  <c r="DK161" i="5"/>
  <c r="DL161" i="5"/>
  <c r="DM161" i="5"/>
  <c r="DN161" i="5"/>
  <c r="DO161" i="5"/>
  <c r="DP161" i="5"/>
  <c r="DQ161" i="5"/>
  <c r="DR161" i="5"/>
  <c r="DS161" i="5"/>
  <c r="DT161" i="5"/>
  <c r="DU161" i="5"/>
  <c r="DV161" i="5"/>
  <c r="DW161" i="5"/>
  <c r="DX161" i="5"/>
  <c r="DY161" i="5"/>
  <c r="DZ161" i="5"/>
  <c r="EA161" i="5"/>
  <c r="EB161" i="5"/>
  <c r="EC161" i="5"/>
  <c r="ED161" i="5"/>
  <c r="EE161" i="5"/>
  <c r="EF161" i="5"/>
  <c r="EG161" i="5"/>
  <c r="EH161" i="5"/>
  <c r="EI161" i="5"/>
  <c r="EJ161" i="5"/>
  <c r="EK161" i="5"/>
  <c r="EL161" i="5"/>
  <c r="EM161" i="5"/>
  <c r="EN161" i="5"/>
  <c r="EO161" i="5"/>
  <c r="EP161" i="5"/>
  <c r="EQ161" i="5"/>
  <c r="ER161" i="5"/>
  <c r="ES161" i="5"/>
  <c r="ET161" i="5"/>
  <c r="EU161" i="5"/>
  <c r="EV161" i="5"/>
  <c r="EW161" i="5"/>
  <c r="EX161" i="5"/>
  <c r="EY161" i="5"/>
  <c r="EZ161" i="5"/>
  <c r="FA161" i="5"/>
  <c r="FB161" i="5"/>
  <c r="FC161" i="5"/>
  <c r="FD161" i="5"/>
  <c r="FE161" i="5"/>
  <c r="FF161" i="5"/>
  <c r="FG161" i="5"/>
  <c r="FH161" i="5"/>
  <c r="FI161" i="5"/>
  <c r="FJ161" i="5"/>
  <c r="FK161" i="5"/>
  <c r="FL161" i="5"/>
  <c r="FM161" i="5"/>
  <c r="FN161" i="5"/>
  <c r="FO161" i="5"/>
  <c r="FP161" i="5"/>
  <c r="FQ161" i="5"/>
  <c r="FR161" i="5"/>
  <c r="FS161" i="5"/>
  <c r="FT161" i="5"/>
  <c r="FU161" i="5"/>
  <c r="FV161" i="5"/>
  <c r="FW161" i="5"/>
  <c r="FX161" i="5"/>
  <c r="FY161" i="5"/>
  <c r="FZ161" i="5"/>
  <c r="GA161" i="5"/>
  <c r="GB161" i="5"/>
  <c r="GC161" i="5"/>
  <c r="GD161" i="5"/>
  <c r="GE161" i="5"/>
  <c r="GF161" i="5"/>
  <c r="GG161" i="5"/>
  <c r="GH161" i="5"/>
  <c r="GI161" i="5"/>
  <c r="GJ161" i="5"/>
  <c r="GK161" i="5"/>
  <c r="GL161" i="5"/>
  <c r="GM161" i="5"/>
  <c r="GN161" i="5"/>
  <c r="GO161" i="5"/>
  <c r="GP161" i="5"/>
  <c r="GQ161" i="5"/>
  <c r="GR161" i="5"/>
  <c r="GS161" i="5"/>
  <c r="GT161" i="5"/>
  <c r="GU161" i="5"/>
  <c r="GV161" i="5"/>
  <c r="GW161" i="5"/>
  <c r="GX161" i="5"/>
  <c r="GY161" i="5"/>
  <c r="GZ161" i="5"/>
  <c r="HA161" i="5"/>
  <c r="HB161" i="5"/>
  <c r="HC161" i="5"/>
  <c r="HD161" i="5"/>
  <c r="HE161" i="5"/>
  <c r="HF161" i="5"/>
  <c r="HG161" i="5"/>
  <c r="HH161" i="5"/>
  <c r="HI161" i="5"/>
  <c r="HJ161" i="5"/>
  <c r="HK161" i="5"/>
  <c r="HL161" i="5"/>
  <c r="HM161" i="5"/>
  <c r="HN161" i="5"/>
  <c r="HO161" i="5"/>
  <c r="HP161" i="5"/>
  <c r="HQ161" i="5"/>
  <c r="HR161" i="5"/>
  <c r="HS161" i="5"/>
  <c r="HT161" i="5"/>
  <c r="HU161" i="5"/>
  <c r="HV161" i="5"/>
  <c r="HW161" i="5"/>
  <c r="HX161" i="5"/>
  <c r="HY161" i="5"/>
  <c r="HZ161" i="5"/>
  <c r="IA161" i="5"/>
  <c r="IB161" i="5"/>
  <c r="IC161" i="5"/>
  <c r="ID161" i="5"/>
  <c r="IE161" i="5"/>
  <c r="IF161" i="5"/>
  <c r="IG161" i="5"/>
  <c r="IH161" i="5"/>
  <c r="II161" i="5"/>
  <c r="IJ161" i="5"/>
  <c r="IK161" i="5"/>
  <c r="IL161" i="5"/>
  <c r="IM161" i="5"/>
  <c r="IN161" i="5"/>
  <c r="IO161" i="5"/>
  <c r="IP161" i="5"/>
  <c r="IQ161" i="5"/>
  <c r="IR161" i="5"/>
  <c r="IS161" i="5"/>
  <c r="IT161" i="5"/>
  <c r="IU161" i="5"/>
  <c r="IV161" i="5"/>
  <c r="A160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AQ160" i="5"/>
  <c r="AR160" i="5"/>
  <c r="AS160" i="5"/>
  <c r="AT160" i="5"/>
  <c r="AU160" i="5"/>
  <c r="AV160" i="5"/>
  <c r="AW160" i="5"/>
  <c r="AX160" i="5"/>
  <c r="AY160" i="5"/>
  <c r="AZ160" i="5"/>
  <c r="BA160" i="5"/>
  <c r="BB160" i="5"/>
  <c r="BC160" i="5"/>
  <c r="BD160" i="5"/>
  <c r="BE160" i="5"/>
  <c r="BF160" i="5"/>
  <c r="BG160" i="5"/>
  <c r="BH160" i="5"/>
  <c r="BI160" i="5"/>
  <c r="BJ160" i="5"/>
  <c r="BK160" i="5"/>
  <c r="BL160" i="5"/>
  <c r="BM160" i="5"/>
  <c r="BN160" i="5"/>
  <c r="BO160" i="5"/>
  <c r="BP160" i="5"/>
  <c r="BQ160" i="5"/>
  <c r="BR160" i="5"/>
  <c r="BS160" i="5"/>
  <c r="BT160" i="5"/>
  <c r="BU160" i="5"/>
  <c r="BV160" i="5"/>
  <c r="BW160" i="5"/>
  <c r="BX160" i="5"/>
  <c r="BY160" i="5"/>
  <c r="BZ160" i="5"/>
  <c r="CA160" i="5"/>
  <c r="CB160" i="5"/>
  <c r="CC160" i="5"/>
  <c r="CD160" i="5"/>
  <c r="CE160" i="5"/>
  <c r="CF160" i="5"/>
  <c r="CG160" i="5"/>
  <c r="CH160" i="5"/>
  <c r="CI160" i="5"/>
  <c r="CJ160" i="5"/>
  <c r="CK160" i="5"/>
  <c r="CL160" i="5"/>
  <c r="CM160" i="5"/>
  <c r="CN160" i="5"/>
  <c r="CO160" i="5"/>
  <c r="CP160" i="5"/>
  <c r="CQ160" i="5"/>
  <c r="CR160" i="5"/>
  <c r="CS160" i="5"/>
  <c r="CT160" i="5"/>
  <c r="CU160" i="5"/>
  <c r="CV160" i="5"/>
  <c r="CW160" i="5"/>
  <c r="CX160" i="5"/>
  <c r="CY160" i="5"/>
  <c r="CZ160" i="5"/>
  <c r="DA160" i="5"/>
  <c r="DB160" i="5"/>
  <c r="DC160" i="5"/>
  <c r="DD160" i="5"/>
  <c r="DE160" i="5"/>
  <c r="DF160" i="5"/>
  <c r="DG160" i="5"/>
  <c r="DH160" i="5"/>
  <c r="DI160" i="5"/>
  <c r="DJ160" i="5"/>
  <c r="DK160" i="5"/>
  <c r="DL160" i="5"/>
  <c r="DM160" i="5"/>
  <c r="DN160" i="5"/>
  <c r="DO160" i="5"/>
  <c r="DP160" i="5"/>
  <c r="DQ160" i="5"/>
  <c r="DR160" i="5"/>
  <c r="DS160" i="5"/>
  <c r="DT160" i="5"/>
  <c r="DU160" i="5"/>
  <c r="DV160" i="5"/>
  <c r="DW160" i="5"/>
  <c r="DX160" i="5"/>
  <c r="DY160" i="5"/>
  <c r="DZ160" i="5"/>
  <c r="EA160" i="5"/>
  <c r="EB160" i="5"/>
  <c r="EC160" i="5"/>
  <c r="ED160" i="5"/>
  <c r="EE160" i="5"/>
  <c r="EF160" i="5"/>
  <c r="EG160" i="5"/>
  <c r="EH160" i="5"/>
  <c r="EI160" i="5"/>
  <c r="EJ160" i="5"/>
  <c r="EK160" i="5"/>
  <c r="EL160" i="5"/>
  <c r="EM160" i="5"/>
  <c r="EN160" i="5"/>
  <c r="EO160" i="5"/>
  <c r="EP160" i="5"/>
  <c r="EQ160" i="5"/>
  <c r="ER160" i="5"/>
  <c r="ES160" i="5"/>
  <c r="ET160" i="5"/>
  <c r="EU160" i="5"/>
  <c r="EV160" i="5"/>
  <c r="EW160" i="5"/>
  <c r="EX160" i="5"/>
  <c r="EY160" i="5"/>
  <c r="EZ160" i="5"/>
  <c r="FA160" i="5"/>
  <c r="FB160" i="5"/>
  <c r="FC160" i="5"/>
  <c r="FD160" i="5"/>
  <c r="FE160" i="5"/>
  <c r="FF160" i="5"/>
  <c r="FG160" i="5"/>
  <c r="FH160" i="5"/>
  <c r="FI160" i="5"/>
  <c r="FJ160" i="5"/>
  <c r="FK160" i="5"/>
  <c r="FL160" i="5"/>
  <c r="FM160" i="5"/>
  <c r="FN160" i="5"/>
  <c r="FO160" i="5"/>
  <c r="FP160" i="5"/>
  <c r="FQ160" i="5"/>
  <c r="FR160" i="5"/>
  <c r="FS160" i="5"/>
  <c r="FT160" i="5"/>
  <c r="FU160" i="5"/>
  <c r="FV160" i="5"/>
  <c r="FW160" i="5"/>
  <c r="FX160" i="5"/>
  <c r="FY160" i="5"/>
  <c r="FZ160" i="5"/>
  <c r="GA160" i="5"/>
  <c r="GB160" i="5"/>
  <c r="GC160" i="5"/>
  <c r="GD160" i="5"/>
  <c r="GE160" i="5"/>
  <c r="GF160" i="5"/>
  <c r="GG160" i="5"/>
  <c r="GH160" i="5"/>
  <c r="GI160" i="5"/>
  <c r="GJ160" i="5"/>
  <c r="GK160" i="5"/>
  <c r="GL160" i="5"/>
  <c r="GM160" i="5"/>
  <c r="GN160" i="5"/>
  <c r="GO160" i="5"/>
  <c r="GP160" i="5"/>
  <c r="GQ160" i="5"/>
  <c r="GR160" i="5"/>
  <c r="GS160" i="5"/>
  <c r="GT160" i="5"/>
  <c r="GU160" i="5"/>
  <c r="GV160" i="5"/>
  <c r="GW160" i="5"/>
  <c r="GX160" i="5"/>
  <c r="GY160" i="5"/>
  <c r="GZ160" i="5"/>
  <c r="HA160" i="5"/>
  <c r="HB160" i="5"/>
  <c r="HC160" i="5"/>
  <c r="HD160" i="5"/>
  <c r="HE160" i="5"/>
  <c r="HF160" i="5"/>
  <c r="HG160" i="5"/>
  <c r="HH160" i="5"/>
  <c r="HI160" i="5"/>
  <c r="HJ160" i="5"/>
  <c r="HK160" i="5"/>
  <c r="HL160" i="5"/>
  <c r="HM160" i="5"/>
  <c r="HN160" i="5"/>
  <c r="HO160" i="5"/>
  <c r="HP160" i="5"/>
  <c r="HQ160" i="5"/>
  <c r="HR160" i="5"/>
  <c r="HS160" i="5"/>
  <c r="HT160" i="5"/>
  <c r="HU160" i="5"/>
  <c r="HV160" i="5"/>
  <c r="HW160" i="5"/>
  <c r="HX160" i="5"/>
  <c r="HY160" i="5"/>
  <c r="HZ160" i="5"/>
  <c r="IA160" i="5"/>
  <c r="IB160" i="5"/>
  <c r="IC160" i="5"/>
  <c r="ID160" i="5"/>
  <c r="IE160" i="5"/>
  <c r="IF160" i="5"/>
  <c r="IG160" i="5"/>
  <c r="IH160" i="5"/>
  <c r="II160" i="5"/>
  <c r="IJ160" i="5"/>
  <c r="IK160" i="5"/>
  <c r="IL160" i="5"/>
  <c r="IM160" i="5"/>
  <c r="IN160" i="5"/>
  <c r="IO160" i="5"/>
  <c r="IP160" i="5"/>
  <c r="IQ160" i="5"/>
  <c r="IR160" i="5"/>
  <c r="IS160" i="5"/>
  <c r="IT160" i="5"/>
  <c r="IU160" i="5"/>
  <c r="IV160" i="5"/>
  <c r="A159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AQ159" i="5"/>
  <c r="AR159" i="5"/>
  <c r="AS159" i="5"/>
  <c r="AT159" i="5"/>
  <c r="AU159" i="5"/>
  <c r="AV159" i="5"/>
  <c r="AW159" i="5"/>
  <c r="AX159" i="5"/>
  <c r="AY159" i="5"/>
  <c r="AZ159" i="5"/>
  <c r="BA159" i="5"/>
  <c r="BB159" i="5"/>
  <c r="BC159" i="5"/>
  <c r="BD159" i="5"/>
  <c r="BE159" i="5"/>
  <c r="BF159" i="5"/>
  <c r="BG159" i="5"/>
  <c r="BH159" i="5"/>
  <c r="BI159" i="5"/>
  <c r="BJ159" i="5"/>
  <c r="BK159" i="5"/>
  <c r="BL159" i="5"/>
  <c r="BM159" i="5"/>
  <c r="BN159" i="5"/>
  <c r="BO159" i="5"/>
  <c r="BP159" i="5"/>
  <c r="BQ159" i="5"/>
  <c r="BR159" i="5"/>
  <c r="BS159" i="5"/>
  <c r="BT159" i="5"/>
  <c r="BU159" i="5"/>
  <c r="BV159" i="5"/>
  <c r="BW159" i="5"/>
  <c r="BX159" i="5"/>
  <c r="BY159" i="5"/>
  <c r="BZ159" i="5"/>
  <c r="CA159" i="5"/>
  <c r="CB159" i="5"/>
  <c r="CC159" i="5"/>
  <c r="CD159" i="5"/>
  <c r="CE159" i="5"/>
  <c r="CF159" i="5"/>
  <c r="CG159" i="5"/>
  <c r="CH159" i="5"/>
  <c r="CI159" i="5"/>
  <c r="CJ159" i="5"/>
  <c r="CK159" i="5"/>
  <c r="CL159" i="5"/>
  <c r="CM159" i="5"/>
  <c r="CN159" i="5"/>
  <c r="CO159" i="5"/>
  <c r="CP159" i="5"/>
  <c r="CQ159" i="5"/>
  <c r="CR159" i="5"/>
  <c r="CS159" i="5"/>
  <c r="CT159" i="5"/>
  <c r="CU159" i="5"/>
  <c r="CV159" i="5"/>
  <c r="CW159" i="5"/>
  <c r="CX159" i="5"/>
  <c r="CY159" i="5"/>
  <c r="CZ159" i="5"/>
  <c r="DA159" i="5"/>
  <c r="DB159" i="5"/>
  <c r="DC159" i="5"/>
  <c r="DD159" i="5"/>
  <c r="DE159" i="5"/>
  <c r="DF159" i="5"/>
  <c r="DG159" i="5"/>
  <c r="DH159" i="5"/>
  <c r="DI159" i="5"/>
  <c r="DJ159" i="5"/>
  <c r="DK159" i="5"/>
  <c r="DL159" i="5"/>
  <c r="DM159" i="5"/>
  <c r="DN159" i="5"/>
  <c r="DO159" i="5"/>
  <c r="DP159" i="5"/>
  <c r="DQ159" i="5"/>
  <c r="DR159" i="5"/>
  <c r="DS159" i="5"/>
  <c r="DT159" i="5"/>
  <c r="DU159" i="5"/>
  <c r="DV159" i="5"/>
  <c r="DW159" i="5"/>
  <c r="DX159" i="5"/>
  <c r="DY159" i="5"/>
  <c r="DZ159" i="5"/>
  <c r="EA159" i="5"/>
  <c r="EB159" i="5"/>
  <c r="EC159" i="5"/>
  <c r="ED159" i="5"/>
  <c r="EE159" i="5"/>
  <c r="EF159" i="5"/>
  <c r="EG159" i="5"/>
  <c r="EH159" i="5"/>
  <c r="EI159" i="5"/>
  <c r="EJ159" i="5"/>
  <c r="EK159" i="5"/>
  <c r="EL159" i="5"/>
  <c r="EM159" i="5"/>
  <c r="EN159" i="5"/>
  <c r="EO159" i="5"/>
  <c r="EP159" i="5"/>
  <c r="EQ159" i="5"/>
  <c r="ER159" i="5"/>
  <c r="ES159" i="5"/>
  <c r="ET159" i="5"/>
  <c r="EU159" i="5"/>
  <c r="EV159" i="5"/>
  <c r="EW159" i="5"/>
  <c r="EX159" i="5"/>
  <c r="EY159" i="5"/>
  <c r="EZ159" i="5"/>
  <c r="FA159" i="5"/>
  <c r="FB159" i="5"/>
  <c r="FC159" i="5"/>
  <c r="FD159" i="5"/>
  <c r="FE159" i="5"/>
  <c r="FF159" i="5"/>
  <c r="FG159" i="5"/>
  <c r="FH159" i="5"/>
  <c r="FI159" i="5"/>
  <c r="FJ159" i="5"/>
  <c r="FK159" i="5"/>
  <c r="FL159" i="5"/>
  <c r="FM159" i="5"/>
  <c r="FN159" i="5"/>
  <c r="FO159" i="5"/>
  <c r="FP159" i="5"/>
  <c r="FQ159" i="5"/>
  <c r="FR159" i="5"/>
  <c r="FS159" i="5"/>
  <c r="FT159" i="5"/>
  <c r="FU159" i="5"/>
  <c r="FV159" i="5"/>
  <c r="FW159" i="5"/>
  <c r="FX159" i="5"/>
  <c r="FY159" i="5"/>
  <c r="FZ159" i="5"/>
  <c r="GA159" i="5"/>
  <c r="GB159" i="5"/>
  <c r="GC159" i="5"/>
  <c r="GD159" i="5"/>
  <c r="GE159" i="5"/>
  <c r="GF159" i="5"/>
  <c r="GG159" i="5"/>
  <c r="GH159" i="5"/>
  <c r="GI159" i="5"/>
  <c r="GJ159" i="5"/>
  <c r="GK159" i="5"/>
  <c r="GL159" i="5"/>
  <c r="GM159" i="5"/>
  <c r="GN159" i="5"/>
  <c r="GO159" i="5"/>
  <c r="GP159" i="5"/>
  <c r="GQ159" i="5"/>
  <c r="GR159" i="5"/>
  <c r="GS159" i="5"/>
  <c r="GT159" i="5"/>
  <c r="GU159" i="5"/>
  <c r="GV159" i="5"/>
  <c r="GW159" i="5"/>
  <c r="GX159" i="5"/>
  <c r="GY159" i="5"/>
  <c r="GZ159" i="5"/>
  <c r="HA159" i="5"/>
  <c r="HB159" i="5"/>
  <c r="HC159" i="5"/>
  <c r="HD159" i="5"/>
  <c r="HE159" i="5"/>
  <c r="HF159" i="5"/>
  <c r="HG159" i="5"/>
  <c r="HH159" i="5"/>
  <c r="HI159" i="5"/>
  <c r="HJ159" i="5"/>
  <c r="HK159" i="5"/>
  <c r="HL159" i="5"/>
  <c r="HM159" i="5"/>
  <c r="HN159" i="5"/>
  <c r="HO159" i="5"/>
  <c r="HP159" i="5"/>
  <c r="HQ159" i="5"/>
  <c r="HR159" i="5"/>
  <c r="HS159" i="5"/>
  <c r="HT159" i="5"/>
  <c r="HU159" i="5"/>
  <c r="HV159" i="5"/>
  <c r="HW159" i="5"/>
  <c r="HX159" i="5"/>
  <c r="HY159" i="5"/>
  <c r="HZ159" i="5"/>
  <c r="IA159" i="5"/>
  <c r="IB159" i="5"/>
  <c r="IC159" i="5"/>
  <c r="ID159" i="5"/>
  <c r="IE159" i="5"/>
  <c r="IF159" i="5"/>
  <c r="IG159" i="5"/>
  <c r="IH159" i="5"/>
  <c r="II159" i="5"/>
  <c r="IJ159" i="5"/>
  <c r="IK159" i="5"/>
  <c r="IL159" i="5"/>
  <c r="IM159" i="5"/>
  <c r="IN159" i="5"/>
  <c r="IO159" i="5"/>
  <c r="IP159" i="5"/>
  <c r="IQ159" i="5"/>
  <c r="IR159" i="5"/>
  <c r="IS159" i="5"/>
  <c r="IT159" i="5"/>
  <c r="IU159" i="5"/>
  <c r="IV159" i="5"/>
  <c r="A158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AQ158" i="5"/>
  <c r="AR158" i="5"/>
  <c r="AS158" i="5"/>
  <c r="AT158" i="5"/>
  <c r="AU158" i="5"/>
  <c r="AV158" i="5"/>
  <c r="AW158" i="5"/>
  <c r="AX158" i="5"/>
  <c r="AY158" i="5"/>
  <c r="AZ158" i="5"/>
  <c r="BA158" i="5"/>
  <c r="BB158" i="5"/>
  <c r="BC158" i="5"/>
  <c r="BD158" i="5"/>
  <c r="BE158" i="5"/>
  <c r="BF158" i="5"/>
  <c r="BG158" i="5"/>
  <c r="BH158" i="5"/>
  <c r="BI158" i="5"/>
  <c r="BJ158" i="5"/>
  <c r="BK158" i="5"/>
  <c r="BL158" i="5"/>
  <c r="BM158" i="5"/>
  <c r="BN158" i="5"/>
  <c r="BO158" i="5"/>
  <c r="BP158" i="5"/>
  <c r="BQ158" i="5"/>
  <c r="BR158" i="5"/>
  <c r="BS158" i="5"/>
  <c r="BT158" i="5"/>
  <c r="BU158" i="5"/>
  <c r="BV158" i="5"/>
  <c r="BW158" i="5"/>
  <c r="BX158" i="5"/>
  <c r="BY158" i="5"/>
  <c r="BZ158" i="5"/>
  <c r="CA158" i="5"/>
  <c r="CB158" i="5"/>
  <c r="CC158" i="5"/>
  <c r="CD158" i="5"/>
  <c r="CE158" i="5"/>
  <c r="CF158" i="5"/>
  <c r="CG158" i="5"/>
  <c r="CH158" i="5"/>
  <c r="CI158" i="5"/>
  <c r="CJ158" i="5"/>
  <c r="CK158" i="5"/>
  <c r="CL158" i="5"/>
  <c r="CM158" i="5"/>
  <c r="CN158" i="5"/>
  <c r="CO158" i="5"/>
  <c r="CP158" i="5"/>
  <c r="CQ158" i="5"/>
  <c r="CR158" i="5"/>
  <c r="CS158" i="5"/>
  <c r="CT158" i="5"/>
  <c r="CU158" i="5"/>
  <c r="CV158" i="5"/>
  <c r="CW158" i="5"/>
  <c r="CX158" i="5"/>
  <c r="CY158" i="5"/>
  <c r="CZ158" i="5"/>
  <c r="DA158" i="5"/>
  <c r="DB158" i="5"/>
  <c r="DC158" i="5"/>
  <c r="DD158" i="5"/>
  <c r="DE158" i="5"/>
  <c r="DF158" i="5"/>
  <c r="DG158" i="5"/>
  <c r="DH158" i="5"/>
  <c r="DI158" i="5"/>
  <c r="DJ158" i="5"/>
  <c r="DK158" i="5"/>
  <c r="DL158" i="5"/>
  <c r="DM158" i="5"/>
  <c r="DN158" i="5"/>
  <c r="DO158" i="5"/>
  <c r="DP158" i="5"/>
  <c r="DQ158" i="5"/>
  <c r="DR158" i="5"/>
  <c r="DS158" i="5"/>
  <c r="DT158" i="5"/>
  <c r="DU158" i="5"/>
  <c r="DV158" i="5"/>
  <c r="DW158" i="5"/>
  <c r="DX158" i="5"/>
  <c r="DY158" i="5"/>
  <c r="DZ158" i="5"/>
  <c r="EA158" i="5"/>
  <c r="EB158" i="5"/>
  <c r="EC158" i="5"/>
  <c r="ED158" i="5"/>
  <c r="EE158" i="5"/>
  <c r="EF158" i="5"/>
  <c r="EG158" i="5"/>
  <c r="EH158" i="5"/>
  <c r="EI158" i="5"/>
  <c r="EJ158" i="5"/>
  <c r="EK158" i="5"/>
  <c r="EL158" i="5"/>
  <c r="EM158" i="5"/>
  <c r="EN158" i="5"/>
  <c r="EO158" i="5"/>
  <c r="EP158" i="5"/>
  <c r="EQ158" i="5"/>
  <c r="ER158" i="5"/>
  <c r="ES158" i="5"/>
  <c r="ET158" i="5"/>
  <c r="EU158" i="5"/>
  <c r="EV158" i="5"/>
  <c r="EW158" i="5"/>
  <c r="EX158" i="5"/>
  <c r="EY158" i="5"/>
  <c r="EZ158" i="5"/>
  <c r="FA158" i="5"/>
  <c r="FB158" i="5"/>
  <c r="FC158" i="5"/>
  <c r="FD158" i="5"/>
  <c r="FE158" i="5"/>
  <c r="FF158" i="5"/>
  <c r="FG158" i="5"/>
  <c r="FH158" i="5"/>
  <c r="FI158" i="5"/>
  <c r="FJ158" i="5"/>
  <c r="FK158" i="5"/>
  <c r="FL158" i="5"/>
  <c r="FM158" i="5"/>
  <c r="FN158" i="5"/>
  <c r="FO158" i="5"/>
  <c r="FP158" i="5"/>
  <c r="FQ158" i="5"/>
  <c r="FR158" i="5"/>
  <c r="FS158" i="5"/>
  <c r="FT158" i="5"/>
  <c r="FU158" i="5"/>
  <c r="FV158" i="5"/>
  <c r="FW158" i="5"/>
  <c r="FX158" i="5"/>
  <c r="FY158" i="5"/>
  <c r="FZ158" i="5"/>
  <c r="GA158" i="5"/>
  <c r="GB158" i="5"/>
  <c r="GC158" i="5"/>
  <c r="GD158" i="5"/>
  <c r="GE158" i="5"/>
  <c r="GF158" i="5"/>
  <c r="GG158" i="5"/>
  <c r="GH158" i="5"/>
  <c r="GI158" i="5"/>
  <c r="GJ158" i="5"/>
  <c r="GK158" i="5"/>
  <c r="GL158" i="5"/>
  <c r="GM158" i="5"/>
  <c r="GN158" i="5"/>
  <c r="GO158" i="5"/>
  <c r="GP158" i="5"/>
  <c r="GQ158" i="5"/>
  <c r="GR158" i="5"/>
  <c r="GS158" i="5"/>
  <c r="GT158" i="5"/>
  <c r="GU158" i="5"/>
  <c r="GV158" i="5"/>
  <c r="GW158" i="5"/>
  <c r="GX158" i="5"/>
  <c r="GY158" i="5"/>
  <c r="GZ158" i="5"/>
  <c r="HA158" i="5"/>
  <c r="HB158" i="5"/>
  <c r="HC158" i="5"/>
  <c r="HD158" i="5"/>
  <c r="HE158" i="5"/>
  <c r="HF158" i="5"/>
  <c r="HG158" i="5"/>
  <c r="HH158" i="5"/>
  <c r="HI158" i="5"/>
  <c r="HJ158" i="5"/>
  <c r="HK158" i="5"/>
  <c r="HL158" i="5"/>
  <c r="HM158" i="5"/>
  <c r="HN158" i="5"/>
  <c r="HO158" i="5"/>
  <c r="HP158" i="5"/>
  <c r="HQ158" i="5"/>
  <c r="HR158" i="5"/>
  <c r="HS158" i="5"/>
  <c r="HT158" i="5"/>
  <c r="HU158" i="5"/>
  <c r="HV158" i="5"/>
  <c r="HW158" i="5"/>
  <c r="HX158" i="5"/>
  <c r="HY158" i="5"/>
  <c r="HZ158" i="5"/>
  <c r="IA158" i="5"/>
  <c r="IB158" i="5"/>
  <c r="IC158" i="5"/>
  <c r="ID158" i="5"/>
  <c r="IE158" i="5"/>
  <c r="IF158" i="5"/>
  <c r="IG158" i="5"/>
  <c r="IH158" i="5"/>
  <c r="II158" i="5"/>
  <c r="IJ158" i="5"/>
  <c r="IK158" i="5"/>
  <c r="IL158" i="5"/>
  <c r="IM158" i="5"/>
  <c r="IN158" i="5"/>
  <c r="IO158" i="5"/>
  <c r="IP158" i="5"/>
  <c r="IQ158" i="5"/>
  <c r="IR158" i="5"/>
  <c r="IS158" i="5"/>
  <c r="IT158" i="5"/>
  <c r="IU158" i="5"/>
  <c r="IV158" i="5"/>
  <c r="A157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AQ157" i="5"/>
  <c r="AR157" i="5"/>
  <c r="AS157" i="5"/>
  <c r="AT157" i="5"/>
  <c r="AU157" i="5"/>
  <c r="AV157" i="5"/>
  <c r="AW157" i="5"/>
  <c r="AX157" i="5"/>
  <c r="AY157" i="5"/>
  <c r="AZ157" i="5"/>
  <c r="BA157" i="5"/>
  <c r="BB157" i="5"/>
  <c r="BC157" i="5"/>
  <c r="BD157" i="5"/>
  <c r="BE157" i="5"/>
  <c r="BF157" i="5"/>
  <c r="BG157" i="5"/>
  <c r="BH157" i="5"/>
  <c r="BI157" i="5"/>
  <c r="BJ157" i="5"/>
  <c r="BK157" i="5"/>
  <c r="BL157" i="5"/>
  <c r="BM157" i="5"/>
  <c r="BN157" i="5"/>
  <c r="BO157" i="5"/>
  <c r="BP157" i="5"/>
  <c r="BQ157" i="5"/>
  <c r="BR157" i="5"/>
  <c r="BS157" i="5"/>
  <c r="BT157" i="5"/>
  <c r="BU157" i="5"/>
  <c r="BV157" i="5"/>
  <c r="BW157" i="5"/>
  <c r="BX157" i="5"/>
  <c r="BY157" i="5"/>
  <c r="BZ157" i="5"/>
  <c r="CA157" i="5"/>
  <c r="CB157" i="5"/>
  <c r="CC157" i="5"/>
  <c r="CD157" i="5"/>
  <c r="CE157" i="5"/>
  <c r="CF157" i="5"/>
  <c r="CG157" i="5"/>
  <c r="CH157" i="5"/>
  <c r="CI157" i="5"/>
  <c r="CJ157" i="5"/>
  <c r="CK157" i="5"/>
  <c r="CL157" i="5"/>
  <c r="CM157" i="5"/>
  <c r="CN157" i="5"/>
  <c r="CO157" i="5"/>
  <c r="CP157" i="5"/>
  <c r="CQ157" i="5"/>
  <c r="CR157" i="5"/>
  <c r="CS157" i="5"/>
  <c r="CT157" i="5"/>
  <c r="CU157" i="5"/>
  <c r="CV157" i="5"/>
  <c r="CW157" i="5"/>
  <c r="CX157" i="5"/>
  <c r="CY157" i="5"/>
  <c r="CZ157" i="5"/>
  <c r="DA157" i="5"/>
  <c r="DB157" i="5"/>
  <c r="DC157" i="5"/>
  <c r="DD157" i="5"/>
  <c r="DE157" i="5"/>
  <c r="DF157" i="5"/>
  <c r="DG157" i="5"/>
  <c r="DH157" i="5"/>
  <c r="DI157" i="5"/>
  <c r="DJ157" i="5"/>
  <c r="DK157" i="5"/>
  <c r="DL157" i="5"/>
  <c r="DM157" i="5"/>
  <c r="DN157" i="5"/>
  <c r="DO157" i="5"/>
  <c r="DP157" i="5"/>
  <c r="DQ157" i="5"/>
  <c r="DR157" i="5"/>
  <c r="DS157" i="5"/>
  <c r="DT157" i="5"/>
  <c r="DU157" i="5"/>
  <c r="DV157" i="5"/>
  <c r="DW157" i="5"/>
  <c r="DX157" i="5"/>
  <c r="DY157" i="5"/>
  <c r="DZ157" i="5"/>
  <c r="EA157" i="5"/>
  <c r="EB157" i="5"/>
  <c r="EC157" i="5"/>
  <c r="ED157" i="5"/>
  <c r="EE157" i="5"/>
  <c r="EF157" i="5"/>
  <c r="EG157" i="5"/>
  <c r="EH157" i="5"/>
  <c r="EI157" i="5"/>
  <c r="EJ157" i="5"/>
  <c r="EK157" i="5"/>
  <c r="EL157" i="5"/>
  <c r="EM157" i="5"/>
  <c r="EN157" i="5"/>
  <c r="EO157" i="5"/>
  <c r="EP157" i="5"/>
  <c r="EQ157" i="5"/>
  <c r="ER157" i="5"/>
  <c r="ES157" i="5"/>
  <c r="ET157" i="5"/>
  <c r="EU157" i="5"/>
  <c r="EV157" i="5"/>
  <c r="EW157" i="5"/>
  <c r="EX157" i="5"/>
  <c r="EY157" i="5"/>
  <c r="EZ157" i="5"/>
  <c r="FA157" i="5"/>
  <c r="FB157" i="5"/>
  <c r="FC157" i="5"/>
  <c r="FD157" i="5"/>
  <c r="FE157" i="5"/>
  <c r="FF157" i="5"/>
  <c r="FG157" i="5"/>
  <c r="FH157" i="5"/>
  <c r="FI157" i="5"/>
  <c r="FJ157" i="5"/>
  <c r="FK157" i="5"/>
  <c r="FL157" i="5"/>
  <c r="FM157" i="5"/>
  <c r="FN157" i="5"/>
  <c r="FO157" i="5"/>
  <c r="FP157" i="5"/>
  <c r="FQ157" i="5"/>
  <c r="FR157" i="5"/>
  <c r="FS157" i="5"/>
  <c r="FT157" i="5"/>
  <c r="FU157" i="5"/>
  <c r="FV157" i="5"/>
  <c r="FW157" i="5"/>
  <c r="FX157" i="5"/>
  <c r="FY157" i="5"/>
  <c r="FZ157" i="5"/>
  <c r="GA157" i="5"/>
  <c r="GB157" i="5"/>
  <c r="GC157" i="5"/>
  <c r="GD157" i="5"/>
  <c r="GE157" i="5"/>
  <c r="GF157" i="5"/>
  <c r="GG157" i="5"/>
  <c r="GH157" i="5"/>
  <c r="GI157" i="5"/>
  <c r="GJ157" i="5"/>
  <c r="GK157" i="5"/>
  <c r="GL157" i="5"/>
  <c r="GM157" i="5"/>
  <c r="GN157" i="5"/>
  <c r="GO157" i="5"/>
  <c r="GP157" i="5"/>
  <c r="GQ157" i="5"/>
  <c r="GR157" i="5"/>
  <c r="GS157" i="5"/>
  <c r="GT157" i="5"/>
  <c r="GU157" i="5"/>
  <c r="GV157" i="5"/>
  <c r="GW157" i="5"/>
  <c r="GX157" i="5"/>
  <c r="GY157" i="5"/>
  <c r="GZ157" i="5"/>
  <c r="HA157" i="5"/>
  <c r="HB157" i="5"/>
  <c r="HC157" i="5"/>
  <c r="HD157" i="5"/>
  <c r="HE157" i="5"/>
  <c r="HF157" i="5"/>
  <c r="HG157" i="5"/>
  <c r="HH157" i="5"/>
  <c r="HI157" i="5"/>
  <c r="HJ157" i="5"/>
  <c r="HK157" i="5"/>
  <c r="HL157" i="5"/>
  <c r="HM157" i="5"/>
  <c r="HN157" i="5"/>
  <c r="HO157" i="5"/>
  <c r="HP157" i="5"/>
  <c r="HQ157" i="5"/>
  <c r="HR157" i="5"/>
  <c r="HS157" i="5"/>
  <c r="HT157" i="5"/>
  <c r="HU157" i="5"/>
  <c r="HV157" i="5"/>
  <c r="HW157" i="5"/>
  <c r="HX157" i="5"/>
  <c r="HY157" i="5"/>
  <c r="HZ157" i="5"/>
  <c r="IA157" i="5"/>
  <c r="IB157" i="5"/>
  <c r="IC157" i="5"/>
  <c r="ID157" i="5"/>
  <c r="IE157" i="5"/>
  <c r="IF157" i="5"/>
  <c r="IG157" i="5"/>
  <c r="IH157" i="5"/>
  <c r="II157" i="5"/>
  <c r="IJ157" i="5"/>
  <c r="IK157" i="5"/>
  <c r="IL157" i="5"/>
  <c r="IM157" i="5"/>
  <c r="IN157" i="5"/>
  <c r="IO157" i="5"/>
  <c r="IP157" i="5"/>
  <c r="IQ157" i="5"/>
  <c r="IR157" i="5"/>
  <c r="IS157" i="5"/>
  <c r="IT157" i="5"/>
  <c r="IU157" i="5"/>
  <c r="IV157" i="5"/>
  <c r="A156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AQ156" i="5"/>
  <c r="AR156" i="5"/>
  <c r="AS156" i="5"/>
  <c r="AT156" i="5"/>
  <c r="AU156" i="5"/>
  <c r="AV156" i="5"/>
  <c r="AW156" i="5"/>
  <c r="AX156" i="5"/>
  <c r="AY156" i="5"/>
  <c r="AZ156" i="5"/>
  <c r="BA156" i="5"/>
  <c r="BB156" i="5"/>
  <c r="BC156" i="5"/>
  <c r="BD156" i="5"/>
  <c r="BE156" i="5"/>
  <c r="BF156" i="5"/>
  <c r="BG156" i="5"/>
  <c r="BH156" i="5"/>
  <c r="BI156" i="5"/>
  <c r="BJ156" i="5"/>
  <c r="BK156" i="5"/>
  <c r="BL156" i="5"/>
  <c r="BM156" i="5"/>
  <c r="BN156" i="5"/>
  <c r="BO156" i="5"/>
  <c r="BP156" i="5"/>
  <c r="BQ156" i="5"/>
  <c r="BR156" i="5"/>
  <c r="BS156" i="5"/>
  <c r="BT156" i="5"/>
  <c r="BU156" i="5"/>
  <c r="BV156" i="5"/>
  <c r="BW156" i="5"/>
  <c r="BX156" i="5"/>
  <c r="BY156" i="5"/>
  <c r="BZ156" i="5"/>
  <c r="CA156" i="5"/>
  <c r="CB156" i="5"/>
  <c r="CC156" i="5"/>
  <c r="CD156" i="5"/>
  <c r="CE156" i="5"/>
  <c r="CF156" i="5"/>
  <c r="CG156" i="5"/>
  <c r="CH156" i="5"/>
  <c r="CI156" i="5"/>
  <c r="CJ156" i="5"/>
  <c r="CK156" i="5"/>
  <c r="CL156" i="5"/>
  <c r="CM156" i="5"/>
  <c r="CN156" i="5"/>
  <c r="CO156" i="5"/>
  <c r="CP156" i="5"/>
  <c r="CQ156" i="5"/>
  <c r="CR156" i="5"/>
  <c r="CS156" i="5"/>
  <c r="CT156" i="5"/>
  <c r="CU156" i="5"/>
  <c r="CV156" i="5"/>
  <c r="CW156" i="5"/>
  <c r="CX156" i="5"/>
  <c r="CY156" i="5"/>
  <c r="CZ156" i="5"/>
  <c r="DA156" i="5"/>
  <c r="DB156" i="5"/>
  <c r="DC156" i="5"/>
  <c r="DD156" i="5"/>
  <c r="DE156" i="5"/>
  <c r="DF156" i="5"/>
  <c r="DG156" i="5"/>
  <c r="DH156" i="5"/>
  <c r="DI156" i="5"/>
  <c r="DJ156" i="5"/>
  <c r="DK156" i="5"/>
  <c r="DL156" i="5"/>
  <c r="DM156" i="5"/>
  <c r="DN156" i="5"/>
  <c r="DO156" i="5"/>
  <c r="DP156" i="5"/>
  <c r="DQ156" i="5"/>
  <c r="DR156" i="5"/>
  <c r="DS156" i="5"/>
  <c r="DT156" i="5"/>
  <c r="DU156" i="5"/>
  <c r="DV156" i="5"/>
  <c r="DW156" i="5"/>
  <c r="DX156" i="5"/>
  <c r="DY156" i="5"/>
  <c r="DZ156" i="5"/>
  <c r="EA156" i="5"/>
  <c r="EB156" i="5"/>
  <c r="EC156" i="5"/>
  <c r="ED156" i="5"/>
  <c r="EE156" i="5"/>
  <c r="EF156" i="5"/>
  <c r="EG156" i="5"/>
  <c r="EH156" i="5"/>
  <c r="EI156" i="5"/>
  <c r="EJ156" i="5"/>
  <c r="EK156" i="5"/>
  <c r="EL156" i="5"/>
  <c r="EM156" i="5"/>
  <c r="EN156" i="5"/>
  <c r="EO156" i="5"/>
  <c r="EP156" i="5"/>
  <c r="EQ156" i="5"/>
  <c r="ER156" i="5"/>
  <c r="ES156" i="5"/>
  <c r="ET156" i="5"/>
  <c r="EU156" i="5"/>
  <c r="EV156" i="5"/>
  <c r="EW156" i="5"/>
  <c r="EX156" i="5"/>
  <c r="EY156" i="5"/>
  <c r="EZ156" i="5"/>
  <c r="FA156" i="5"/>
  <c r="FB156" i="5"/>
  <c r="FC156" i="5"/>
  <c r="FD156" i="5"/>
  <c r="FE156" i="5"/>
  <c r="FF156" i="5"/>
  <c r="FG156" i="5"/>
  <c r="FH156" i="5"/>
  <c r="FI156" i="5"/>
  <c r="FJ156" i="5"/>
  <c r="FK156" i="5"/>
  <c r="FL156" i="5"/>
  <c r="FM156" i="5"/>
  <c r="FN156" i="5"/>
  <c r="FO156" i="5"/>
  <c r="FP156" i="5"/>
  <c r="FQ156" i="5"/>
  <c r="FR156" i="5"/>
  <c r="FS156" i="5"/>
  <c r="FT156" i="5"/>
  <c r="FU156" i="5"/>
  <c r="FV156" i="5"/>
  <c r="FW156" i="5"/>
  <c r="FX156" i="5"/>
  <c r="FY156" i="5"/>
  <c r="FZ156" i="5"/>
  <c r="GA156" i="5"/>
  <c r="GB156" i="5"/>
  <c r="GC156" i="5"/>
  <c r="GD156" i="5"/>
  <c r="GE156" i="5"/>
  <c r="GF156" i="5"/>
  <c r="GG156" i="5"/>
  <c r="GH156" i="5"/>
  <c r="GI156" i="5"/>
  <c r="GJ156" i="5"/>
  <c r="GK156" i="5"/>
  <c r="GL156" i="5"/>
  <c r="GM156" i="5"/>
  <c r="GN156" i="5"/>
  <c r="GO156" i="5"/>
  <c r="GP156" i="5"/>
  <c r="GQ156" i="5"/>
  <c r="GR156" i="5"/>
  <c r="GS156" i="5"/>
  <c r="GT156" i="5"/>
  <c r="GU156" i="5"/>
  <c r="GV156" i="5"/>
  <c r="GW156" i="5"/>
  <c r="GX156" i="5"/>
  <c r="GY156" i="5"/>
  <c r="GZ156" i="5"/>
  <c r="HA156" i="5"/>
  <c r="HB156" i="5"/>
  <c r="HC156" i="5"/>
  <c r="HD156" i="5"/>
  <c r="HE156" i="5"/>
  <c r="HF156" i="5"/>
  <c r="HG156" i="5"/>
  <c r="HH156" i="5"/>
  <c r="HI156" i="5"/>
  <c r="HJ156" i="5"/>
  <c r="HK156" i="5"/>
  <c r="HL156" i="5"/>
  <c r="HM156" i="5"/>
  <c r="HN156" i="5"/>
  <c r="HO156" i="5"/>
  <c r="HP156" i="5"/>
  <c r="HQ156" i="5"/>
  <c r="HR156" i="5"/>
  <c r="HS156" i="5"/>
  <c r="HT156" i="5"/>
  <c r="HU156" i="5"/>
  <c r="HV156" i="5"/>
  <c r="HW156" i="5"/>
  <c r="HX156" i="5"/>
  <c r="HY156" i="5"/>
  <c r="HZ156" i="5"/>
  <c r="IA156" i="5"/>
  <c r="IB156" i="5"/>
  <c r="IC156" i="5"/>
  <c r="ID156" i="5"/>
  <c r="IE156" i="5"/>
  <c r="IF156" i="5"/>
  <c r="IG156" i="5"/>
  <c r="IH156" i="5"/>
  <c r="II156" i="5"/>
  <c r="IJ156" i="5"/>
  <c r="IK156" i="5"/>
  <c r="IL156" i="5"/>
  <c r="IM156" i="5"/>
  <c r="IN156" i="5"/>
  <c r="IO156" i="5"/>
  <c r="IP156" i="5"/>
  <c r="IQ156" i="5"/>
  <c r="IR156" i="5"/>
  <c r="IS156" i="5"/>
  <c r="IT156" i="5"/>
  <c r="IU156" i="5"/>
  <c r="IV156" i="5"/>
  <c r="A155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AQ155" i="5"/>
  <c r="AR155" i="5"/>
  <c r="AS155" i="5"/>
  <c r="AT155" i="5"/>
  <c r="AU155" i="5"/>
  <c r="AV155" i="5"/>
  <c r="AW155" i="5"/>
  <c r="AX155" i="5"/>
  <c r="AY155" i="5"/>
  <c r="AZ155" i="5"/>
  <c r="BA155" i="5"/>
  <c r="BB155" i="5"/>
  <c r="BC155" i="5"/>
  <c r="BD155" i="5"/>
  <c r="BE155" i="5"/>
  <c r="BF155" i="5"/>
  <c r="BG155" i="5"/>
  <c r="BH155" i="5"/>
  <c r="BI155" i="5"/>
  <c r="BJ155" i="5"/>
  <c r="BK155" i="5"/>
  <c r="BL155" i="5"/>
  <c r="BM155" i="5"/>
  <c r="BN155" i="5"/>
  <c r="BO155" i="5"/>
  <c r="BP155" i="5"/>
  <c r="BQ155" i="5"/>
  <c r="BR155" i="5"/>
  <c r="BS155" i="5"/>
  <c r="BT155" i="5"/>
  <c r="BU155" i="5"/>
  <c r="BV155" i="5"/>
  <c r="BW155" i="5"/>
  <c r="BX155" i="5"/>
  <c r="BY155" i="5"/>
  <c r="BZ155" i="5"/>
  <c r="CA155" i="5"/>
  <c r="CB155" i="5"/>
  <c r="CC155" i="5"/>
  <c r="CD155" i="5"/>
  <c r="CE155" i="5"/>
  <c r="CF155" i="5"/>
  <c r="CG155" i="5"/>
  <c r="CH155" i="5"/>
  <c r="CI155" i="5"/>
  <c r="CJ155" i="5"/>
  <c r="CK155" i="5"/>
  <c r="CL155" i="5"/>
  <c r="CM155" i="5"/>
  <c r="CN155" i="5"/>
  <c r="CO155" i="5"/>
  <c r="CP155" i="5"/>
  <c r="CQ155" i="5"/>
  <c r="CR155" i="5"/>
  <c r="CS155" i="5"/>
  <c r="CT155" i="5"/>
  <c r="CU155" i="5"/>
  <c r="CV155" i="5"/>
  <c r="CW155" i="5"/>
  <c r="CX155" i="5"/>
  <c r="CY155" i="5"/>
  <c r="CZ155" i="5"/>
  <c r="DA155" i="5"/>
  <c r="DB155" i="5"/>
  <c r="DC155" i="5"/>
  <c r="DD155" i="5"/>
  <c r="DE155" i="5"/>
  <c r="DF155" i="5"/>
  <c r="DG155" i="5"/>
  <c r="DH155" i="5"/>
  <c r="DI155" i="5"/>
  <c r="DJ155" i="5"/>
  <c r="DK155" i="5"/>
  <c r="DL155" i="5"/>
  <c r="DM155" i="5"/>
  <c r="DN155" i="5"/>
  <c r="DO155" i="5"/>
  <c r="DP155" i="5"/>
  <c r="DQ155" i="5"/>
  <c r="DR155" i="5"/>
  <c r="DS155" i="5"/>
  <c r="DT155" i="5"/>
  <c r="DU155" i="5"/>
  <c r="DV155" i="5"/>
  <c r="DW155" i="5"/>
  <c r="DX155" i="5"/>
  <c r="DY155" i="5"/>
  <c r="DZ155" i="5"/>
  <c r="EA155" i="5"/>
  <c r="EB155" i="5"/>
  <c r="EC155" i="5"/>
  <c r="ED155" i="5"/>
  <c r="EE155" i="5"/>
  <c r="EF155" i="5"/>
  <c r="EG155" i="5"/>
  <c r="EH155" i="5"/>
  <c r="EI155" i="5"/>
  <c r="EJ155" i="5"/>
  <c r="EK155" i="5"/>
  <c r="EL155" i="5"/>
  <c r="EM155" i="5"/>
  <c r="EN155" i="5"/>
  <c r="EO155" i="5"/>
  <c r="EP155" i="5"/>
  <c r="EQ155" i="5"/>
  <c r="ER155" i="5"/>
  <c r="ES155" i="5"/>
  <c r="ET155" i="5"/>
  <c r="EU155" i="5"/>
  <c r="EV155" i="5"/>
  <c r="EW155" i="5"/>
  <c r="EX155" i="5"/>
  <c r="EY155" i="5"/>
  <c r="EZ155" i="5"/>
  <c r="FA155" i="5"/>
  <c r="FB155" i="5"/>
  <c r="FC155" i="5"/>
  <c r="FD155" i="5"/>
  <c r="FE155" i="5"/>
  <c r="FF155" i="5"/>
  <c r="FG155" i="5"/>
  <c r="FH155" i="5"/>
  <c r="FI155" i="5"/>
  <c r="FJ155" i="5"/>
  <c r="FK155" i="5"/>
  <c r="FL155" i="5"/>
  <c r="FM155" i="5"/>
  <c r="FN155" i="5"/>
  <c r="FO155" i="5"/>
  <c r="FP155" i="5"/>
  <c r="FQ155" i="5"/>
  <c r="FR155" i="5"/>
  <c r="FS155" i="5"/>
  <c r="FT155" i="5"/>
  <c r="FU155" i="5"/>
  <c r="FV155" i="5"/>
  <c r="FW155" i="5"/>
  <c r="FX155" i="5"/>
  <c r="FY155" i="5"/>
  <c r="FZ155" i="5"/>
  <c r="GA155" i="5"/>
  <c r="GB155" i="5"/>
  <c r="GC155" i="5"/>
  <c r="GD155" i="5"/>
  <c r="GE155" i="5"/>
  <c r="GF155" i="5"/>
  <c r="GG155" i="5"/>
  <c r="GH155" i="5"/>
  <c r="GI155" i="5"/>
  <c r="GJ155" i="5"/>
  <c r="GK155" i="5"/>
  <c r="GL155" i="5"/>
  <c r="GM155" i="5"/>
  <c r="GN155" i="5"/>
  <c r="GO155" i="5"/>
  <c r="GP155" i="5"/>
  <c r="GQ155" i="5"/>
  <c r="GR155" i="5"/>
  <c r="GS155" i="5"/>
  <c r="GT155" i="5"/>
  <c r="GU155" i="5"/>
  <c r="GV155" i="5"/>
  <c r="GW155" i="5"/>
  <c r="GX155" i="5"/>
  <c r="GY155" i="5"/>
  <c r="GZ155" i="5"/>
  <c r="HA155" i="5"/>
  <c r="HB155" i="5"/>
  <c r="HC155" i="5"/>
  <c r="HD155" i="5"/>
  <c r="HE155" i="5"/>
  <c r="HF155" i="5"/>
  <c r="HG155" i="5"/>
  <c r="HH155" i="5"/>
  <c r="HI155" i="5"/>
  <c r="HJ155" i="5"/>
  <c r="HK155" i="5"/>
  <c r="HL155" i="5"/>
  <c r="HM155" i="5"/>
  <c r="HN155" i="5"/>
  <c r="HO155" i="5"/>
  <c r="HP155" i="5"/>
  <c r="HQ155" i="5"/>
  <c r="HR155" i="5"/>
  <c r="HS155" i="5"/>
  <c r="HT155" i="5"/>
  <c r="HU155" i="5"/>
  <c r="HV155" i="5"/>
  <c r="HW155" i="5"/>
  <c r="HX155" i="5"/>
  <c r="HY155" i="5"/>
  <c r="HZ155" i="5"/>
  <c r="IA155" i="5"/>
  <c r="IB155" i="5"/>
  <c r="IC155" i="5"/>
  <c r="ID155" i="5"/>
  <c r="IE155" i="5"/>
  <c r="IF155" i="5"/>
  <c r="IG155" i="5"/>
  <c r="IH155" i="5"/>
  <c r="II155" i="5"/>
  <c r="IJ155" i="5"/>
  <c r="IK155" i="5"/>
  <c r="IL155" i="5"/>
  <c r="IM155" i="5"/>
  <c r="IN155" i="5"/>
  <c r="IO155" i="5"/>
  <c r="IP155" i="5"/>
  <c r="IQ155" i="5"/>
  <c r="IR155" i="5"/>
  <c r="IS155" i="5"/>
  <c r="IT155" i="5"/>
  <c r="IU155" i="5"/>
  <c r="IV155" i="5"/>
  <c r="A154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AQ154" i="5"/>
  <c r="AR154" i="5"/>
  <c r="AS154" i="5"/>
  <c r="AT154" i="5"/>
  <c r="AU154" i="5"/>
  <c r="AV154" i="5"/>
  <c r="AW154" i="5"/>
  <c r="AX154" i="5"/>
  <c r="AY154" i="5"/>
  <c r="AZ154" i="5"/>
  <c r="BA154" i="5"/>
  <c r="BB154" i="5"/>
  <c r="BC154" i="5"/>
  <c r="BD154" i="5"/>
  <c r="BE154" i="5"/>
  <c r="BF154" i="5"/>
  <c r="BG154" i="5"/>
  <c r="BH154" i="5"/>
  <c r="BI154" i="5"/>
  <c r="BJ154" i="5"/>
  <c r="BK154" i="5"/>
  <c r="BL154" i="5"/>
  <c r="BM154" i="5"/>
  <c r="BN154" i="5"/>
  <c r="BO154" i="5"/>
  <c r="BP154" i="5"/>
  <c r="BQ154" i="5"/>
  <c r="BR154" i="5"/>
  <c r="BS154" i="5"/>
  <c r="BT154" i="5"/>
  <c r="BU154" i="5"/>
  <c r="BV154" i="5"/>
  <c r="BW154" i="5"/>
  <c r="BX154" i="5"/>
  <c r="BY154" i="5"/>
  <c r="BZ154" i="5"/>
  <c r="CA154" i="5"/>
  <c r="CB154" i="5"/>
  <c r="CC154" i="5"/>
  <c r="CD154" i="5"/>
  <c r="CE154" i="5"/>
  <c r="CF154" i="5"/>
  <c r="CG154" i="5"/>
  <c r="CH154" i="5"/>
  <c r="CI154" i="5"/>
  <c r="CJ154" i="5"/>
  <c r="CK154" i="5"/>
  <c r="CL154" i="5"/>
  <c r="CM154" i="5"/>
  <c r="CN154" i="5"/>
  <c r="CO154" i="5"/>
  <c r="CP154" i="5"/>
  <c r="CQ154" i="5"/>
  <c r="CR154" i="5"/>
  <c r="CS154" i="5"/>
  <c r="CT154" i="5"/>
  <c r="CU154" i="5"/>
  <c r="CV154" i="5"/>
  <c r="CW154" i="5"/>
  <c r="CX154" i="5"/>
  <c r="CY154" i="5"/>
  <c r="CZ154" i="5"/>
  <c r="DA154" i="5"/>
  <c r="DB154" i="5"/>
  <c r="DC154" i="5"/>
  <c r="DD154" i="5"/>
  <c r="DE154" i="5"/>
  <c r="DF154" i="5"/>
  <c r="DG154" i="5"/>
  <c r="DH154" i="5"/>
  <c r="DI154" i="5"/>
  <c r="DJ154" i="5"/>
  <c r="DK154" i="5"/>
  <c r="DL154" i="5"/>
  <c r="DM154" i="5"/>
  <c r="DN154" i="5"/>
  <c r="DO154" i="5"/>
  <c r="DP154" i="5"/>
  <c r="DQ154" i="5"/>
  <c r="DR154" i="5"/>
  <c r="DS154" i="5"/>
  <c r="DT154" i="5"/>
  <c r="DU154" i="5"/>
  <c r="DV154" i="5"/>
  <c r="DW154" i="5"/>
  <c r="DX154" i="5"/>
  <c r="DY154" i="5"/>
  <c r="DZ154" i="5"/>
  <c r="EA154" i="5"/>
  <c r="EB154" i="5"/>
  <c r="EC154" i="5"/>
  <c r="ED154" i="5"/>
  <c r="EE154" i="5"/>
  <c r="EF154" i="5"/>
  <c r="EG154" i="5"/>
  <c r="EH154" i="5"/>
  <c r="EI154" i="5"/>
  <c r="EJ154" i="5"/>
  <c r="EK154" i="5"/>
  <c r="EL154" i="5"/>
  <c r="EM154" i="5"/>
  <c r="EN154" i="5"/>
  <c r="EO154" i="5"/>
  <c r="EP154" i="5"/>
  <c r="EQ154" i="5"/>
  <c r="ER154" i="5"/>
  <c r="ES154" i="5"/>
  <c r="ET154" i="5"/>
  <c r="EU154" i="5"/>
  <c r="EV154" i="5"/>
  <c r="EW154" i="5"/>
  <c r="EX154" i="5"/>
  <c r="EY154" i="5"/>
  <c r="EZ154" i="5"/>
  <c r="FA154" i="5"/>
  <c r="FB154" i="5"/>
  <c r="FC154" i="5"/>
  <c r="FD154" i="5"/>
  <c r="FE154" i="5"/>
  <c r="FF154" i="5"/>
  <c r="FG154" i="5"/>
  <c r="FH154" i="5"/>
  <c r="FI154" i="5"/>
  <c r="FJ154" i="5"/>
  <c r="FK154" i="5"/>
  <c r="FL154" i="5"/>
  <c r="FM154" i="5"/>
  <c r="FN154" i="5"/>
  <c r="FO154" i="5"/>
  <c r="FP154" i="5"/>
  <c r="FQ154" i="5"/>
  <c r="FR154" i="5"/>
  <c r="FS154" i="5"/>
  <c r="FT154" i="5"/>
  <c r="FU154" i="5"/>
  <c r="FV154" i="5"/>
  <c r="FW154" i="5"/>
  <c r="FX154" i="5"/>
  <c r="FY154" i="5"/>
  <c r="FZ154" i="5"/>
  <c r="GA154" i="5"/>
  <c r="GB154" i="5"/>
  <c r="GC154" i="5"/>
  <c r="GD154" i="5"/>
  <c r="GE154" i="5"/>
  <c r="GF154" i="5"/>
  <c r="GG154" i="5"/>
  <c r="GH154" i="5"/>
  <c r="GI154" i="5"/>
  <c r="GJ154" i="5"/>
  <c r="GK154" i="5"/>
  <c r="GL154" i="5"/>
  <c r="GM154" i="5"/>
  <c r="GN154" i="5"/>
  <c r="GO154" i="5"/>
  <c r="GP154" i="5"/>
  <c r="GQ154" i="5"/>
  <c r="GR154" i="5"/>
  <c r="GS154" i="5"/>
  <c r="GT154" i="5"/>
  <c r="GU154" i="5"/>
  <c r="GV154" i="5"/>
  <c r="GW154" i="5"/>
  <c r="GX154" i="5"/>
  <c r="GY154" i="5"/>
  <c r="GZ154" i="5"/>
  <c r="HA154" i="5"/>
  <c r="HB154" i="5"/>
  <c r="HC154" i="5"/>
  <c r="HD154" i="5"/>
  <c r="HE154" i="5"/>
  <c r="HF154" i="5"/>
  <c r="HG154" i="5"/>
  <c r="HH154" i="5"/>
  <c r="HI154" i="5"/>
  <c r="HJ154" i="5"/>
  <c r="HK154" i="5"/>
  <c r="HL154" i="5"/>
  <c r="HM154" i="5"/>
  <c r="HN154" i="5"/>
  <c r="HO154" i="5"/>
  <c r="HP154" i="5"/>
  <c r="HQ154" i="5"/>
  <c r="HR154" i="5"/>
  <c r="HS154" i="5"/>
  <c r="HT154" i="5"/>
  <c r="HU154" i="5"/>
  <c r="HV154" i="5"/>
  <c r="HW154" i="5"/>
  <c r="HX154" i="5"/>
  <c r="HY154" i="5"/>
  <c r="HZ154" i="5"/>
  <c r="IA154" i="5"/>
  <c r="IB154" i="5"/>
  <c r="IC154" i="5"/>
  <c r="ID154" i="5"/>
  <c r="IE154" i="5"/>
  <c r="IF154" i="5"/>
  <c r="IG154" i="5"/>
  <c r="IH154" i="5"/>
  <c r="II154" i="5"/>
  <c r="IJ154" i="5"/>
  <c r="IK154" i="5"/>
  <c r="IL154" i="5"/>
  <c r="IM154" i="5"/>
  <c r="IN154" i="5"/>
  <c r="IO154" i="5"/>
  <c r="IP154" i="5"/>
  <c r="IQ154" i="5"/>
  <c r="IR154" i="5"/>
  <c r="IS154" i="5"/>
  <c r="IT154" i="5"/>
  <c r="IU154" i="5"/>
  <c r="IV154" i="5"/>
  <c r="A153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AQ153" i="5"/>
  <c r="AR153" i="5"/>
  <c r="AS153" i="5"/>
  <c r="AT153" i="5"/>
  <c r="AU153" i="5"/>
  <c r="AV153" i="5"/>
  <c r="AW153" i="5"/>
  <c r="AX153" i="5"/>
  <c r="AY153" i="5"/>
  <c r="AZ153" i="5"/>
  <c r="BA153" i="5"/>
  <c r="BB153" i="5"/>
  <c r="BC153" i="5"/>
  <c r="BD153" i="5"/>
  <c r="BE153" i="5"/>
  <c r="BF153" i="5"/>
  <c r="BG153" i="5"/>
  <c r="BH153" i="5"/>
  <c r="BI153" i="5"/>
  <c r="BJ153" i="5"/>
  <c r="BK153" i="5"/>
  <c r="BL153" i="5"/>
  <c r="BM153" i="5"/>
  <c r="BN153" i="5"/>
  <c r="BO153" i="5"/>
  <c r="BP153" i="5"/>
  <c r="BQ153" i="5"/>
  <c r="BR153" i="5"/>
  <c r="BS153" i="5"/>
  <c r="BT153" i="5"/>
  <c r="BU153" i="5"/>
  <c r="BV153" i="5"/>
  <c r="BW153" i="5"/>
  <c r="BX153" i="5"/>
  <c r="BY153" i="5"/>
  <c r="BZ153" i="5"/>
  <c r="CA153" i="5"/>
  <c r="CB153" i="5"/>
  <c r="CC153" i="5"/>
  <c r="CD153" i="5"/>
  <c r="CE153" i="5"/>
  <c r="CF153" i="5"/>
  <c r="CG153" i="5"/>
  <c r="CH153" i="5"/>
  <c r="CI153" i="5"/>
  <c r="CJ153" i="5"/>
  <c r="CK153" i="5"/>
  <c r="CL153" i="5"/>
  <c r="CM153" i="5"/>
  <c r="CN153" i="5"/>
  <c r="CO153" i="5"/>
  <c r="CP153" i="5"/>
  <c r="CQ153" i="5"/>
  <c r="CR153" i="5"/>
  <c r="CS153" i="5"/>
  <c r="CT153" i="5"/>
  <c r="CU153" i="5"/>
  <c r="CV153" i="5"/>
  <c r="CW153" i="5"/>
  <c r="CX153" i="5"/>
  <c r="CY153" i="5"/>
  <c r="CZ153" i="5"/>
  <c r="DA153" i="5"/>
  <c r="DB153" i="5"/>
  <c r="DC153" i="5"/>
  <c r="DD153" i="5"/>
  <c r="DE153" i="5"/>
  <c r="DF153" i="5"/>
  <c r="DG153" i="5"/>
  <c r="DH153" i="5"/>
  <c r="DI153" i="5"/>
  <c r="DJ153" i="5"/>
  <c r="DK153" i="5"/>
  <c r="DL153" i="5"/>
  <c r="DM153" i="5"/>
  <c r="DN153" i="5"/>
  <c r="DO153" i="5"/>
  <c r="DP153" i="5"/>
  <c r="DQ153" i="5"/>
  <c r="DR153" i="5"/>
  <c r="DS153" i="5"/>
  <c r="DT153" i="5"/>
  <c r="DU153" i="5"/>
  <c r="DV153" i="5"/>
  <c r="DW153" i="5"/>
  <c r="DX153" i="5"/>
  <c r="DY153" i="5"/>
  <c r="DZ153" i="5"/>
  <c r="EA153" i="5"/>
  <c r="EB153" i="5"/>
  <c r="EC153" i="5"/>
  <c r="ED153" i="5"/>
  <c r="EE153" i="5"/>
  <c r="EF153" i="5"/>
  <c r="EG153" i="5"/>
  <c r="EH153" i="5"/>
  <c r="EI153" i="5"/>
  <c r="EJ153" i="5"/>
  <c r="EK153" i="5"/>
  <c r="EL153" i="5"/>
  <c r="EM153" i="5"/>
  <c r="EN153" i="5"/>
  <c r="EO153" i="5"/>
  <c r="EP153" i="5"/>
  <c r="EQ153" i="5"/>
  <c r="ER153" i="5"/>
  <c r="ES153" i="5"/>
  <c r="ET153" i="5"/>
  <c r="EU153" i="5"/>
  <c r="EV153" i="5"/>
  <c r="EW153" i="5"/>
  <c r="EX153" i="5"/>
  <c r="EY153" i="5"/>
  <c r="EZ153" i="5"/>
  <c r="FA153" i="5"/>
  <c r="FB153" i="5"/>
  <c r="FC153" i="5"/>
  <c r="FD153" i="5"/>
  <c r="FE153" i="5"/>
  <c r="FF153" i="5"/>
  <c r="FG153" i="5"/>
  <c r="FH153" i="5"/>
  <c r="FI153" i="5"/>
  <c r="FJ153" i="5"/>
  <c r="FK153" i="5"/>
  <c r="FL153" i="5"/>
  <c r="FM153" i="5"/>
  <c r="FN153" i="5"/>
  <c r="FO153" i="5"/>
  <c r="FP153" i="5"/>
  <c r="FQ153" i="5"/>
  <c r="FR153" i="5"/>
  <c r="FS153" i="5"/>
  <c r="FT153" i="5"/>
  <c r="FU153" i="5"/>
  <c r="FV153" i="5"/>
  <c r="FW153" i="5"/>
  <c r="FX153" i="5"/>
  <c r="FY153" i="5"/>
  <c r="FZ153" i="5"/>
  <c r="GA153" i="5"/>
  <c r="GB153" i="5"/>
  <c r="GC153" i="5"/>
  <c r="GD153" i="5"/>
  <c r="GE153" i="5"/>
  <c r="GF153" i="5"/>
  <c r="GG153" i="5"/>
  <c r="GH153" i="5"/>
  <c r="GI153" i="5"/>
  <c r="GJ153" i="5"/>
  <c r="GK153" i="5"/>
  <c r="GL153" i="5"/>
  <c r="GM153" i="5"/>
  <c r="GN153" i="5"/>
  <c r="GO153" i="5"/>
  <c r="GP153" i="5"/>
  <c r="GQ153" i="5"/>
  <c r="GR153" i="5"/>
  <c r="GS153" i="5"/>
  <c r="GT153" i="5"/>
  <c r="GU153" i="5"/>
  <c r="GV153" i="5"/>
  <c r="GW153" i="5"/>
  <c r="GX153" i="5"/>
  <c r="GY153" i="5"/>
  <c r="GZ153" i="5"/>
  <c r="HA153" i="5"/>
  <c r="HB153" i="5"/>
  <c r="HC153" i="5"/>
  <c r="HD153" i="5"/>
  <c r="HE153" i="5"/>
  <c r="HF153" i="5"/>
  <c r="HG153" i="5"/>
  <c r="HH153" i="5"/>
  <c r="HI153" i="5"/>
  <c r="HJ153" i="5"/>
  <c r="HK153" i="5"/>
  <c r="HL153" i="5"/>
  <c r="HM153" i="5"/>
  <c r="HN153" i="5"/>
  <c r="HO153" i="5"/>
  <c r="HP153" i="5"/>
  <c r="HQ153" i="5"/>
  <c r="HR153" i="5"/>
  <c r="HS153" i="5"/>
  <c r="HT153" i="5"/>
  <c r="HU153" i="5"/>
  <c r="HV153" i="5"/>
  <c r="HW153" i="5"/>
  <c r="HX153" i="5"/>
  <c r="HY153" i="5"/>
  <c r="HZ153" i="5"/>
  <c r="IA153" i="5"/>
  <c r="IB153" i="5"/>
  <c r="IC153" i="5"/>
  <c r="ID153" i="5"/>
  <c r="IE153" i="5"/>
  <c r="IF153" i="5"/>
  <c r="IG153" i="5"/>
  <c r="IH153" i="5"/>
  <c r="II153" i="5"/>
  <c r="IJ153" i="5"/>
  <c r="IK153" i="5"/>
  <c r="IL153" i="5"/>
  <c r="IM153" i="5"/>
  <c r="IN153" i="5"/>
  <c r="IO153" i="5"/>
  <c r="IP153" i="5"/>
  <c r="IQ153" i="5"/>
  <c r="IR153" i="5"/>
  <c r="IS153" i="5"/>
  <c r="IT153" i="5"/>
  <c r="IU153" i="5"/>
  <c r="IV153" i="5"/>
  <c r="A152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AQ152" i="5"/>
  <c r="AR152" i="5"/>
  <c r="AS152" i="5"/>
  <c r="AT152" i="5"/>
  <c r="AU152" i="5"/>
  <c r="AV152" i="5"/>
  <c r="AW152" i="5"/>
  <c r="AX152" i="5"/>
  <c r="AY152" i="5"/>
  <c r="AZ152" i="5"/>
  <c r="BA152" i="5"/>
  <c r="BB152" i="5"/>
  <c r="BC152" i="5"/>
  <c r="BD152" i="5"/>
  <c r="BE152" i="5"/>
  <c r="BF152" i="5"/>
  <c r="BG152" i="5"/>
  <c r="BH152" i="5"/>
  <c r="BI152" i="5"/>
  <c r="BJ152" i="5"/>
  <c r="BK152" i="5"/>
  <c r="BL152" i="5"/>
  <c r="BM152" i="5"/>
  <c r="BN152" i="5"/>
  <c r="BO152" i="5"/>
  <c r="BP152" i="5"/>
  <c r="BQ152" i="5"/>
  <c r="BR152" i="5"/>
  <c r="BS152" i="5"/>
  <c r="BT152" i="5"/>
  <c r="BU152" i="5"/>
  <c r="BV152" i="5"/>
  <c r="BW152" i="5"/>
  <c r="BX152" i="5"/>
  <c r="BY152" i="5"/>
  <c r="BZ152" i="5"/>
  <c r="CA152" i="5"/>
  <c r="CB152" i="5"/>
  <c r="CC152" i="5"/>
  <c r="CD152" i="5"/>
  <c r="CE152" i="5"/>
  <c r="CF152" i="5"/>
  <c r="CG152" i="5"/>
  <c r="CH152" i="5"/>
  <c r="CI152" i="5"/>
  <c r="CJ152" i="5"/>
  <c r="CK152" i="5"/>
  <c r="CL152" i="5"/>
  <c r="CM152" i="5"/>
  <c r="CN152" i="5"/>
  <c r="CO152" i="5"/>
  <c r="CP152" i="5"/>
  <c r="CQ152" i="5"/>
  <c r="CR152" i="5"/>
  <c r="CS152" i="5"/>
  <c r="CT152" i="5"/>
  <c r="CU152" i="5"/>
  <c r="CV152" i="5"/>
  <c r="CW152" i="5"/>
  <c r="CX152" i="5"/>
  <c r="CY152" i="5"/>
  <c r="CZ152" i="5"/>
  <c r="DA152" i="5"/>
  <c r="DB152" i="5"/>
  <c r="DC152" i="5"/>
  <c r="DD152" i="5"/>
  <c r="DE152" i="5"/>
  <c r="DF152" i="5"/>
  <c r="DG152" i="5"/>
  <c r="DH152" i="5"/>
  <c r="DI152" i="5"/>
  <c r="DJ152" i="5"/>
  <c r="DK152" i="5"/>
  <c r="DL152" i="5"/>
  <c r="DM152" i="5"/>
  <c r="DN152" i="5"/>
  <c r="DO152" i="5"/>
  <c r="DP152" i="5"/>
  <c r="DQ152" i="5"/>
  <c r="DR152" i="5"/>
  <c r="DS152" i="5"/>
  <c r="DT152" i="5"/>
  <c r="DU152" i="5"/>
  <c r="DV152" i="5"/>
  <c r="DW152" i="5"/>
  <c r="DX152" i="5"/>
  <c r="DY152" i="5"/>
  <c r="DZ152" i="5"/>
  <c r="EA152" i="5"/>
  <c r="EB152" i="5"/>
  <c r="EC152" i="5"/>
  <c r="ED152" i="5"/>
  <c r="EE152" i="5"/>
  <c r="EF152" i="5"/>
  <c r="EG152" i="5"/>
  <c r="EH152" i="5"/>
  <c r="EI152" i="5"/>
  <c r="EJ152" i="5"/>
  <c r="EK152" i="5"/>
  <c r="EL152" i="5"/>
  <c r="EM152" i="5"/>
  <c r="EN152" i="5"/>
  <c r="EO152" i="5"/>
  <c r="EP152" i="5"/>
  <c r="EQ152" i="5"/>
  <c r="ER152" i="5"/>
  <c r="ES152" i="5"/>
  <c r="ET152" i="5"/>
  <c r="EU152" i="5"/>
  <c r="EV152" i="5"/>
  <c r="EW152" i="5"/>
  <c r="EX152" i="5"/>
  <c r="EY152" i="5"/>
  <c r="EZ152" i="5"/>
  <c r="FA152" i="5"/>
  <c r="FB152" i="5"/>
  <c r="FC152" i="5"/>
  <c r="FD152" i="5"/>
  <c r="FE152" i="5"/>
  <c r="FF152" i="5"/>
  <c r="FG152" i="5"/>
  <c r="FH152" i="5"/>
  <c r="FI152" i="5"/>
  <c r="FJ152" i="5"/>
  <c r="FK152" i="5"/>
  <c r="FL152" i="5"/>
  <c r="FM152" i="5"/>
  <c r="FN152" i="5"/>
  <c r="FO152" i="5"/>
  <c r="FP152" i="5"/>
  <c r="FQ152" i="5"/>
  <c r="FR152" i="5"/>
  <c r="FS152" i="5"/>
  <c r="FT152" i="5"/>
  <c r="FU152" i="5"/>
  <c r="FV152" i="5"/>
  <c r="FW152" i="5"/>
  <c r="FX152" i="5"/>
  <c r="FY152" i="5"/>
  <c r="FZ152" i="5"/>
  <c r="GA152" i="5"/>
  <c r="GB152" i="5"/>
  <c r="GC152" i="5"/>
  <c r="GD152" i="5"/>
  <c r="GE152" i="5"/>
  <c r="GF152" i="5"/>
  <c r="GG152" i="5"/>
  <c r="GH152" i="5"/>
  <c r="GI152" i="5"/>
  <c r="GJ152" i="5"/>
  <c r="GK152" i="5"/>
  <c r="GL152" i="5"/>
  <c r="GM152" i="5"/>
  <c r="GN152" i="5"/>
  <c r="GO152" i="5"/>
  <c r="GP152" i="5"/>
  <c r="GQ152" i="5"/>
  <c r="GR152" i="5"/>
  <c r="GS152" i="5"/>
  <c r="GT152" i="5"/>
  <c r="GU152" i="5"/>
  <c r="GV152" i="5"/>
  <c r="GW152" i="5"/>
  <c r="GX152" i="5"/>
  <c r="GY152" i="5"/>
  <c r="GZ152" i="5"/>
  <c r="HA152" i="5"/>
  <c r="HB152" i="5"/>
  <c r="HC152" i="5"/>
  <c r="HD152" i="5"/>
  <c r="HE152" i="5"/>
  <c r="HF152" i="5"/>
  <c r="HG152" i="5"/>
  <c r="HH152" i="5"/>
  <c r="HI152" i="5"/>
  <c r="HJ152" i="5"/>
  <c r="HK152" i="5"/>
  <c r="HL152" i="5"/>
  <c r="HM152" i="5"/>
  <c r="HN152" i="5"/>
  <c r="HO152" i="5"/>
  <c r="HP152" i="5"/>
  <c r="HQ152" i="5"/>
  <c r="HR152" i="5"/>
  <c r="HS152" i="5"/>
  <c r="HT152" i="5"/>
  <c r="HU152" i="5"/>
  <c r="HV152" i="5"/>
  <c r="HW152" i="5"/>
  <c r="HX152" i="5"/>
  <c r="HY152" i="5"/>
  <c r="HZ152" i="5"/>
  <c r="IA152" i="5"/>
  <c r="IB152" i="5"/>
  <c r="IC152" i="5"/>
  <c r="ID152" i="5"/>
  <c r="IE152" i="5"/>
  <c r="IF152" i="5"/>
  <c r="IG152" i="5"/>
  <c r="IH152" i="5"/>
  <c r="II152" i="5"/>
  <c r="IJ152" i="5"/>
  <c r="IK152" i="5"/>
  <c r="IL152" i="5"/>
  <c r="IM152" i="5"/>
  <c r="IN152" i="5"/>
  <c r="IO152" i="5"/>
  <c r="IP152" i="5"/>
  <c r="IQ152" i="5"/>
  <c r="IR152" i="5"/>
  <c r="IS152" i="5"/>
  <c r="IT152" i="5"/>
  <c r="IU152" i="5"/>
  <c r="IV152" i="5"/>
  <c r="A151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AQ151" i="5"/>
  <c r="AR151" i="5"/>
  <c r="AS151" i="5"/>
  <c r="AT151" i="5"/>
  <c r="AU151" i="5"/>
  <c r="AV151" i="5"/>
  <c r="AW151" i="5"/>
  <c r="AX151" i="5"/>
  <c r="AY151" i="5"/>
  <c r="AZ151" i="5"/>
  <c r="BA151" i="5"/>
  <c r="BB151" i="5"/>
  <c r="BC151" i="5"/>
  <c r="BD151" i="5"/>
  <c r="BE151" i="5"/>
  <c r="BF151" i="5"/>
  <c r="BG151" i="5"/>
  <c r="BH151" i="5"/>
  <c r="BI151" i="5"/>
  <c r="BJ151" i="5"/>
  <c r="BK151" i="5"/>
  <c r="BL151" i="5"/>
  <c r="BM151" i="5"/>
  <c r="BN151" i="5"/>
  <c r="BO151" i="5"/>
  <c r="BP151" i="5"/>
  <c r="BQ151" i="5"/>
  <c r="BR151" i="5"/>
  <c r="BS151" i="5"/>
  <c r="BT151" i="5"/>
  <c r="BU151" i="5"/>
  <c r="BV151" i="5"/>
  <c r="BW151" i="5"/>
  <c r="BX151" i="5"/>
  <c r="BY151" i="5"/>
  <c r="BZ151" i="5"/>
  <c r="CA151" i="5"/>
  <c r="CB151" i="5"/>
  <c r="CC151" i="5"/>
  <c r="CD151" i="5"/>
  <c r="CE151" i="5"/>
  <c r="CF151" i="5"/>
  <c r="CG151" i="5"/>
  <c r="CH151" i="5"/>
  <c r="CI151" i="5"/>
  <c r="CJ151" i="5"/>
  <c r="CK151" i="5"/>
  <c r="CL151" i="5"/>
  <c r="CM151" i="5"/>
  <c r="CN151" i="5"/>
  <c r="CO151" i="5"/>
  <c r="CP151" i="5"/>
  <c r="CQ151" i="5"/>
  <c r="CR151" i="5"/>
  <c r="CS151" i="5"/>
  <c r="CT151" i="5"/>
  <c r="CU151" i="5"/>
  <c r="CV151" i="5"/>
  <c r="CW151" i="5"/>
  <c r="CX151" i="5"/>
  <c r="CY151" i="5"/>
  <c r="CZ151" i="5"/>
  <c r="DA151" i="5"/>
  <c r="DB151" i="5"/>
  <c r="DC151" i="5"/>
  <c r="DD151" i="5"/>
  <c r="DE151" i="5"/>
  <c r="DF151" i="5"/>
  <c r="DG151" i="5"/>
  <c r="DH151" i="5"/>
  <c r="DI151" i="5"/>
  <c r="DJ151" i="5"/>
  <c r="DK151" i="5"/>
  <c r="DL151" i="5"/>
  <c r="DM151" i="5"/>
  <c r="DN151" i="5"/>
  <c r="DO151" i="5"/>
  <c r="DP151" i="5"/>
  <c r="DQ151" i="5"/>
  <c r="DR151" i="5"/>
  <c r="DS151" i="5"/>
  <c r="DT151" i="5"/>
  <c r="DU151" i="5"/>
  <c r="DV151" i="5"/>
  <c r="DW151" i="5"/>
  <c r="DX151" i="5"/>
  <c r="DY151" i="5"/>
  <c r="DZ151" i="5"/>
  <c r="EA151" i="5"/>
  <c r="EB151" i="5"/>
  <c r="EC151" i="5"/>
  <c r="ED151" i="5"/>
  <c r="EE151" i="5"/>
  <c r="EF151" i="5"/>
  <c r="EG151" i="5"/>
  <c r="EH151" i="5"/>
  <c r="EI151" i="5"/>
  <c r="EJ151" i="5"/>
  <c r="EK151" i="5"/>
  <c r="EL151" i="5"/>
  <c r="EM151" i="5"/>
  <c r="EN151" i="5"/>
  <c r="EO151" i="5"/>
  <c r="EP151" i="5"/>
  <c r="EQ151" i="5"/>
  <c r="ER151" i="5"/>
  <c r="ES151" i="5"/>
  <c r="ET151" i="5"/>
  <c r="EU151" i="5"/>
  <c r="EV151" i="5"/>
  <c r="EW151" i="5"/>
  <c r="EX151" i="5"/>
  <c r="EY151" i="5"/>
  <c r="EZ151" i="5"/>
  <c r="FA151" i="5"/>
  <c r="FB151" i="5"/>
  <c r="FC151" i="5"/>
  <c r="FD151" i="5"/>
  <c r="FE151" i="5"/>
  <c r="FF151" i="5"/>
  <c r="FG151" i="5"/>
  <c r="FH151" i="5"/>
  <c r="FI151" i="5"/>
  <c r="FJ151" i="5"/>
  <c r="FK151" i="5"/>
  <c r="FL151" i="5"/>
  <c r="FM151" i="5"/>
  <c r="FN151" i="5"/>
  <c r="FO151" i="5"/>
  <c r="FP151" i="5"/>
  <c r="FQ151" i="5"/>
  <c r="FR151" i="5"/>
  <c r="FS151" i="5"/>
  <c r="FT151" i="5"/>
  <c r="FU151" i="5"/>
  <c r="FV151" i="5"/>
  <c r="FW151" i="5"/>
  <c r="FX151" i="5"/>
  <c r="FY151" i="5"/>
  <c r="FZ151" i="5"/>
  <c r="GA151" i="5"/>
  <c r="GB151" i="5"/>
  <c r="GC151" i="5"/>
  <c r="GD151" i="5"/>
  <c r="GE151" i="5"/>
  <c r="GF151" i="5"/>
  <c r="GG151" i="5"/>
  <c r="GH151" i="5"/>
  <c r="GI151" i="5"/>
  <c r="GJ151" i="5"/>
  <c r="GK151" i="5"/>
  <c r="GL151" i="5"/>
  <c r="GM151" i="5"/>
  <c r="GN151" i="5"/>
  <c r="GO151" i="5"/>
  <c r="GP151" i="5"/>
  <c r="GQ151" i="5"/>
  <c r="GR151" i="5"/>
  <c r="GS151" i="5"/>
  <c r="GT151" i="5"/>
  <c r="GU151" i="5"/>
  <c r="GV151" i="5"/>
  <c r="GW151" i="5"/>
  <c r="GX151" i="5"/>
  <c r="GY151" i="5"/>
  <c r="GZ151" i="5"/>
  <c r="HA151" i="5"/>
  <c r="HB151" i="5"/>
  <c r="HC151" i="5"/>
  <c r="HD151" i="5"/>
  <c r="HE151" i="5"/>
  <c r="HF151" i="5"/>
  <c r="HG151" i="5"/>
  <c r="HH151" i="5"/>
  <c r="HI151" i="5"/>
  <c r="HJ151" i="5"/>
  <c r="HK151" i="5"/>
  <c r="HL151" i="5"/>
  <c r="HM151" i="5"/>
  <c r="HN151" i="5"/>
  <c r="HO151" i="5"/>
  <c r="HP151" i="5"/>
  <c r="HQ151" i="5"/>
  <c r="HR151" i="5"/>
  <c r="HS151" i="5"/>
  <c r="HT151" i="5"/>
  <c r="HU151" i="5"/>
  <c r="HV151" i="5"/>
  <c r="HW151" i="5"/>
  <c r="HX151" i="5"/>
  <c r="HY151" i="5"/>
  <c r="HZ151" i="5"/>
  <c r="IA151" i="5"/>
  <c r="IB151" i="5"/>
  <c r="IC151" i="5"/>
  <c r="ID151" i="5"/>
  <c r="IE151" i="5"/>
  <c r="IF151" i="5"/>
  <c r="IG151" i="5"/>
  <c r="IH151" i="5"/>
  <c r="II151" i="5"/>
  <c r="IJ151" i="5"/>
  <c r="IK151" i="5"/>
  <c r="IL151" i="5"/>
  <c r="IM151" i="5"/>
  <c r="IN151" i="5"/>
  <c r="IO151" i="5"/>
  <c r="IP151" i="5"/>
  <c r="IQ151" i="5"/>
  <c r="IR151" i="5"/>
  <c r="IS151" i="5"/>
  <c r="IT151" i="5"/>
  <c r="IU151" i="5"/>
  <c r="IV151" i="5"/>
  <c r="A150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AQ150" i="5"/>
  <c r="AR150" i="5"/>
  <c r="AS150" i="5"/>
  <c r="AT150" i="5"/>
  <c r="AU150" i="5"/>
  <c r="AV150" i="5"/>
  <c r="AW150" i="5"/>
  <c r="AX150" i="5"/>
  <c r="AY150" i="5"/>
  <c r="AZ150" i="5"/>
  <c r="BA150" i="5"/>
  <c r="BB150" i="5"/>
  <c r="BC150" i="5"/>
  <c r="BD150" i="5"/>
  <c r="BE150" i="5"/>
  <c r="BF150" i="5"/>
  <c r="BG150" i="5"/>
  <c r="BH150" i="5"/>
  <c r="BI150" i="5"/>
  <c r="BJ150" i="5"/>
  <c r="BK150" i="5"/>
  <c r="BL150" i="5"/>
  <c r="BM150" i="5"/>
  <c r="BN150" i="5"/>
  <c r="BO150" i="5"/>
  <c r="BP150" i="5"/>
  <c r="BQ150" i="5"/>
  <c r="BR150" i="5"/>
  <c r="BS150" i="5"/>
  <c r="BT150" i="5"/>
  <c r="BU150" i="5"/>
  <c r="BV150" i="5"/>
  <c r="BW150" i="5"/>
  <c r="BX150" i="5"/>
  <c r="BY150" i="5"/>
  <c r="BZ150" i="5"/>
  <c r="CA150" i="5"/>
  <c r="CB150" i="5"/>
  <c r="CC150" i="5"/>
  <c r="CD150" i="5"/>
  <c r="CE150" i="5"/>
  <c r="CF150" i="5"/>
  <c r="CG150" i="5"/>
  <c r="CH150" i="5"/>
  <c r="CI150" i="5"/>
  <c r="CJ150" i="5"/>
  <c r="CK150" i="5"/>
  <c r="CL150" i="5"/>
  <c r="CM150" i="5"/>
  <c r="CN150" i="5"/>
  <c r="CO150" i="5"/>
  <c r="CP150" i="5"/>
  <c r="CQ150" i="5"/>
  <c r="CR150" i="5"/>
  <c r="CS150" i="5"/>
  <c r="CT150" i="5"/>
  <c r="CU150" i="5"/>
  <c r="CV150" i="5"/>
  <c r="CW150" i="5"/>
  <c r="CX150" i="5"/>
  <c r="CY150" i="5"/>
  <c r="CZ150" i="5"/>
  <c r="DA150" i="5"/>
  <c r="DB150" i="5"/>
  <c r="DC150" i="5"/>
  <c r="DD150" i="5"/>
  <c r="DE150" i="5"/>
  <c r="DF150" i="5"/>
  <c r="DG150" i="5"/>
  <c r="DH150" i="5"/>
  <c r="DI150" i="5"/>
  <c r="DJ150" i="5"/>
  <c r="DK150" i="5"/>
  <c r="DL150" i="5"/>
  <c r="DM150" i="5"/>
  <c r="DN150" i="5"/>
  <c r="DO150" i="5"/>
  <c r="DP150" i="5"/>
  <c r="DQ150" i="5"/>
  <c r="DR150" i="5"/>
  <c r="DS150" i="5"/>
  <c r="DT150" i="5"/>
  <c r="DU150" i="5"/>
  <c r="DV150" i="5"/>
  <c r="DW150" i="5"/>
  <c r="DX150" i="5"/>
  <c r="DY150" i="5"/>
  <c r="DZ150" i="5"/>
  <c r="EA150" i="5"/>
  <c r="EB150" i="5"/>
  <c r="EC150" i="5"/>
  <c r="ED150" i="5"/>
  <c r="EE150" i="5"/>
  <c r="EF150" i="5"/>
  <c r="EG150" i="5"/>
  <c r="EH150" i="5"/>
  <c r="EI150" i="5"/>
  <c r="EJ150" i="5"/>
  <c r="EK150" i="5"/>
  <c r="EL150" i="5"/>
  <c r="EM150" i="5"/>
  <c r="EN150" i="5"/>
  <c r="EO150" i="5"/>
  <c r="EP150" i="5"/>
  <c r="EQ150" i="5"/>
  <c r="ER150" i="5"/>
  <c r="ES150" i="5"/>
  <c r="ET150" i="5"/>
  <c r="EU150" i="5"/>
  <c r="EV150" i="5"/>
  <c r="EW150" i="5"/>
  <c r="EX150" i="5"/>
  <c r="EY150" i="5"/>
  <c r="EZ150" i="5"/>
  <c r="FA150" i="5"/>
  <c r="FB150" i="5"/>
  <c r="FC150" i="5"/>
  <c r="FD150" i="5"/>
  <c r="FE150" i="5"/>
  <c r="FF150" i="5"/>
  <c r="FG150" i="5"/>
  <c r="FH150" i="5"/>
  <c r="FI150" i="5"/>
  <c r="FJ150" i="5"/>
  <c r="FK150" i="5"/>
  <c r="FL150" i="5"/>
  <c r="FM150" i="5"/>
  <c r="FN150" i="5"/>
  <c r="FO150" i="5"/>
  <c r="FP150" i="5"/>
  <c r="FQ150" i="5"/>
  <c r="FR150" i="5"/>
  <c r="FS150" i="5"/>
  <c r="FT150" i="5"/>
  <c r="FU150" i="5"/>
  <c r="FV150" i="5"/>
  <c r="FW150" i="5"/>
  <c r="FX150" i="5"/>
  <c r="FY150" i="5"/>
  <c r="FZ150" i="5"/>
  <c r="GA150" i="5"/>
  <c r="GB150" i="5"/>
  <c r="GC150" i="5"/>
  <c r="GD150" i="5"/>
  <c r="GE150" i="5"/>
  <c r="GF150" i="5"/>
  <c r="GG150" i="5"/>
  <c r="GH150" i="5"/>
  <c r="GI150" i="5"/>
  <c r="GJ150" i="5"/>
  <c r="GK150" i="5"/>
  <c r="GL150" i="5"/>
  <c r="GM150" i="5"/>
  <c r="GN150" i="5"/>
  <c r="GO150" i="5"/>
  <c r="GP150" i="5"/>
  <c r="GQ150" i="5"/>
  <c r="GR150" i="5"/>
  <c r="GS150" i="5"/>
  <c r="GT150" i="5"/>
  <c r="GU150" i="5"/>
  <c r="GV150" i="5"/>
  <c r="GW150" i="5"/>
  <c r="GX150" i="5"/>
  <c r="GY150" i="5"/>
  <c r="GZ150" i="5"/>
  <c r="HA150" i="5"/>
  <c r="HB150" i="5"/>
  <c r="HC150" i="5"/>
  <c r="HD150" i="5"/>
  <c r="HE150" i="5"/>
  <c r="HF150" i="5"/>
  <c r="HG150" i="5"/>
  <c r="HH150" i="5"/>
  <c r="HI150" i="5"/>
  <c r="HJ150" i="5"/>
  <c r="HK150" i="5"/>
  <c r="HL150" i="5"/>
  <c r="HM150" i="5"/>
  <c r="HN150" i="5"/>
  <c r="HO150" i="5"/>
  <c r="HP150" i="5"/>
  <c r="HQ150" i="5"/>
  <c r="HR150" i="5"/>
  <c r="HS150" i="5"/>
  <c r="HT150" i="5"/>
  <c r="HU150" i="5"/>
  <c r="HV150" i="5"/>
  <c r="HW150" i="5"/>
  <c r="HX150" i="5"/>
  <c r="HY150" i="5"/>
  <c r="HZ150" i="5"/>
  <c r="IA150" i="5"/>
  <c r="IB150" i="5"/>
  <c r="IC150" i="5"/>
  <c r="ID150" i="5"/>
  <c r="IE150" i="5"/>
  <c r="IF150" i="5"/>
  <c r="IG150" i="5"/>
  <c r="IH150" i="5"/>
  <c r="II150" i="5"/>
  <c r="IJ150" i="5"/>
  <c r="IK150" i="5"/>
  <c r="IL150" i="5"/>
  <c r="IM150" i="5"/>
  <c r="IN150" i="5"/>
  <c r="IO150" i="5"/>
  <c r="IP150" i="5"/>
  <c r="IQ150" i="5"/>
  <c r="IR150" i="5"/>
  <c r="IS150" i="5"/>
  <c r="IT150" i="5"/>
  <c r="IU150" i="5"/>
  <c r="IV150" i="5"/>
  <c r="A149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Q149" i="5"/>
  <c r="AR149" i="5"/>
  <c r="AS149" i="5"/>
  <c r="AT149" i="5"/>
  <c r="AU149" i="5"/>
  <c r="AV149" i="5"/>
  <c r="AW149" i="5"/>
  <c r="AX149" i="5"/>
  <c r="AY149" i="5"/>
  <c r="AZ149" i="5"/>
  <c r="BA149" i="5"/>
  <c r="BB149" i="5"/>
  <c r="BC149" i="5"/>
  <c r="BD149" i="5"/>
  <c r="BE149" i="5"/>
  <c r="BF149" i="5"/>
  <c r="BG149" i="5"/>
  <c r="BH149" i="5"/>
  <c r="BI149" i="5"/>
  <c r="BJ149" i="5"/>
  <c r="BK149" i="5"/>
  <c r="BL149" i="5"/>
  <c r="BM149" i="5"/>
  <c r="BN149" i="5"/>
  <c r="BO149" i="5"/>
  <c r="BP149" i="5"/>
  <c r="BQ149" i="5"/>
  <c r="BR149" i="5"/>
  <c r="BS149" i="5"/>
  <c r="BT149" i="5"/>
  <c r="BU149" i="5"/>
  <c r="BV149" i="5"/>
  <c r="BW149" i="5"/>
  <c r="BX149" i="5"/>
  <c r="BY149" i="5"/>
  <c r="BZ149" i="5"/>
  <c r="CA149" i="5"/>
  <c r="CB149" i="5"/>
  <c r="CC149" i="5"/>
  <c r="CD149" i="5"/>
  <c r="CE149" i="5"/>
  <c r="CF149" i="5"/>
  <c r="CG149" i="5"/>
  <c r="CH149" i="5"/>
  <c r="CI149" i="5"/>
  <c r="CJ149" i="5"/>
  <c r="CK149" i="5"/>
  <c r="CL149" i="5"/>
  <c r="CM149" i="5"/>
  <c r="CN149" i="5"/>
  <c r="CO149" i="5"/>
  <c r="CP149" i="5"/>
  <c r="CQ149" i="5"/>
  <c r="CR149" i="5"/>
  <c r="CS149" i="5"/>
  <c r="CT149" i="5"/>
  <c r="CU149" i="5"/>
  <c r="CV149" i="5"/>
  <c r="CW149" i="5"/>
  <c r="CX149" i="5"/>
  <c r="CY149" i="5"/>
  <c r="CZ149" i="5"/>
  <c r="DA149" i="5"/>
  <c r="DB149" i="5"/>
  <c r="DC149" i="5"/>
  <c r="DD149" i="5"/>
  <c r="DE149" i="5"/>
  <c r="DF149" i="5"/>
  <c r="DG149" i="5"/>
  <c r="DH149" i="5"/>
  <c r="DI149" i="5"/>
  <c r="DJ149" i="5"/>
  <c r="DK149" i="5"/>
  <c r="DL149" i="5"/>
  <c r="DM149" i="5"/>
  <c r="DN149" i="5"/>
  <c r="DO149" i="5"/>
  <c r="DP149" i="5"/>
  <c r="DQ149" i="5"/>
  <c r="DR149" i="5"/>
  <c r="DS149" i="5"/>
  <c r="DT149" i="5"/>
  <c r="DU149" i="5"/>
  <c r="DV149" i="5"/>
  <c r="DW149" i="5"/>
  <c r="DX149" i="5"/>
  <c r="DY149" i="5"/>
  <c r="DZ149" i="5"/>
  <c r="EA149" i="5"/>
  <c r="EB149" i="5"/>
  <c r="EC149" i="5"/>
  <c r="ED149" i="5"/>
  <c r="EE149" i="5"/>
  <c r="EF149" i="5"/>
  <c r="EG149" i="5"/>
  <c r="EH149" i="5"/>
  <c r="EI149" i="5"/>
  <c r="EJ149" i="5"/>
  <c r="EK149" i="5"/>
  <c r="EL149" i="5"/>
  <c r="EM149" i="5"/>
  <c r="EN149" i="5"/>
  <c r="EO149" i="5"/>
  <c r="EP149" i="5"/>
  <c r="EQ149" i="5"/>
  <c r="ER149" i="5"/>
  <c r="ES149" i="5"/>
  <c r="ET149" i="5"/>
  <c r="EU149" i="5"/>
  <c r="EV149" i="5"/>
  <c r="EW149" i="5"/>
  <c r="EX149" i="5"/>
  <c r="EY149" i="5"/>
  <c r="EZ149" i="5"/>
  <c r="FA149" i="5"/>
  <c r="FB149" i="5"/>
  <c r="FC149" i="5"/>
  <c r="FD149" i="5"/>
  <c r="FE149" i="5"/>
  <c r="FF149" i="5"/>
  <c r="FG149" i="5"/>
  <c r="FH149" i="5"/>
  <c r="FI149" i="5"/>
  <c r="FJ149" i="5"/>
  <c r="FK149" i="5"/>
  <c r="FL149" i="5"/>
  <c r="FM149" i="5"/>
  <c r="FN149" i="5"/>
  <c r="FO149" i="5"/>
  <c r="FP149" i="5"/>
  <c r="FQ149" i="5"/>
  <c r="FR149" i="5"/>
  <c r="FS149" i="5"/>
  <c r="FT149" i="5"/>
  <c r="FU149" i="5"/>
  <c r="FV149" i="5"/>
  <c r="FW149" i="5"/>
  <c r="FX149" i="5"/>
  <c r="FY149" i="5"/>
  <c r="FZ149" i="5"/>
  <c r="GA149" i="5"/>
  <c r="GB149" i="5"/>
  <c r="GC149" i="5"/>
  <c r="GD149" i="5"/>
  <c r="GE149" i="5"/>
  <c r="GF149" i="5"/>
  <c r="GG149" i="5"/>
  <c r="GH149" i="5"/>
  <c r="GI149" i="5"/>
  <c r="GJ149" i="5"/>
  <c r="GK149" i="5"/>
  <c r="GL149" i="5"/>
  <c r="GM149" i="5"/>
  <c r="GN149" i="5"/>
  <c r="GO149" i="5"/>
  <c r="GP149" i="5"/>
  <c r="GQ149" i="5"/>
  <c r="GR149" i="5"/>
  <c r="GS149" i="5"/>
  <c r="GT149" i="5"/>
  <c r="GU149" i="5"/>
  <c r="GV149" i="5"/>
  <c r="GW149" i="5"/>
  <c r="GX149" i="5"/>
  <c r="GY149" i="5"/>
  <c r="GZ149" i="5"/>
  <c r="HA149" i="5"/>
  <c r="HB149" i="5"/>
  <c r="HC149" i="5"/>
  <c r="HD149" i="5"/>
  <c r="HE149" i="5"/>
  <c r="HF149" i="5"/>
  <c r="HG149" i="5"/>
  <c r="HH149" i="5"/>
  <c r="HI149" i="5"/>
  <c r="HJ149" i="5"/>
  <c r="HK149" i="5"/>
  <c r="HL149" i="5"/>
  <c r="HM149" i="5"/>
  <c r="HN149" i="5"/>
  <c r="HO149" i="5"/>
  <c r="HP149" i="5"/>
  <c r="HQ149" i="5"/>
  <c r="HR149" i="5"/>
  <c r="HS149" i="5"/>
  <c r="HT149" i="5"/>
  <c r="HU149" i="5"/>
  <c r="HV149" i="5"/>
  <c r="HW149" i="5"/>
  <c r="HX149" i="5"/>
  <c r="HY149" i="5"/>
  <c r="HZ149" i="5"/>
  <c r="IA149" i="5"/>
  <c r="IB149" i="5"/>
  <c r="IC149" i="5"/>
  <c r="ID149" i="5"/>
  <c r="IE149" i="5"/>
  <c r="IF149" i="5"/>
  <c r="IG149" i="5"/>
  <c r="IH149" i="5"/>
  <c r="II149" i="5"/>
  <c r="IJ149" i="5"/>
  <c r="IK149" i="5"/>
  <c r="IL149" i="5"/>
  <c r="IM149" i="5"/>
  <c r="IN149" i="5"/>
  <c r="IO149" i="5"/>
  <c r="IP149" i="5"/>
  <c r="IQ149" i="5"/>
  <c r="IR149" i="5"/>
  <c r="IS149" i="5"/>
  <c r="IT149" i="5"/>
  <c r="IU149" i="5"/>
  <c r="IV149" i="5"/>
  <c r="A148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AQ148" i="5"/>
  <c r="AR148" i="5"/>
  <c r="AS148" i="5"/>
  <c r="AT148" i="5"/>
  <c r="AU148" i="5"/>
  <c r="AV148" i="5"/>
  <c r="AW148" i="5"/>
  <c r="AX148" i="5"/>
  <c r="AY148" i="5"/>
  <c r="AZ148" i="5"/>
  <c r="BA148" i="5"/>
  <c r="BB148" i="5"/>
  <c r="BC148" i="5"/>
  <c r="BD148" i="5"/>
  <c r="BE148" i="5"/>
  <c r="BF148" i="5"/>
  <c r="BG148" i="5"/>
  <c r="BH148" i="5"/>
  <c r="BI148" i="5"/>
  <c r="BJ148" i="5"/>
  <c r="BK148" i="5"/>
  <c r="BL148" i="5"/>
  <c r="BM148" i="5"/>
  <c r="BN148" i="5"/>
  <c r="BO148" i="5"/>
  <c r="BP148" i="5"/>
  <c r="BQ148" i="5"/>
  <c r="BR148" i="5"/>
  <c r="BS148" i="5"/>
  <c r="BT148" i="5"/>
  <c r="BU148" i="5"/>
  <c r="BV148" i="5"/>
  <c r="BW148" i="5"/>
  <c r="BX148" i="5"/>
  <c r="BY148" i="5"/>
  <c r="BZ148" i="5"/>
  <c r="CA148" i="5"/>
  <c r="CB148" i="5"/>
  <c r="CC148" i="5"/>
  <c r="CD148" i="5"/>
  <c r="CE148" i="5"/>
  <c r="CF148" i="5"/>
  <c r="CG148" i="5"/>
  <c r="CH148" i="5"/>
  <c r="CI148" i="5"/>
  <c r="CJ148" i="5"/>
  <c r="CK148" i="5"/>
  <c r="CL148" i="5"/>
  <c r="CM148" i="5"/>
  <c r="CN148" i="5"/>
  <c r="CO148" i="5"/>
  <c r="CP148" i="5"/>
  <c r="CQ148" i="5"/>
  <c r="CR148" i="5"/>
  <c r="CS148" i="5"/>
  <c r="CT148" i="5"/>
  <c r="CU148" i="5"/>
  <c r="CV148" i="5"/>
  <c r="CW148" i="5"/>
  <c r="CX148" i="5"/>
  <c r="CY148" i="5"/>
  <c r="CZ148" i="5"/>
  <c r="DA148" i="5"/>
  <c r="DB148" i="5"/>
  <c r="DC148" i="5"/>
  <c r="DD148" i="5"/>
  <c r="DE148" i="5"/>
  <c r="DF148" i="5"/>
  <c r="DG148" i="5"/>
  <c r="DH148" i="5"/>
  <c r="DI148" i="5"/>
  <c r="DJ148" i="5"/>
  <c r="DK148" i="5"/>
  <c r="DL148" i="5"/>
  <c r="DM148" i="5"/>
  <c r="DN148" i="5"/>
  <c r="DO148" i="5"/>
  <c r="DP148" i="5"/>
  <c r="DQ148" i="5"/>
  <c r="DR148" i="5"/>
  <c r="DS148" i="5"/>
  <c r="DT148" i="5"/>
  <c r="DU148" i="5"/>
  <c r="DV148" i="5"/>
  <c r="DW148" i="5"/>
  <c r="DX148" i="5"/>
  <c r="DY148" i="5"/>
  <c r="DZ148" i="5"/>
  <c r="EA148" i="5"/>
  <c r="EB148" i="5"/>
  <c r="EC148" i="5"/>
  <c r="ED148" i="5"/>
  <c r="EE148" i="5"/>
  <c r="EF148" i="5"/>
  <c r="EG148" i="5"/>
  <c r="EH148" i="5"/>
  <c r="EI148" i="5"/>
  <c r="EJ148" i="5"/>
  <c r="EK148" i="5"/>
  <c r="EL148" i="5"/>
  <c r="EM148" i="5"/>
  <c r="EN148" i="5"/>
  <c r="EO148" i="5"/>
  <c r="EP148" i="5"/>
  <c r="EQ148" i="5"/>
  <c r="ER148" i="5"/>
  <c r="ES148" i="5"/>
  <c r="ET148" i="5"/>
  <c r="EU148" i="5"/>
  <c r="EV148" i="5"/>
  <c r="EW148" i="5"/>
  <c r="EX148" i="5"/>
  <c r="EY148" i="5"/>
  <c r="EZ148" i="5"/>
  <c r="FA148" i="5"/>
  <c r="FB148" i="5"/>
  <c r="FC148" i="5"/>
  <c r="FD148" i="5"/>
  <c r="FE148" i="5"/>
  <c r="FF148" i="5"/>
  <c r="FG148" i="5"/>
  <c r="FH148" i="5"/>
  <c r="FI148" i="5"/>
  <c r="FJ148" i="5"/>
  <c r="FK148" i="5"/>
  <c r="FL148" i="5"/>
  <c r="FM148" i="5"/>
  <c r="FN148" i="5"/>
  <c r="FO148" i="5"/>
  <c r="FP148" i="5"/>
  <c r="FQ148" i="5"/>
  <c r="FR148" i="5"/>
  <c r="FS148" i="5"/>
  <c r="FT148" i="5"/>
  <c r="FU148" i="5"/>
  <c r="FV148" i="5"/>
  <c r="FW148" i="5"/>
  <c r="FX148" i="5"/>
  <c r="FY148" i="5"/>
  <c r="FZ148" i="5"/>
  <c r="GA148" i="5"/>
  <c r="GB148" i="5"/>
  <c r="GC148" i="5"/>
  <c r="GD148" i="5"/>
  <c r="GE148" i="5"/>
  <c r="GF148" i="5"/>
  <c r="GG148" i="5"/>
  <c r="GH148" i="5"/>
  <c r="GI148" i="5"/>
  <c r="GJ148" i="5"/>
  <c r="GK148" i="5"/>
  <c r="GL148" i="5"/>
  <c r="GM148" i="5"/>
  <c r="GN148" i="5"/>
  <c r="GO148" i="5"/>
  <c r="GP148" i="5"/>
  <c r="GQ148" i="5"/>
  <c r="GR148" i="5"/>
  <c r="GS148" i="5"/>
  <c r="GT148" i="5"/>
  <c r="GU148" i="5"/>
  <c r="GV148" i="5"/>
  <c r="GW148" i="5"/>
  <c r="GX148" i="5"/>
  <c r="GY148" i="5"/>
  <c r="GZ148" i="5"/>
  <c r="HA148" i="5"/>
  <c r="HB148" i="5"/>
  <c r="HC148" i="5"/>
  <c r="HD148" i="5"/>
  <c r="HE148" i="5"/>
  <c r="HF148" i="5"/>
  <c r="HG148" i="5"/>
  <c r="HH148" i="5"/>
  <c r="HI148" i="5"/>
  <c r="HJ148" i="5"/>
  <c r="HK148" i="5"/>
  <c r="HL148" i="5"/>
  <c r="HM148" i="5"/>
  <c r="HN148" i="5"/>
  <c r="HO148" i="5"/>
  <c r="HP148" i="5"/>
  <c r="HQ148" i="5"/>
  <c r="HR148" i="5"/>
  <c r="HS148" i="5"/>
  <c r="HT148" i="5"/>
  <c r="HU148" i="5"/>
  <c r="HV148" i="5"/>
  <c r="HW148" i="5"/>
  <c r="HX148" i="5"/>
  <c r="HY148" i="5"/>
  <c r="HZ148" i="5"/>
  <c r="IA148" i="5"/>
  <c r="IB148" i="5"/>
  <c r="IC148" i="5"/>
  <c r="ID148" i="5"/>
  <c r="IE148" i="5"/>
  <c r="IF148" i="5"/>
  <c r="IG148" i="5"/>
  <c r="IH148" i="5"/>
  <c r="II148" i="5"/>
  <c r="IJ148" i="5"/>
  <c r="IK148" i="5"/>
  <c r="IL148" i="5"/>
  <c r="IM148" i="5"/>
  <c r="IN148" i="5"/>
  <c r="IO148" i="5"/>
  <c r="IP148" i="5"/>
  <c r="IQ148" i="5"/>
  <c r="IR148" i="5"/>
  <c r="IS148" i="5"/>
  <c r="IT148" i="5"/>
  <c r="IU148" i="5"/>
  <c r="IV148" i="5"/>
  <c r="A147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AQ147" i="5"/>
  <c r="AR147" i="5"/>
  <c r="AS147" i="5"/>
  <c r="AT147" i="5"/>
  <c r="AU147" i="5"/>
  <c r="AV147" i="5"/>
  <c r="AW147" i="5"/>
  <c r="AX147" i="5"/>
  <c r="AY147" i="5"/>
  <c r="AZ147" i="5"/>
  <c r="BA147" i="5"/>
  <c r="BB147" i="5"/>
  <c r="BC147" i="5"/>
  <c r="BD147" i="5"/>
  <c r="BE147" i="5"/>
  <c r="BF147" i="5"/>
  <c r="BG147" i="5"/>
  <c r="BH147" i="5"/>
  <c r="BI147" i="5"/>
  <c r="BJ147" i="5"/>
  <c r="BK147" i="5"/>
  <c r="BL147" i="5"/>
  <c r="BM147" i="5"/>
  <c r="BN147" i="5"/>
  <c r="BO147" i="5"/>
  <c r="BP147" i="5"/>
  <c r="BQ147" i="5"/>
  <c r="BR147" i="5"/>
  <c r="BS147" i="5"/>
  <c r="BT147" i="5"/>
  <c r="BU147" i="5"/>
  <c r="BV147" i="5"/>
  <c r="BW147" i="5"/>
  <c r="BX147" i="5"/>
  <c r="BY147" i="5"/>
  <c r="BZ147" i="5"/>
  <c r="CA147" i="5"/>
  <c r="CB147" i="5"/>
  <c r="CC147" i="5"/>
  <c r="CD147" i="5"/>
  <c r="CE147" i="5"/>
  <c r="CF147" i="5"/>
  <c r="CG147" i="5"/>
  <c r="CH147" i="5"/>
  <c r="CI147" i="5"/>
  <c r="CJ147" i="5"/>
  <c r="CK147" i="5"/>
  <c r="CL147" i="5"/>
  <c r="CM147" i="5"/>
  <c r="CN147" i="5"/>
  <c r="CO147" i="5"/>
  <c r="CP147" i="5"/>
  <c r="CQ147" i="5"/>
  <c r="CR147" i="5"/>
  <c r="CS147" i="5"/>
  <c r="CT147" i="5"/>
  <c r="CU147" i="5"/>
  <c r="CV147" i="5"/>
  <c r="CW147" i="5"/>
  <c r="CX147" i="5"/>
  <c r="CY147" i="5"/>
  <c r="CZ147" i="5"/>
  <c r="DA147" i="5"/>
  <c r="DB147" i="5"/>
  <c r="DC147" i="5"/>
  <c r="DD147" i="5"/>
  <c r="DE147" i="5"/>
  <c r="DF147" i="5"/>
  <c r="DG147" i="5"/>
  <c r="DH147" i="5"/>
  <c r="DI147" i="5"/>
  <c r="DJ147" i="5"/>
  <c r="DK147" i="5"/>
  <c r="DL147" i="5"/>
  <c r="DM147" i="5"/>
  <c r="DN147" i="5"/>
  <c r="DO147" i="5"/>
  <c r="DP147" i="5"/>
  <c r="DQ147" i="5"/>
  <c r="DR147" i="5"/>
  <c r="DS147" i="5"/>
  <c r="DT147" i="5"/>
  <c r="DU147" i="5"/>
  <c r="DV147" i="5"/>
  <c r="DW147" i="5"/>
  <c r="DX147" i="5"/>
  <c r="DY147" i="5"/>
  <c r="DZ147" i="5"/>
  <c r="EA147" i="5"/>
  <c r="EB147" i="5"/>
  <c r="EC147" i="5"/>
  <c r="ED147" i="5"/>
  <c r="EE147" i="5"/>
  <c r="EF147" i="5"/>
  <c r="EG147" i="5"/>
  <c r="EH147" i="5"/>
  <c r="EI147" i="5"/>
  <c r="EJ147" i="5"/>
  <c r="EK147" i="5"/>
  <c r="EL147" i="5"/>
  <c r="EM147" i="5"/>
  <c r="EN147" i="5"/>
  <c r="EO147" i="5"/>
  <c r="EP147" i="5"/>
  <c r="EQ147" i="5"/>
  <c r="ER147" i="5"/>
  <c r="ES147" i="5"/>
  <c r="ET147" i="5"/>
  <c r="EU147" i="5"/>
  <c r="EV147" i="5"/>
  <c r="EW147" i="5"/>
  <c r="EX147" i="5"/>
  <c r="EY147" i="5"/>
  <c r="EZ147" i="5"/>
  <c r="FA147" i="5"/>
  <c r="FB147" i="5"/>
  <c r="FC147" i="5"/>
  <c r="FD147" i="5"/>
  <c r="FE147" i="5"/>
  <c r="FF147" i="5"/>
  <c r="FG147" i="5"/>
  <c r="FH147" i="5"/>
  <c r="FI147" i="5"/>
  <c r="FJ147" i="5"/>
  <c r="FK147" i="5"/>
  <c r="FL147" i="5"/>
  <c r="FM147" i="5"/>
  <c r="FN147" i="5"/>
  <c r="FO147" i="5"/>
  <c r="FP147" i="5"/>
  <c r="FQ147" i="5"/>
  <c r="FR147" i="5"/>
  <c r="FS147" i="5"/>
  <c r="FT147" i="5"/>
  <c r="FU147" i="5"/>
  <c r="FV147" i="5"/>
  <c r="FW147" i="5"/>
  <c r="FX147" i="5"/>
  <c r="FY147" i="5"/>
  <c r="FZ147" i="5"/>
  <c r="GA147" i="5"/>
  <c r="GB147" i="5"/>
  <c r="GC147" i="5"/>
  <c r="GD147" i="5"/>
  <c r="GE147" i="5"/>
  <c r="GF147" i="5"/>
  <c r="GG147" i="5"/>
  <c r="GH147" i="5"/>
  <c r="GI147" i="5"/>
  <c r="GJ147" i="5"/>
  <c r="GK147" i="5"/>
  <c r="GL147" i="5"/>
  <c r="GM147" i="5"/>
  <c r="GN147" i="5"/>
  <c r="GO147" i="5"/>
  <c r="GP147" i="5"/>
  <c r="GQ147" i="5"/>
  <c r="GR147" i="5"/>
  <c r="GS147" i="5"/>
  <c r="GT147" i="5"/>
  <c r="GU147" i="5"/>
  <c r="GV147" i="5"/>
  <c r="GW147" i="5"/>
  <c r="GX147" i="5"/>
  <c r="GY147" i="5"/>
  <c r="GZ147" i="5"/>
  <c r="HA147" i="5"/>
  <c r="HB147" i="5"/>
  <c r="HC147" i="5"/>
  <c r="HD147" i="5"/>
  <c r="HE147" i="5"/>
  <c r="HF147" i="5"/>
  <c r="HG147" i="5"/>
  <c r="HH147" i="5"/>
  <c r="HI147" i="5"/>
  <c r="HJ147" i="5"/>
  <c r="HK147" i="5"/>
  <c r="HL147" i="5"/>
  <c r="HM147" i="5"/>
  <c r="HN147" i="5"/>
  <c r="HO147" i="5"/>
  <c r="HP147" i="5"/>
  <c r="HQ147" i="5"/>
  <c r="HR147" i="5"/>
  <c r="HS147" i="5"/>
  <c r="HT147" i="5"/>
  <c r="HU147" i="5"/>
  <c r="HV147" i="5"/>
  <c r="HW147" i="5"/>
  <c r="HX147" i="5"/>
  <c r="HY147" i="5"/>
  <c r="HZ147" i="5"/>
  <c r="IA147" i="5"/>
  <c r="IB147" i="5"/>
  <c r="IC147" i="5"/>
  <c r="ID147" i="5"/>
  <c r="IE147" i="5"/>
  <c r="IF147" i="5"/>
  <c r="IG147" i="5"/>
  <c r="IH147" i="5"/>
  <c r="II147" i="5"/>
  <c r="IJ147" i="5"/>
  <c r="IK147" i="5"/>
  <c r="IL147" i="5"/>
  <c r="IM147" i="5"/>
  <c r="IN147" i="5"/>
  <c r="IO147" i="5"/>
  <c r="IP147" i="5"/>
  <c r="IQ147" i="5"/>
  <c r="IR147" i="5"/>
  <c r="IS147" i="5"/>
  <c r="IT147" i="5"/>
  <c r="IU147" i="5"/>
  <c r="IV147" i="5"/>
  <c r="A146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AQ146" i="5"/>
  <c r="AR146" i="5"/>
  <c r="AS146" i="5"/>
  <c r="AT146" i="5"/>
  <c r="AU146" i="5"/>
  <c r="AV146" i="5"/>
  <c r="AW146" i="5"/>
  <c r="AX146" i="5"/>
  <c r="AY146" i="5"/>
  <c r="AZ146" i="5"/>
  <c r="BA146" i="5"/>
  <c r="BB146" i="5"/>
  <c r="BC146" i="5"/>
  <c r="BD146" i="5"/>
  <c r="BE146" i="5"/>
  <c r="BF146" i="5"/>
  <c r="BG146" i="5"/>
  <c r="BH146" i="5"/>
  <c r="BI146" i="5"/>
  <c r="BJ146" i="5"/>
  <c r="BK146" i="5"/>
  <c r="BL146" i="5"/>
  <c r="BM146" i="5"/>
  <c r="BN146" i="5"/>
  <c r="BO146" i="5"/>
  <c r="BP146" i="5"/>
  <c r="BQ146" i="5"/>
  <c r="BR146" i="5"/>
  <c r="BS146" i="5"/>
  <c r="BT146" i="5"/>
  <c r="BU146" i="5"/>
  <c r="BV146" i="5"/>
  <c r="BW146" i="5"/>
  <c r="BX146" i="5"/>
  <c r="BY146" i="5"/>
  <c r="BZ146" i="5"/>
  <c r="CA146" i="5"/>
  <c r="CB146" i="5"/>
  <c r="CC146" i="5"/>
  <c r="CD146" i="5"/>
  <c r="CE146" i="5"/>
  <c r="CF146" i="5"/>
  <c r="CG146" i="5"/>
  <c r="CH146" i="5"/>
  <c r="CI146" i="5"/>
  <c r="CJ146" i="5"/>
  <c r="CK146" i="5"/>
  <c r="CL146" i="5"/>
  <c r="CM146" i="5"/>
  <c r="CN146" i="5"/>
  <c r="CO146" i="5"/>
  <c r="CP146" i="5"/>
  <c r="CQ146" i="5"/>
  <c r="CR146" i="5"/>
  <c r="CS146" i="5"/>
  <c r="CT146" i="5"/>
  <c r="CU146" i="5"/>
  <c r="CV146" i="5"/>
  <c r="CW146" i="5"/>
  <c r="CX146" i="5"/>
  <c r="CY146" i="5"/>
  <c r="CZ146" i="5"/>
  <c r="DA146" i="5"/>
  <c r="DB146" i="5"/>
  <c r="DC146" i="5"/>
  <c r="DD146" i="5"/>
  <c r="DE146" i="5"/>
  <c r="DF146" i="5"/>
  <c r="DG146" i="5"/>
  <c r="DH146" i="5"/>
  <c r="DI146" i="5"/>
  <c r="DJ146" i="5"/>
  <c r="DK146" i="5"/>
  <c r="DL146" i="5"/>
  <c r="DM146" i="5"/>
  <c r="DN146" i="5"/>
  <c r="DO146" i="5"/>
  <c r="DP146" i="5"/>
  <c r="DQ146" i="5"/>
  <c r="DR146" i="5"/>
  <c r="DS146" i="5"/>
  <c r="DT146" i="5"/>
  <c r="DU146" i="5"/>
  <c r="DV146" i="5"/>
  <c r="DW146" i="5"/>
  <c r="DX146" i="5"/>
  <c r="DY146" i="5"/>
  <c r="DZ146" i="5"/>
  <c r="EA146" i="5"/>
  <c r="EB146" i="5"/>
  <c r="EC146" i="5"/>
  <c r="ED146" i="5"/>
  <c r="EE146" i="5"/>
  <c r="EF146" i="5"/>
  <c r="EG146" i="5"/>
  <c r="EH146" i="5"/>
  <c r="EI146" i="5"/>
  <c r="EJ146" i="5"/>
  <c r="EK146" i="5"/>
  <c r="EL146" i="5"/>
  <c r="EM146" i="5"/>
  <c r="EN146" i="5"/>
  <c r="EO146" i="5"/>
  <c r="EP146" i="5"/>
  <c r="EQ146" i="5"/>
  <c r="ER146" i="5"/>
  <c r="ES146" i="5"/>
  <c r="ET146" i="5"/>
  <c r="EU146" i="5"/>
  <c r="EV146" i="5"/>
  <c r="EW146" i="5"/>
  <c r="EX146" i="5"/>
  <c r="EY146" i="5"/>
  <c r="EZ146" i="5"/>
  <c r="FA146" i="5"/>
  <c r="FB146" i="5"/>
  <c r="FC146" i="5"/>
  <c r="FD146" i="5"/>
  <c r="FE146" i="5"/>
  <c r="FF146" i="5"/>
  <c r="FG146" i="5"/>
  <c r="FH146" i="5"/>
  <c r="FI146" i="5"/>
  <c r="FJ146" i="5"/>
  <c r="FK146" i="5"/>
  <c r="FL146" i="5"/>
  <c r="FM146" i="5"/>
  <c r="FN146" i="5"/>
  <c r="FO146" i="5"/>
  <c r="FP146" i="5"/>
  <c r="FQ146" i="5"/>
  <c r="FR146" i="5"/>
  <c r="FS146" i="5"/>
  <c r="FT146" i="5"/>
  <c r="FU146" i="5"/>
  <c r="FV146" i="5"/>
  <c r="FW146" i="5"/>
  <c r="FX146" i="5"/>
  <c r="FY146" i="5"/>
  <c r="FZ146" i="5"/>
  <c r="GA146" i="5"/>
  <c r="GB146" i="5"/>
  <c r="GC146" i="5"/>
  <c r="GD146" i="5"/>
  <c r="GE146" i="5"/>
  <c r="GF146" i="5"/>
  <c r="GG146" i="5"/>
  <c r="GH146" i="5"/>
  <c r="GI146" i="5"/>
  <c r="GJ146" i="5"/>
  <c r="GK146" i="5"/>
  <c r="GL146" i="5"/>
  <c r="GM146" i="5"/>
  <c r="GN146" i="5"/>
  <c r="GO146" i="5"/>
  <c r="GP146" i="5"/>
  <c r="GQ146" i="5"/>
  <c r="GR146" i="5"/>
  <c r="GS146" i="5"/>
  <c r="GT146" i="5"/>
  <c r="GU146" i="5"/>
  <c r="GV146" i="5"/>
  <c r="GW146" i="5"/>
  <c r="GX146" i="5"/>
  <c r="GY146" i="5"/>
  <c r="GZ146" i="5"/>
  <c r="HA146" i="5"/>
  <c r="HB146" i="5"/>
  <c r="HC146" i="5"/>
  <c r="HD146" i="5"/>
  <c r="HE146" i="5"/>
  <c r="HF146" i="5"/>
  <c r="HG146" i="5"/>
  <c r="HH146" i="5"/>
  <c r="HI146" i="5"/>
  <c r="HJ146" i="5"/>
  <c r="HK146" i="5"/>
  <c r="HL146" i="5"/>
  <c r="HM146" i="5"/>
  <c r="HN146" i="5"/>
  <c r="HO146" i="5"/>
  <c r="HP146" i="5"/>
  <c r="HQ146" i="5"/>
  <c r="HR146" i="5"/>
  <c r="HS146" i="5"/>
  <c r="HT146" i="5"/>
  <c r="HU146" i="5"/>
  <c r="HV146" i="5"/>
  <c r="HW146" i="5"/>
  <c r="HX146" i="5"/>
  <c r="HY146" i="5"/>
  <c r="HZ146" i="5"/>
  <c r="IA146" i="5"/>
  <c r="IB146" i="5"/>
  <c r="IC146" i="5"/>
  <c r="ID146" i="5"/>
  <c r="IE146" i="5"/>
  <c r="IF146" i="5"/>
  <c r="IG146" i="5"/>
  <c r="IH146" i="5"/>
  <c r="II146" i="5"/>
  <c r="IJ146" i="5"/>
  <c r="IK146" i="5"/>
  <c r="IL146" i="5"/>
  <c r="IM146" i="5"/>
  <c r="IN146" i="5"/>
  <c r="IO146" i="5"/>
  <c r="IP146" i="5"/>
  <c r="IQ146" i="5"/>
  <c r="IR146" i="5"/>
  <c r="IS146" i="5"/>
  <c r="IT146" i="5"/>
  <c r="IU146" i="5"/>
  <c r="IV146" i="5"/>
  <c r="A145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AQ145" i="5"/>
  <c r="AR145" i="5"/>
  <c r="AS145" i="5"/>
  <c r="AT145" i="5"/>
  <c r="AU145" i="5"/>
  <c r="AV145" i="5"/>
  <c r="AW145" i="5"/>
  <c r="AX145" i="5"/>
  <c r="AY145" i="5"/>
  <c r="AZ145" i="5"/>
  <c r="BA145" i="5"/>
  <c r="BB145" i="5"/>
  <c r="BC145" i="5"/>
  <c r="BD145" i="5"/>
  <c r="BE145" i="5"/>
  <c r="BF145" i="5"/>
  <c r="BG145" i="5"/>
  <c r="BH145" i="5"/>
  <c r="BI145" i="5"/>
  <c r="BJ145" i="5"/>
  <c r="BK145" i="5"/>
  <c r="BL145" i="5"/>
  <c r="BM145" i="5"/>
  <c r="BN145" i="5"/>
  <c r="BO145" i="5"/>
  <c r="BP145" i="5"/>
  <c r="BQ145" i="5"/>
  <c r="BR145" i="5"/>
  <c r="BS145" i="5"/>
  <c r="BT145" i="5"/>
  <c r="BU145" i="5"/>
  <c r="BV145" i="5"/>
  <c r="BW145" i="5"/>
  <c r="BX145" i="5"/>
  <c r="BY145" i="5"/>
  <c r="BZ145" i="5"/>
  <c r="CA145" i="5"/>
  <c r="CB145" i="5"/>
  <c r="CC145" i="5"/>
  <c r="CD145" i="5"/>
  <c r="CE145" i="5"/>
  <c r="CF145" i="5"/>
  <c r="CG145" i="5"/>
  <c r="CH145" i="5"/>
  <c r="CI145" i="5"/>
  <c r="CJ145" i="5"/>
  <c r="CK145" i="5"/>
  <c r="CL145" i="5"/>
  <c r="CM145" i="5"/>
  <c r="CN145" i="5"/>
  <c r="CO145" i="5"/>
  <c r="CP145" i="5"/>
  <c r="CQ145" i="5"/>
  <c r="CR145" i="5"/>
  <c r="CS145" i="5"/>
  <c r="CT145" i="5"/>
  <c r="CU145" i="5"/>
  <c r="CV145" i="5"/>
  <c r="CW145" i="5"/>
  <c r="CX145" i="5"/>
  <c r="CY145" i="5"/>
  <c r="CZ145" i="5"/>
  <c r="DA145" i="5"/>
  <c r="DB145" i="5"/>
  <c r="DC145" i="5"/>
  <c r="DD145" i="5"/>
  <c r="DE145" i="5"/>
  <c r="DF145" i="5"/>
  <c r="DG145" i="5"/>
  <c r="DH145" i="5"/>
  <c r="DI145" i="5"/>
  <c r="DJ145" i="5"/>
  <c r="DK145" i="5"/>
  <c r="DL145" i="5"/>
  <c r="DM145" i="5"/>
  <c r="DN145" i="5"/>
  <c r="DO145" i="5"/>
  <c r="DP145" i="5"/>
  <c r="DQ145" i="5"/>
  <c r="DR145" i="5"/>
  <c r="DS145" i="5"/>
  <c r="DT145" i="5"/>
  <c r="DU145" i="5"/>
  <c r="DV145" i="5"/>
  <c r="DW145" i="5"/>
  <c r="DX145" i="5"/>
  <c r="DY145" i="5"/>
  <c r="DZ145" i="5"/>
  <c r="EA145" i="5"/>
  <c r="EB145" i="5"/>
  <c r="EC145" i="5"/>
  <c r="ED145" i="5"/>
  <c r="EE145" i="5"/>
  <c r="EF145" i="5"/>
  <c r="EG145" i="5"/>
  <c r="EH145" i="5"/>
  <c r="EI145" i="5"/>
  <c r="EJ145" i="5"/>
  <c r="EK145" i="5"/>
  <c r="EL145" i="5"/>
  <c r="EM145" i="5"/>
  <c r="EN145" i="5"/>
  <c r="EO145" i="5"/>
  <c r="EP145" i="5"/>
  <c r="EQ145" i="5"/>
  <c r="ER145" i="5"/>
  <c r="ES145" i="5"/>
  <c r="ET145" i="5"/>
  <c r="EU145" i="5"/>
  <c r="EV145" i="5"/>
  <c r="EW145" i="5"/>
  <c r="EX145" i="5"/>
  <c r="EY145" i="5"/>
  <c r="EZ145" i="5"/>
  <c r="FA145" i="5"/>
  <c r="FB145" i="5"/>
  <c r="FC145" i="5"/>
  <c r="FD145" i="5"/>
  <c r="FE145" i="5"/>
  <c r="FF145" i="5"/>
  <c r="FG145" i="5"/>
  <c r="FH145" i="5"/>
  <c r="FI145" i="5"/>
  <c r="FJ145" i="5"/>
  <c r="FK145" i="5"/>
  <c r="FL145" i="5"/>
  <c r="FM145" i="5"/>
  <c r="FN145" i="5"/>
  <c r="FO145" i="5"/>
  <c r="FP145" i="5"/>
  <c r="FQ145" i="5"/>
  <c r="FR145" i="5"/>
  <c r="FS145" i="5"/>
  <c r="FT145" i="5"/>
  <c r="FU145" i="5"/>
  <c r="FV145" i="5"/>
  <c r="FW145" i="5"/>
  <c r="FX145" i="5"/>
  <c r="FY145" i="5"/>
  <c r="FZ145" i="5"/>
  <c r="GA145" i="5"/>
  <c r="GB145" i="5"/>
  <c r="GC145" i="5"/>
  <c r="GD145" i="5"/>
  <c r="GE145" i="5"/>
  <c r="GF145" i="5"/>
  <c r="GG145" i="5"/>
  <c r="GH145" i="5"/>
  <c r="GI145" i="5"/>
  <c r="GJ145" i="5"/>
  <c r="GK145" i="5"/>
  <c r="GL145" i="5"/>
  <c r="GM145" i="5"/>
  <c r="GN145" i="5"/>
  <c r="GO145" i="5"/>
  <c r="GP145" i="5"/>
  <c r="GQ145" i="5"/>
  <c r="GR145" i="5"/>
  <c r="GS145" i="5"/>
  <c r="GT145" i="5"/>
  <c r="GU145" i="5"/>
  <c r="GV145" i="5"/>
  <c r="GW145" i="5"/>
  <c r="GX145" i="5"/>
  <c r="GY145" i="5"/>
  <c r="GZ145" i="5"/>
  <c r="HA145" i="5"/>
  <c r="HB145" i="5"/>
  <c r="HC145" i="5"/>
  <c r="HD145" i="5"/>
  <c r="HE145" i="5"/>
  <c r="HF145" i="5"/>
  <c r="HG145" i="5"/>
  <c r="HH145" i="5"/>
  <c r="HI145" i="5"/>
  <c r="HJ145" i="5"/>
  <c r="HK145" i="5"/>
  <c r="HL145" i="5"/>
  <c r="HM145" i="5"/>
  <c r="HN145" i="5"/>
  <c r="HO145" i="5"/>
  <c r="HP145" i="5"/>
  <c r="HQ145" i="5"/>
  <c r="HR145" i="5"/>
  <c r="HS145" i="5"/>
  <c r="HT145" i="5"/>
  <c r="HU145" i="5"/>
  <c r="HV145" i="5"/>
  <c r="HW145" i="5"/>
  <c r="HX145" i="5"/>
  <c r="HY145" i="5"/>
  <c r="HZ145" i="5"/>
  <c r="IA145" i="5"/>
  <c r="IB145" i="5"/>
  <c r="IC145" i="5"/>
  <c r="ID145" i="5"/>
  <c r="IE145" i="5"/>
  <c r="IF145" i="5"/>
  <c r="IG145" i="5"/>
  <c r="IH145" i="5"/>
  <c r="II145" i="5"/>
  <c r="IJ145" i="5"/>
  <c r="IK145" i="5"/>
  <c r="IL145" i="5"/>
  <c r="IM145" i="5"/>
  <c r="IN145" i="5"/>
  <c r="IO145" i="5"/>
  <c r="IP145" i="5"/>
  <c r="IQ145" i="5"/>
  <c r="IR145" i="5"/>
  <c r="IS145" i="5"/>
  <c r="IT145" i="5"/>
  <c r="IU145" i="5"/>
  <c r="IV145" i="5"/>
  <c r="A144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AQ144" i="5"/>
  <c r="AR144" i="5"/>
  <c r="AS144" i="5"/>
  <c r="AT144" i="5"/>
  <c r="AU144" i="5"/>
  <c r="AV144" i="5"/>
  <c r="AW144" i="5"/>
  <c r="AX144" i="5"/>
  <c r="AY144" i="5"/>
  <c r="AZ144" i="5"/>
  <c r="BA144" i="5"/>
  <c r="BB144" i="5"/>
  <c r="BC144" i="5"/>
  <c r="BD144" i="5"/>
  <c r="BE144" i="5"/>
  <c r="BF144" i="5"/>
  <c r="BG144" i="5"/>
  <c r="BH144" i="5"/>
  <c r="BI144" i="5"/>
  <c r="BJ144" i="5"/>
  <c r="BK144" i="5"/>
  <c r="BL144" i="5"/>
  <c r="BM144" i="5"/>
  <c r="BN144" i="5"/>
  <c r="BO144" i="5"/>
  <c r="BP144" i="5"/>
  <c r="BQ144" i="5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P144" i="5"/>
  <c r="CQ144" i="5"/>
  <c r="CR144" i="5"/>
  <c r="CS144" i="5"/>
  <c r="CT144" i="5"/>
  <c r="CU144" i="5"/>
  <c r="CV144" i="5"/>
  <c r="CW144" i="5"/>
  <c r="CX144" i="5"/>
  <c r="CY144" i="5"/>
  <c r="CZ144" i="5"/>
  <c r="DA144" i="5"/>
  <c r="DB144" i="5"/>
  <c r="DC144" i="5"/>
  <c r="DD144" i="5"/>
  <c r="DE144" i="5"/>
  <c r="DF144" i="5"/>
  <c r="DG144" i="5"/>
  <c r="DH144" i="5"/>
  <c r="DI144" i="5"/>
  <c r="DJ144" i="5"/>
  <c r="DK144" i="5"/>
  <c r="DL144" i="5"/>
  <c r="DM144" i="5"/>
  <c r="DN144" i="5"/>
  <c r="DO144" i="5"/>
  <c r="DP144" i="5"/>
  <c r="DQ144" i="5"/>
  <c r="DR144" i="5"/>
  <c r="DS144" i="5"/>
  <c r="DT144" i="5"/>
  <c r="DU144" i="5"/>
  <c r="DV144" i="5"/>
  <c r="DW144" i="5"/>
  <c r="DX144" i="5"/>
  <c r="DY144" i="5"/>
  <c r="DZ144" i="5"/>
  <c r="EA144" i="5"/>
  <c r="EB144" i="5"/>
  <c r="EC144" i="5"/>
  <c r="ED144" i="5"/>
  <c r="EE144" i="5"/>
  <c r="EF144" i="5"/>
  <c r="EG144" i="5"/>
  <c r="EH144" i="5"/>
  <c r="EI144" i="5"/>
  <c r="EJ144" i="5"/>
  <c r="EK144" i="5"/>
  <c r="EL144" i="5"/>
  <c r="EM144" i="5"/>
  <c r="EN144" i="5"/>
  <c r="EO144" i="5"/>
  <c r="EP144" i="5"/>
  <c r="EQ144" i="5"/>
  <c r="ER144" i="5"/>
  <c r="ES144" i="5"/>
  <c r="ET144" i="5"/>
  <c r="EU144" i="5"/>
  <c r="EV144" i="5"/>
  <c r="EW144" i="5"/>
  <c r="EX144" i="5"/>
  <c r="EY144" i="5"/>
  <c r="EZ144" i="5"/>
  <c r="FA144" i="5"/>
  <c r="FB144" i="5"/>
  <c r="FC144" i="5"/>
  <c r="FD144" i="5"/>
  <c r="FE144" i="5"/>
  <c r="FF144" i="5"/>
  <c r="FG144" i="5"/>
  <c r="FH144" i="5"/>
  <c r="FI144" i="5"/>
  <c r="FJ144" i="5"/>
  <c r="FK144" i="5"/>
  <c r="FL144" i="5"/>
  <c r="FM144" i="5"/>
  <c r="FN144" i="5"/>
  <c r="FO144" i="5"/>
  <c r="FP144" i="5"/>
  <c r="FQ144" i="5"/>
  <c r="FR144" i="5"/>
  <c r="FS144" i="5"/>
  <c r="FT144" i="5"/>
  <c r="FU144" i="5"/>
  <c r="FV144" i="5"/>
  <c r="FW144" i="5"/>
  <c r="FX144" i="5"/>
  <c r="FY144" i="5"/>
  <c r="FZ144" i="5"/>
  <c r="GA144" i="5"/>
  <c r="GB144" i="5"/>
  <c r="GC144" i="5"/>
  <c r="GD144" i="5"/>
  <c r="GE144" i="5"/>
  <c r="GF144" i="5"/>
  <c r="GG144" i="5"/>
  <c r="GH144" i="5"/>
  <c r="GI144" i="5"/>
  <c r="GJ144" i="5"/>
  <c r="GK144" i="5"/>
  <c r="GL144" i="5"/>
  <c r="GM144" i="5"/>
  <c r="GN144" i="5"/>
  <c r="GO144" i="5"/>
  <c r="GP144" i="5"/>
  <c r="GQ144" i="5"/>
  <c r="GR144" i="5"/>
  <c r="GS144" i="5"/>
  <c r="GT144" i="5"/>
  <c r="GU144" i="5"/>
  <c r="GV144" i="5"/>
  <c r="GW144" i="5"/>
  <c r="GX144" i="5"/>
  <c r="GY144" i="5"/>
  <c r="GZ144" i="5"/>
  <c r="HA144" i="5"/>
  <c r="HB144" i="5"/>
  <c r="HC144" i="5"/>
  <c r="HD144" i="5"/>
  <c r="HE144" i="5"/>
  <c r="HF144" i="5"/>
  <c r="HG144" i="5"/>
  <c r="HH144" i="5"/>
  <c r="HI144" i="5"/>
  <c r="HJ144" i="5"/>
  <c r="HK144" i="5"/>
  <c r="HL144" i="5"/>
  <c r="HM144" i="5"/>
  <c r="HN144" i="5"/>
  <c r="HO144" i="5"/>
  <c r="HP144" i="5"/>
  <c r="HQ144" i="5"/>
  <c r="HR144" i="5"/>
  <c r="HS144" i="5"/>
  <c r="HT144" i="5"/>
  <c r="HU144" i="5"/>
  <c r="HV144" i="5"/>
  <c r="HW144" i="5"/>
  <c r="HX144" i="5"/>
  <c r="HY144" i="5"/>
  <c r="HZ144" i="5"/>
  <c r="IA144" i="5"/>
  <c r="IB144" i="5"/>
  <c r="IC144" i="5"/>
  <c r="ID144" i="5"/>
  <c r="IE144" i="5"/>
  <c r="IF144" i="5"/>
  <c r="IG144" i="5"/>
  <c r="IH144" i="5"/>
  <c r="II144" i="5"/>
  <c r="IJ144" i="5"/>
  <c r="IK144" i="5"/>
  <c r="IL144" i="5"/>
  <c r="IM144" i="5"/>
  <c r="IN144" i="5"/>
  <c r="IO144" i="5"/>
  <c r="IP144" i="5"/>
  <c r="IQ144" i="5"/>
  <c r="IR144" i="5"/>
  <c r="IS144" i="5"/>
  <c r="IT144" i="5"/>
  <c r="IU144" i="5"/>
  <c r="IV144" i="5"/>
  <c r="A143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AQ143" i="5"/>
  <c r="AR143" i="5"/>
  <c r="AS143" i="5"/>
  <c r="AT143" i="5"/>
  <c r="AU143" i="5"/>
  <c r="AV143" i="5"/>
  <c r="AW143" i="5"/>
  <c r="AX143" i="5"/>
  <c r="AY143" i="5"/>
  <c r="AZ143" i="5"/>
  <c r="BA143" i="5"/>
  <c r="BB143" i="5"/>
  <c r="BC143" i="5"/>
  <c r="BD143" i="5"/>
  <c r="BE143" i="5"/>
  <c r="BF143" i="5"/>
  <c r="BG143" i="5"/>
  <c r="BH143" i="5"/>
  <c r="BI143" i="5"/>
  <c r="BJ143" i="5"/>
  <c r="BK143" i="5"/>
  <c r="BL143" i="5"/>
  <c r="BM143" i="5"/>
  <c r="BN143" i="5"/>
  <c r="BO143" i="5"/>
  <c r="BP143" i="5"/>
  <c r="BQ143" i="5"/>
  <c r="BR143" i="5"/>
  <c r="BS143" i="5"/>
  <c r="BT143" i="5"/>
  <c r="BU143" i="5"/>
  <c r="BV143" i="5"/>
  <c r="BW143" i="5"/>
  <c r="BX143" i="5"/>
  <c r="BY143" i="5"/>
  <c r="BZ143" i="5"/>
  <c r="CA143" i="5"/>
  <c r="CB143" i="5"/>
  <c r="CC143" i="5"/>
  <c r="CD143" i="5"/>
  <c r="CE143" i="5"/>
  <c r="CF143" i="5"/>
  <c r="CG143" i="5"/>
  <c r="CH143" i="5"/>
  <c r="CI143" i="5"/>
  <c r="CJ143" i="5"/>
  <c r="CK143" i="5"/>
  <c r="CL143" i="5"/>
  <c r="CM143" i="5"/>
  <c r="CN143" i="5"/>
  <c r="CO143" i="5"/>
  <c r="CP143" i="5"/>
  <c r="CQ143" i="5"/>
  <c r="CR143" i="5"/>
  <c r="CS143" i="5"/>
  <c r="CT143" i="5"/>
  <c r="CU143" i="5"/>
  <c r="CV143" i="5"/>
  <c r="CW143" i="5"/>
  <c r="CX143" i="5"/>
  <c r="CY143" i="5"/>
  <c r="CZ143" i="5"/>
  <c r="DA143" i="5"/>
  <c r="DB143" i="5"/>
  <c r="DC143" i="5"/>
  <c r="DD143" i="5"/>
  <c r="DE143" i="5"/>
  <c r="DF143" i="5"/>
  <c r="DG143" i="5"/>
  <c r="DH143" i="5"/>
  <c r="DI143" i="5"/>
  <c r="DJ143" i="5"/>
  <c r="DK143" i="5"/>
  <c r="DL143" i="5"/>
  <c r="DM143" i="5"/>
  <c r="DN143" i="5"/>
  <c r="DO143" i="5"/>
  <c r="DP143" i="5"/>
  <c r="DQ143" i="5"/>
  <c r="DR143" i="5"/>
  <c r="DS143" i="5"/>
  <c r="DT143" i="5"/>
  <c r="DU143" i="5"/>
  <c r="DV143" i="5"/>
  <c r="DW143" i="5"/>
  <c r="DX143" i="5"/>
  <c r="DY143" i="5"/>
  <c r="DZ143" i="5"/>
  <c r="EA143" i="5"/>
  <c r="EB143" i="5"/>
  <c r="EC143" i="5"/>
  <c r="ED143" i="5"/>
  <c r="EE143" i="5"/>
  <c r="EF143" i="5"/>
  <c r="EG143" i="5"/>
  <c r="EH143" i="5"/>
  <c r="EI143" i="5"/>
  <c r="EJ143" i="5"/>
  <c r="EK143" i="5"/>
  <c r="EL143" i="5"/>
  <c r="EM143" i="5"/>
  <c r="EN143" i="5"/>
  <c r="EO143" i="5"/>
  <c r="EP143" i="5"/>
  <c r="EQ143" i="5"/>
  <c r="ER143" i="5"/>
  <c r="ES143" i="5"/>
  <c r="ET143" i="5"/>
  <c r="EU143" i="5"/>
  <c r="EV143" i="5"/>
  <c r="EW143" i="5"/>
  <c r="EX143" i="5"/>
  <c r="EY143" i="5"/>
  <c r="EZ143" i="5"/>
  <c r="FA143" i="5"/>
  <c r="FB143" i="5"/>
  <c r="FC143" i="5"/>
  <c r="FD143" i="5"/>
  <c r="FE143" i="5"/>
  <c r="FF143" i="5"/>
  <c r="FG143" i="5"/>
  <c r="FH143" i="5"/>
  <c r="FI143" i="5"/>
  <c r="FJ143" i="5"/>
  <c r="FK143" i="5"/>
  <c r="FL143" i="5"/>
  <c r="FM143" i="5"/>
  <c r="FN143" i="5"/>
  <c r="FO143" i="5"/>
  <c r="FP143" i="5"/>
  <c r="FQ143" i="5"/>
  <c r="FR143" i="5"/>
  <c r="FS143" i="5"/>
  <c r="FT143" i="5"/>
  <c r="FU143" i="5"/>
  <c r="FV143" i="5"/>
  <c r="FW143" i="5"/>
  <c r="FX143" i="5"/>
  <c r="FY143" i="5"/>
  <c r="FZ143" i="5"/>
  <c r="GA143" i="5"/>
  <c r="GB143" i="5"/>
  <c r="GC143" i="5"/>
  <c r="GD143" i="5"/>
  <c r="GE143" i="5"/>
  <c r="GF143" i="5"/>
  <c r="GG143" i="5"/>
  <c r="GH143" i="5"/>
  <c r="GI143" i="5"/>
  <c r="GJ143" i="5"/>
  <c r="GK143" i="5"/>
  <c r="GL143" i="5"/>
  <c r="GM143" i="5"/>
  <c r="GN143" i="5"/>
  <c r="GO143" i="5"/>
  <c r="GP143" i="5"/>
  <c r="GQ143" i="5"/>
  <c r="GR143" i="5"/>
  <c r="GS143" i="5"/>
  <c r="GT143" i="5"/>
  <c r="GU143" i="5"/>
  <c r="GV143" i="5"/>
  <c r="GW143" i="5"/>
  <c r="GX143" i="5"/>
  <c r="GY143" i="5"/>
  <c r="GZ143" i="5"/>
  <c r="HA143" i="5"/>
  <c r="HB143" i="5"/>
  <c r="HC143" i="5"/>
  <c r="HD143" i="5"/>
  <c r="HE143" i="5"/>
  <c r="HF143" i="5"/>
  <c r="HG143" i="5"/>
  <c r="HH143" i="5"/>
  <c r="HI143" i="5"/>
  <c r="HJ143" i="5"/>
  <c r="HK143" i="5"/>
  <c r="HL143" i="5"/>
  <c r="HM143" i="5"/>
  <c r="HN143" i="5"/>
  <c r="HO143" i="5"/>
  <c r="HP143" i="5"/>
  <c r="HQ143" i="5"/>
  <c r="HR143" i="5"/>
  <c r="HS143" i="5"/>
  <c r="HT143" i="5"/>
  <c r="HU143" i="5"/>
  <c r="HV143" i="5"/>
  <c r="HW143" i="5"/>
  <c r="HX143" i="5"/>
  <c r="HY143" i="5"/>
  <c r="HZ143" i="5"/>
  <c r="IA143" i="5"/>
  <c r="IB143" i="5"/>
  <c r="IC143" i="5"/>
  <c r="ID143" i="5"/>
  <c r="IE143" i="5"/>
  <c r="IF143" i="5"/>
  <c r="IG143" i="5"/>
  <c r="IH143" i="5"/>
  <c r="II143" i="5"/>
  <c r="IJ143" i="5"/>
  <c r="IK143" i="5"/>
  <c r="IL143" i="5"/>
  <c r="IM143" i="5"/>
  <c r="IN143" i="5"/>
  <c r="IO143" i="5"/>
  <c r="IP143" i="5"/>
  <c r="IQ143" i="5"/>
  <c r="IR143" i="5"/>
  <c r="IS143" i="5"/>
  <c r="IT143" i="5"/>
  <c r="IU143" i="5"/>
  <c r="IV143" i="5"/>
  <c r="A142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AQ142" i="5"/>
  <c r="AR142" i="5"/>
  <c r="AS142" i="5"/>
  <c r="AT142" i="5"/>
  <c r="AU142" i="5"/>
  <c r="AV142" i="5"/>
  <c r="AW142" i="5"/>
  <c r="AX142" i="5"/>
  <c r="AY142" i="5"/>
  <c r="AZ142" i="5"/>
  <c r="BA142" i="5"/>
  <c r="BB142" i="5"/>
  <c r="BC142" i="5"/>
  <c r="BD142" i="5"/>
  <c r="BE142" i="5"/>
  <c r="BF142" i="5"/>
  <c r="BG142" i="5"/>
  <c r="BH142" i="5"/>
  <c r="BI142" i="5"/>
  <c r="BJ142" i="5"/>
  <c r="BK142" i="5"/>
  <c r="BL142" i="5"/>
  <c r="BM142" i="5"/>
  <c r="BN142" i="5"/>
  <c r="BO142" i="5"/>
  <c r="BP142" i="5"/>
  <c r="BQ142" i="5"/>
  <c r="BR142" i="5"/>
  <c r="BS142" i="5"/>
  <c r="BT142" i="5"/>
  <c r="BU142" i="5"/>
  <c r="BV142" i="5"/>
  <c r="BW142" i="5"/>
  <c r="BX142" i="5"/>
  <c r="BY142" i="5"/>
  <c r="BZ142" i="5"/>
  <c r="CA142" i="5"/>
  <c r="CB142" i="5"/>
  <c r="CC142" i="5"/>
  <c r="CD142" i="5"/>
  <c r="CE142" i="5"/>
  <c r="CF142" i="5"/>
  <c r="CG142" i="5"/>
  <c r="CH142" i="5"/>
  <c r="CI142" i="5"/>
  <c r="CJ142" i="5"/>
  <c r="CK142" i="5"/>
  <c r="CL142" i="5"/>
  <c r="CM142" i="5"/>
  <c r="CN142" i="5"/>
  <c r="CO142" i="5"/>
  <c r="CP142" i="5"/>
  <c r="CQ142" i="5"/>
  <c r="CR142" i="5"/>
  <c r="CS142" i="5"/>
  <c r="CT142" i="5"/>
  <c r="CU142" i="5"/>
  <c r="CV142" i="5"/>
  <c r="CW142" i="5"/>
  <c r="CX142" i="5"/>
  <c r="CY142" i="5"/>
  <c r="CZ142" i="5"/>
  <c r="DA142" i="5"/>
  <c r="DB142" i="5"/>
  <c r="DC142" i="5"/>
  <c r="DD142" i="5"/>
  <c r="DE142" i="5"/>
  <c r="DF142" i="5"/>
  <c r="DG142" i="5"/>
  <c r="DH142" i="5"/>
  <c r="DI142" i="5"/>
  <c r="DJ142" i="5"/>
  <c r="DK142" i="5"/>
  <c r="DL142" i="5"/>
  <c r="DM142" i="5"/>
  <c r="DN142" i="5"/>
  <c r="DO142" i="5"/>
  <c r="DP142" i="5"/>
  <c r="DQ142" i="5"/>
  <c r="DR142" i="5"/>
  <c r="DS142" i="5"/>
  <c r="DT142" i="5"/>
  <c r="DU142" i="5"/>
  <c r="DV142" i="5"/>
  <c r="DW142" i="5"/>
  <c r="DX142" i="5"/>
  <c r="DY142" i="5"/>
  <c r="DZ142" i="5"/>
  <c r="EA142" i="5"/>
  <c r="EB142" i="5"/>
  <c r="EC142" i="5"/>
  <c r="ED142" i="5"/>
  <c r="EE142" i="5"/>
  <c r="EF142" i="5"/>
  <c r="EG142" i="5"/>
  <c r="EH142" i="5"/>
  <c r="EI142" i="5"/>
  <c r="EJ142" i="5"/>
  <c r="EK142" i="5"/>
  <c r="EL142" i="5"/>
  <c r="EM142" i="5"/>
  <c r="EN142" i="5"/>
  <c r="EO142" i="5"/>
  <c r="EP142" i="5"/>
  <c r="EQ142" i="5"/>
  <c r="ER142" i="5"/>
  <c r="ES142" i="5"/>
  <c r="ET142" i="5"/>
  <c r="EU142" i="5"/>
  <c r="EV142" i="5"/>
  <c r="EW142" i="5"/>
  <c r="EX142" i="5"/>
  <c r="EY142" i="5"/>
  <c r="EZ142" i="5"/>
  <c r="FA142" i="5"/>
  <c r="FB142" i="5"/>
  <c r="FC142" i="5"/>
  <c r="FD142" i="5"/>
  <c r="FE142" i="5"/>
  <c r="FF142" i="5"/>
  <c r="FG142" i="5"/>
  <c r="FH142" i="5"/>
  <c r="FI142" i="5"/>
  <c r="FJ142" i="5"/>
  <c r="FK142" i="5"/>
  <c r="FL142" i="5"/>
  <c r="FM142" i="5"/>
  <c r="FN142" i="5"/>
  <c r="FO142" i="5"/>
  <c r="FP142" i="5"/>
  <c r="FQ142" i="5"/>
  <c r="FR142" i="5"/>
  <c r="FS142" i="5"/>
  <c r="FT142" i="5"/>
  <c r="FU142" i="5"/>
  <c r="FV142" i="5"/>
  <c r="FW142" i="5"/>
  <c r="FX142" i="5"/>
  <c r="FY142" i="5"/>
  <c r="FZ142" i="5"/>
  <c r="GA142" i="5"/>
  <c r="GB142" i="5"/>
  <c r="GC142" i="5"/>
  <c r="GD142" i="5"/>
  <c r="GE142" i="5"/>
  <c r="GF142" i="5"/>
  <c r="GG142" i="5"/>
  <c r="GH142" i="5"/>
  <c r="GI142" i="5"/>
  <c r="GJ142" i="5"/>
  <c r="GK142" i="5"/>
  <c r="GL142" i="5"/>
  <c r="GM142" i="5"/>
  <c r="GN142" i="5"/>
  <c r="GO142" i="5"/>
  <c r="GP142" i="5"/>
  <c r="GQ142" i="5"/>
  <c r="GR142" i="5"/>
  <c r="GS142" i="5"/>
  <c r="GT142" i="5"/>
  <c r="GU142" i="5"/>
  <c r="GV142" i="5"/>
  <c r="GW142" i="5"/>
  <c r="GX142" i="5"/>
  <c r="GY142" i="5"/>
  <c r="GZ142" i="5"/>
  <c r="HA142" i="5"/>
  <c r="HB142" i="5"/>
  <c r="HC142" i="5"/>
  <c r="HD142" i="5"/>
  <c r="HE142" i="5"/>
  <c r="HF142" i="5"/>
  <c r="HG142" i="5"/>
  <c r="HH142" i="5"/>
  <c r="HI142" i="5"/>
  <c r="HJ142" i="5"/>
  <c r="HK142" i="5"/>
  <c r="HL142" i="5"/>
  <c r="HM142" i="5"/>
  <c r="HN142" i="5"/>
  <c r="HO142" i="5"/>
  <c r="HP142" i="5"/>
  <c r="HQ142" i="5"/>
  <c r="HR142" i="5"/>
  <c r="HS142" i="5"/>
  <c r="HT142" i="5"/>
  <c r="HU142" i="5"/>
  <c r="HV142" i="5"/>
  <c r="HW142" i="5"/>
  <c r="HX142" i="5"/>
  <c r="HY142" i="5"/>
  <c r="HZ142" i="5"/>
  <c r="IA142" i="5"/>
  <c r="IB142" i="5"/>
  <c r="IC142" i="5"/>
  <c r="ID142" i="5"/>
  <c r="IE142" i="5"/>
  <c r="IF142" i="5"/>
  <c r="IG142" i="5"/>
  <c r="IH142" i="5"/>
  <c r="II142" i="5"/>
  <c r="IJ142" i="5"/>
  <c r="IK142" i="5"/>
  <c r="IL142" i="5"/>
  <c r="IM142" i="5"/>
  <c r="IN142" i="5"/>
  <c r="IO142" i="5"/>
  <c r="IP142" i="5"/>
  <c r="IQ142" i="5"/>
  <c r="IR142" i="5"/>
  <c r="IS142" i="5"/>
  <c r="IT142" i="5"/>
  <c r="IU142" i="5"/>
  <c r="IV142" i="5"/>
  <c r="A141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AQ141" i="5"/>
  <c r="AR141" i="5"/>
  <c r="AS141" i="5"/>
  <c r="AT141" i="5"/>
  <c r="AU141" i="5"/>
  <c r="AV141" i="5"/>
  <c r="AW141" i="5"/>
  <c r="AX141" i="5"/>
  <c r="AY141" i="5"/>
  <c r="AZ141" i="5"/>
  <c r="BA141" i="5"/>
  <c r="BB141" i="5"/>
  <c r="BC141" i="5"/>
  <c r="BD141" i="5"/>
  <c r="BE141" i="5"/>
  <c r="BF141" i="5"/>
  <c r="BG141" i="5"/>
  <c r="BH141" i="5"/>
  <c r="BI141" i="5"/>
  <c r="BJ141" i="5"/>
  <c r="BK141" i="5"/>
  <c r="BL141" i="5"/>
  <c r="BM141" i="5"/>
  <c r="BN141" i="5"/>
  <c r="BO141" i="5"/>
  <c r="BP141" i="5"/>
  <c r="BQ141" i="5"/>
  <c r="BR141" i="5"/>
  <c r="BS141" i="5"/>
  <c r="BT141" i="5"/>
  <c r="BU141" i="5"/>
  <c r="BV141" i="5"/>
  <c r="BW141" i="5"/>
  <c r="BX141" i="5"/>
  <c r="BY141" i="5"/>
  <c r="BZ141" i="5"/>
  <c r="CA141" i="5"/>
  <c r="CB141" i="5"/>
  <c r="CC141" i="5"/>
  <c r="CD141" i="5"/>
  <c r="CE141" i="5"/>
  <c r="CF141" i="5"/>
  <c r="CG141" i="5"/>
  <c r="CH141" i="5"/>
  <c r="CI141" i="5"/>
  <c r="CJ141" i="5"/>
  <c r="CK141" i="5"/>
  <c r="CL141" i="5"/>
  <c r="CM141" i="5"/>
  <c r="CN141" i="5"/>
  <c r="CO141" i="5"/>
  <c r="CP141" i="5"/>
  <c r="CQ141" i="5"/>
  <c r="CR141" i="5"/>
  <c r="CS141" i="5"/>
  <c r="CT141" i="5"/>
  <c r="CU141" i="5"/>
  <c r="CV141" i="5"/>
  <c r="CW141" i="5"/>
  <c r="CX141" i="5"/>
  <c r="CY141" i="5"/>
  <c r="CZ141" i="5"/>
  <c r="DA141" i="5"/>
  <c r="DB141" i="5"/>
  <c r="DC141" i="5"/>
  <c r="DD141" i="5"/>
  <c r="DE141" i="5"/>
  <c r="DF141" i="5"/>
  <c r="DG141" i="5"/>
  <c r="DH141" i="5"/>
  <c r="DI141" i="5"/>
  <c r="DJ141" i="5"/>
  <c r="DK141" i="5"/>
  <c r="DL141" i="5"/>
  <c r="DM141" i="5"/>
  <c r="DN141" i="5"/>
  <c r="DO141" i="5"/>
  <c r="DP141" i="5"/>
  <c r="DQ141" i="5"/>
  <c r="DR141" i="5"/>
  <c r="DS141" i="5"/>
  <c r="DT141" i="5"/>
  <c r="DU141" i="5"/>
  <c r="DV141" i="5"/>
  <c r="DW141" i="5"/>
  <c r="DX141" i="5"/>
  <c r="DY141" i="5"/>
  <c r="DZ141" i="5"/>
  <c r="EA141" i="5"/>
  <c r="EB141" i="5"/>
  <c r="EC141" i="5"/>
  <c r="ED141" i="5"/>
  <c r="EE141" i="5"/>
  <c r="EF141" i="5"/>
  <c r="EG141" i="5"/>
  <c r="EH141" i="5"/>
  <c r="EI141" i="5"/>
  <c r="EJ141" i="5"/>
  <c r="EK141" i="5"/>
  <c r="EL141" i="5"/>
  <c r="EM141" i="5"/>
  <c r="EN141" i="5"/>
  <c r="EO141" i="5"/>
  <c r="EP141" i="5"/>
  <c r="EQ141" i="5"/>
  <c r="ER141" i="5"/>
  <c r="ES141" i="5"/>
  <c r="ET141" i="5"/>
  <c r="EU141" i="5"/>
  <c r="EV141" i="5"/>
  <c r="EW141" i="5"/>
  <c r="EX141" i="5"/>
  <c r="EY141" i="5"/>
  <c r="EZ141" i="5"/>
  <c r="FA141" i="5"/>
  <c r="FB141" i="5"/>
  <c r="FC141" i="5"/>
  <c r="FD141" i="5"/>
  <c r="FE141" i="5"/>
  <c r="FF141" i="5"/>
  <c r="FG141" i="5"/>
  <c r="FH141" i="5"/>
  <c r="FI141" i="5"/>
  <c r="FJ141" i="5"/>
  <c r="FK141" i="5"/>
  <c r="FL141" i="5"/>
  <c r="FM141" i="5"/>
  <c r="FN141" i="5"/>
  <c r="FO141" i="5"/>
  <c r="FP141" i="5"/>
  <c r="FQ141" i="5"/>
  <c r="FR141" i="5"/>
  <c r="FS141" i="5"/>
  <c r="FT141" i="5"/>
  <c r="FU141" i="5"/>
  <c r="FV141" i="5"/>
  <c r="FW141" i="5"/>
  <c r="FX141" i="5"/>
  <c r="FY141" i="5"/>
  <c r="FZ141" i="5"/>
  <c r="GA141" i="5"/>
  <c r="GB141" i="5"/>
  <c r="GC141" i="5"/>
  <c r="GD141" i="5"/>
  <c r="GE141" i="5"/>
  <c r="GF141" i="5"/>
  <c r="GG141" i="5"/>
  <c r="GH141" i="5"/>
  <c r="GI141" i="5"/>
  <c r="GJ141" i="5"/>
  <c r="GK141" i="5"/>
  <c r="GL141" i="5"/>
  <c r="GM141" i="5"/>
  <c r="GN141" i="5"/>
  <c r="GO141" i="5"/>
  <c r="GP141" i="5"/>
  <c r="GQ141" i="5"/>
  <c r="GR141" i="5"/>
  <c r="GS141" i="5"/>
  <c r="GT141" i="5"/>
  <c r="GU141" i="5"/>
  <c r="GV141" i="5"/>
  <c r="GW141" i="5"/>
  <c r="GX141" i="5"/>
  <c r="GY141" i="5"/>
  <c r="GZ141" i="5"/>
  <c r="HA141" i="5"/>
  <c r="HB141" i="5"/>
  <c r="HC141" i="5"/>
  <c r="HD141" i="5"/>
  <c r="HE141" i="5"/>
  <c r="HF141" i="5"/>
  <c r="HG141" i="5"/>
  <c r="HH141" i="5"/>
  <c r="HI141" i="5"/>
  <c r="HJ141" i="5"/>
  <c r="HK141" i="5"/>
  <c r="HL141" i="5"/>
  <c r="HM141" i="5"/>
  <c r="HN141" i="5"/>
  <c r="HO141" i="5"/>
  <c r="HP141" i="5"/>
  <c r="HQ141" i="5"/>
  <c r="HR141" i="5"/>
  <c r="HS141" i="5"/>
  <c r="HT141" i="5"/>
  <c r="HU141" i="5"/>
  <c r="HV141" i="5"/>
  <c r="HW141" i="5"/>
  <c r="HX141" i="5"/>
  <c r="HY141" i="5"/>
  <c r="HZ141" i="5"/>
  <c r="IA141" i="5"/>
  <c r="IB141" i="5"/>
  <c r="IC141" i="5"/>
  <c r="ID141" i="5"/>
  <c r="IE141" i="5"/>
  <c r="IF141" i="5"/>
  <c r="IG141" i="5"/>
  <c r="IH141" i="5"/>
  <c r="II141" i="5"/>
  <c r="IJ141" i="5"/>
  <c r="IK141" i="5"/>
  <c r="IL141" i="5"/>
  <c r="IM141" i="5"/>
  <c r="IN141" i="5"/>
  <c r="IO141" i="5"/>
  <c r="IP141" i="5"/>
  <c r="IQ141" i="5"/>
  <c r="IR141" i="5"/>
  <c r="IS141" i="5"/>
  <c r="IT141" i="5"/>
  <c r="IU141" i="5"/>
  <c r="IV141" i="5"/>
  <c r="A140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Q140" i="5"/>
  <c r="AR140" i="5"/>
  <c r="AS140" i="5"/>
  <c r="AT140" i="5"/>
  <c r="AU140" i="5"/>
  <c r="AV140" i="5"/>
  <c r="AW140" i="5"/>
  <c r="AX140" i="5"/>
  <c r="AY140" i="5"/>
  <c r="AZ140" i="5"/>
  <c r="BA140" i="5"/>
  <c r="BB140" i="5"/>
  <c r="BC140" i="5"/>
  <c r="BD140" i="5"/>
  <c r="BE140" i="5"/>
  <c r="BF140" i="5"/>
  <c r="BG140" i="5"/>
  <c r="BH140" i="5"/>
  <c r="BI140" i="5"/>
  <c r="BJ140" i="5"/>
  <c r="BK140" i="5"/>
  <c r="BL140" i="5"/>
  <c r="BM140" i="5"/>
  <c r="BN140" i="5"/>
  <c r="BO140" i="5"/>
  <c r="BP140" i="5"/>
  <c r="BQ140" i="5"/>
  <c r="BR140" i="5"/>
  <c r="BS140" i="5"/>
  <c r="BT140" i="5"/>
  <c r="BU140" i="5"/>
  <c r="BV140" i="5"/>
  <c r="BW140" i="5"/>
  <c r="BX140" i="5"/>
  <c r="BY140" i="5"/>
  <c r="BZ140" i="5"/>
  <c r="CA140" i="5"/>
  <c r="CB140" i="5"/>
  <c r="CC140" i="5"/>
  <c r="CD140" i="5"/>
  <c r="CE140" i="5"/>
  <c r="CF140" i="5"/>
  <c r="CG140" i="5"/>
  <c r="CH140" i="5"/>
  <c r="CI140" i="5"/>
  <c r="CJ140" i="5"/>
  <c r="CK140" i="5"/>
  <c r="CL140" i="5"/>
  <c r="CM140" i="5"/>
  <c r="CN140" i="5"/>
  <c r="CO140" i="5"/>
  <c r="CP140" i="5"/>
  <c r="CQ140" i="5"/>
  <c r="CR140" i="5"/>
  <c r="CS140" i="5"/>
  <c r="CT140" i="5"/>
  <c r="CU140" i="5"/>
  <c r="CV140" i="5"/>
  <c r="CW140" i="5"/>
  <c r="CX140" i="5"/>
  <c r="CY140" i="5"/>
  <c r="CZ140" i="5"/>
  <c r="DA140" i="5"/>
  <c r="DB140" i="5"/>
  <c r="DC140" i="5"/>
  <c r="DD140" i="5"/>
  <c r="DE140" i="5"/>
  <c r="DF140" i="5"/>
  <c r="DG140" i="5"/>
  <c r="DH140" i="5"/>
  <c r="DI140" i="5"/>
  <c r="DJ140" i="5"/>
  <c r="DK140" i="5"/>
  <c r="DL140" i="5"/>
  <c r="DM140" i="5"/>
  <c r="DN140" i="5"/>
  <c r="DO140" i="5"/>
  <c r="DP140" i="5"/>
  <c r="DQ140" i="5"/>
  <c r="DR140" i="5"/>
  <c r="DS140" i="5"/>
  <c r="DT140" i="5"/>
  <c r="DU140" i="5"/>
  <c r="DV140" i="5"/>
  <c r="DW140" i="5"/>
  <c r="DX140" i="5"/>
  <c r="DY140" i="5"/>
  <c r="DZ140" i="5"/>
  <c r="EA140" i="5"/>
  <c r="EB140" i="5"/>
  <c r="EC140" i="5"/>
  <c r="ED140" i="5"/>
  <c r="EE140" i="5"/>
  <c r="EF140" i="5"/>
  <c r="EG140" i="5"/>
  <c r="EH140" i="5"/>
  <c r="EI140" i="5"/>
  <c r="EJ140" i="5"/>
  <c r="EK140" i="5"/>
  <c r="EL140" i="5"/>
  <c r="EM140" i="5"/>
  <c r="EN140" i="5"/>
  <c r="EO140" i="5"/>
  <c r="EP140" i="5"/>
  <c r="EQ140" i="5"/>
  <c r="ER140" i="5"/>
  <c r="ES140" i="5"/>
  <c r="ET140" i="5"/>
  <c r="EU140" i="5"/>
  <c r="EV140" i="5"/>
  <c r="EW140" i="5"/>
  <c r="EX140" i="5"/>
  <c r="EY140" i="5"/>
  <c r="EZ140" i="5"/>
  <c r="FA140" i="5"/>
  <c r="FB140" i="5"/>
  <c r="FC140" i="5"/>
  <c r="FD140" i="5"/>
  <c r="FE140" i="5"/>
  <c r="FF140" i="5"/>
  <c r="FG140" i="5"/>
  <c r="FH140" i="5"/>
  <c r="FI140" i="5"/>
  <c r="FJ140" i="5"/>
  <c r="FK140" i="5"/>
  <c r="FL140" i="5"/>
  <c r="FM140" i="5"/>
  <c r="FN140" i="5"/>
  <c r="FO140" i="5"/>
  <c r="FP140" i="5"/>
  <c r="FQ140" i="5"/>
  <c r="FR140" i="5"/>
  <c r="FS140" i="5"/>
  <c r="FT140" i="5"/>
  <c r="FU140" i="5"/>
  <c r="FV140" i="5"/>
  <c r="FW140" i="5"/>
  <c r="FX140" i="5"/>
  <c r="FY140" i="5"/>
  <c r="FZ140" i="5"/>
  <c r="GA140" i="5"/>
  <c r="GB140" i="5"/>
  <c r="GC140" i="5"/>
  <c r="GD140" i="5"/>
  <c r="GE140" i="5"/>
  <c r="GF140" i="5"/>
  <c r="GG140" i="5"/>
  <c r="GH140" i="5"/>
  <c r="GI140" i="5"/>
  <c r="GJ140" i="5"/>
  <c r="GK140" i="5"/>
  <c r="GL140" i="5"/>
  <c r="GM140" i="5"/>
  <c r="GN140" i="5"/>
  <c r="GO140" i="5"/>
  <c r="GP140" i="5"/>
  <c r="GQ140" i="5"/>
  <c r="GR140" i="5"/>
  <c r="GS140" i="5"/>
  <c r="GT140" i="5"/>
  <c r="GU140" i="5"/>
  <c r="GV140" i="5"/>
  <c r="GW140" i="5"/>
  <c r="GX140" i="5"/>
  <c r="GY140" i="5"/>
  <c r="GZ140" i="5"/>
  <c r="HA140" i="5"/>
  <c r="HB140" i="5"/>
  <c r="HC140" i="5"/>
  <c r="HD140" i="5"/>
  <c r="HE140" i="5"/>
  <c r="HF140" i="5"/>
  <c r="HG140" i="5"/>
  <c r="HH140" i="5"/>
  <c r="HI140" i="5"/>
  <c r="HJ140" i="5"/>
  <c r="HK140" i="5"/>
  <c r="HL140" i="5"/>
  <c r="HM140" i="5"/>
  <c r="HN140" i="5"/>
  <c r="HO140" i="5"/>
  <c r="HP140" i="5"/>
  <c r="HQ140" i="5"/>
  <c r="HR140" i="5"/>
  <c r="HS140" i="5"/>
  <c r="HT140" i="5"/>
  <c r="HU140" i="5"/>
  <c r="HV140" i="5"/>
  <c r="HW140" i="5"/>
  <c r="HX140" i="5"/>
  <c r="HY140" i="5"/>
  <c r="HZ140" i="5"/>
  <c r="IA140" i="5"/>
  <c r="IB140" i="5"/>
  <c r="IC140" i="5"/>
  <c r="ID140" i="5"/>
  <c r="IE140" i="5"/>
  <c r="IF140" i="5"/>
  <c r="IG140" i="5"/>
  <c r="IH140" i="5"/>
  <c r="II140" i="5"/>
  <c r="IJ140" i="5"/>
  <c r="IK140" i="5"/>
  <c r="IL140" i="5"/>
  <c r="IM140" i="5"/>
  <c r="IN140" i="5"/>
  <c r="IO140" i="5"/>
  <c r="IP140" i="5"/>
  <c r="IQ140" i="5"/>
  <c r="IR140" i="5"/>
  <c r="IS140" i="5"/>
  <c r="IT140" i="5"/>
  <c r="IU140" i="5"/>
  <c r="IV140" i="5"/>
  <c r="A139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Q139" i="5"/>
  <c r="AR139" i="5"/>
  <c r="AS139" i="5"/>
  <c r="AT139" i="5"/>
  <c r="AU139" i="5"/>
  <c r="AV139" i="5"/>
  <c r="AW139" i="5"/>
  <c r="AX139" i="5"/>
  <c r="AY139" i="5"/>
  <c r="AZ139" i="5"/>
  <c r="BA139" i="5"/>
  <c r="BB139" i="5"/>
  <c r="BC139" i="5"/>
  <c r="BD139" i="5"/>
  <c r="BE139" i="5"/>
  <c r="BF139" i="5"/>
  <c r="BG139" i="5"/>
  <c r="BH139" i="5"/>
  <c r="BI139" i="5"/>
  <c r="BJ139" i="5"/>
  <c r="BK139" i="5"/>
  <c r="BL139" i="5"/>
  <c r="BM139" i="5"/>
  <c r="BN139" i="5"/>
  <c r="BO139" i="5"/>
  <c r="BP139" i="5"/>
  <c r="BQ139" i="5"/>
  <c r="BR139" i="5"/>
  <c r="BS139" i="5"/>
  <c r="BT139" i="5"/>
  <c r="BU139" i="5"/>
  <c r="BV139" i="5"/>
  <c r="BW139" i="5"/>
  <c r="BX139" i="5"/>
  <c r="BY139" i="5"/>
  <c r="BZ139" i="5"/>
  <c r="CA139" i="5"/>
  <c r="CB139" i="5"/>
  <c r="CC139" i="5"/>
  <c r="CD139" i="5"/>
  <c r="CE139" i="5"/>
  <c r="CF139" i="5"/>
  <c r="CG139" i="5"/>
  <c r="CH139" i="5"/>
  <c r="CI139" i="5"/>
  <c r="CJ139" i="5"/>
  <c r="CK139" i="5"/>
  <c r="CL139" i="5"/>
  <c r="CM139" i="5"/>
  <c r="CN139" i="5"/>
  <c r="CO139" i="5"/>
  <c r="CP139" i="5"/>
  <c r="CQ139" i="5"/>
  <c r="CR139" i="5"/>
  <c r="CS139" i="5"/>
  <c r="CT139" i="5"/>
  <c r="CU139" i="5"/>
  <c r="CV139" i="5"/>
  <c r="CW139" i="5"/>
  <c r="CX139" i="5"/>
  <c r="CY139" i="5"/>
  <c r="CZ139" i="5"/>
  <c r="DA139" i="5"/>
  <c r="DB139" i="5"/>
  <c r="DC139" i="5"/>
  <c r="DD139" i="5"/>
  <c r="DE139" i="5"/>
  <c r="DF139" i="5"/>
  <c r="DG139" i="5"/>
  <c r="DH139" i="5"/>
  <c r="DI139" i="5"/>
  <c r="DJ139" i="5"/>
  <c r="DK139" i="5"/>
  <c r="DL139" i="5"/>
  <c r="DM139" i="5"/>
  <c r="DN139" i="5"/>
  <c r="DO139" i="5"/>
  <c r="DP139" i="5"/>
  <c r="DQ139" i="5"/>
  <c r="DR139" i="5"/>
  <c r="DS139" i="5"/>
  <c r="DT139" i="5"/>
  <c r="DU139" i="5"/>
  <c r="DV139" i="5"/>
  <c r="DW139" i="5"/>
  <c r="DX139" i="5"/>
  <c r="DY139" i="5"/>
  <c r="DZ139" i="5"/>
  <c r="EA139" i="5"/>
  <c r="EB139" i="5"/>
  <c r="EC139" i="5"/>
  <c r="ED139" i="5"/>
  <c r="EE139" i="5"/>
  <c r="EF139" i="5"/>
  <c r="EG139" i="5"/>
  <c r="EH139" i="5"/>
  <c r="EI139" i="5"/>
  <c r="EJ139" i="5"/>
  <c r="EK139" i="5"/>
  <c r="EL139" i="5"/>
  <c r="EM139" i="5"/>
  <c r="EN139" i="5"/>
  <c r="EO139" i="5"/>
  <c r="EP139" i="5"/>
  <c r="EQ139" i="5"/>
  <c r="ER139" i="5"/>
  <c r="ES139" i="5"/>
  <c r="ET139" i="5"/>
  <c r="EU139" i="5"/>
  <c r="EV139" i="5"/>
  <c r="EW139" i="5"/>
  <c r="EX139" i="5"/>
  <c r="EY139" i="5"/>
  <c r="EZ139" i="5"/>
  <c r="FA139" i="5"/>
  <c r="FB139" i="5"/>
  <c r="FC139" i="5"/>
  <c r="FD139" i="5"/>
  <c r="FE139" i="5"/>
  <c r="FF139" i="5"/>
  <c r="FG139" i="5"/>
  <c r="FH139" i="5"/>
  <c r="FI139" i="5"/>
  <c r="FJ139" i="5"/>
  <c r="FK139" i="5"/>
  <c r="FL139" i="5"/>
  <c r="FM139" i="5"/>
  <c r="FN139" i="5"/>
  <c r="FO139" i="5"/>
  <c r="FP139" i="5"/>
  <c r="FQ139" i="5"/>
  <c r="FR139" i="5"/>
  <c r="FS139" i="5"/>
  <c r="FT139" i="5"/>
  <c r="FU139" i="5"/>
  <c r="FV139" i="5"/>
  <c r="FW139" i="5"/>
  <c r="FX139" i="5"/>
  <c r="FY139" i="5"/>
  <c r="FZ139" i="5"/>
  <c r="GA139" i="5"/>
  <c r="GB139" i="5"/>
  <c r="GC139" i="5"/>
  <c r="GD139" i="5"/>
  <c r="GE139" i="5"/>
  <c r="GF139" i="5"/>
  <c r="GG139" i="5"/>
  <c r="GH139" i="5"/>
  <c r="GI139" i="5"/>
  <c r="GJ139" i="5"/>
  <c r="GK139" i="5"/>
  <c r="GL139" i="5"/>
  <c r="GM139" i="5"/>
  <c r="GN139" i="5"/>
  <c r="GO139" i="5"/>
  <c r="GP139" i="5"/>
  <c r="GQ139" i="5"/>
  <c r="GR139" i="5"/>
  <c r="GS139" i="5"/>
  <c r="GT139" i="5"/>
  <c r="GU139" i="5"/>
  <c r="GV139" i="5"/>
  <c r="GW139" i="5"/>
  <c r="GX139" i="5"/>
  <c r="GY139" i="5"/>
  <c r="GZ139" i="5"/>
  <c r="HA139" i="5"/>
  <c r="HB139" i="5"/>
  <c r="HC139" i="5"/>
  <c r="HD139" i="5"/>
  <c r="HE139" i="5"/>
  <c r="HF139" i="5"/>
  <c r="HG139" i="5"/>
  <c r="HH139" i="5"/>
  <c r="HI139" i="5"/>
  <c r="HJ139" i="5"/>
  <c r="HK139" i="5"/>
  <c r="HL139" i="5"/>
  <c r="HM139" i="5"/>
  <c r="HN139" i="5"/>
  <c r="HO139" i="5"/>
  <c r="HP139" i="5"/>
  <c r="HQ139" i="5"/>
  <c r="HR139" i="5"/>
  <c r="HS139" i="5"/>
  <c r="HT139" i="5"/>
  <c r="HU139" i="5"/>
  <c r="HV139" i="5"/>
  <c r="HW139" i="5"/>
  <c r="HX139" i="5"/>
  <c r="HY139" i="5"/>
  <c r="HZ139" i="5"/>
  <c r="IA139" i="5"/>
  <c r="IB139" i="5"/>
  <c r="IC139" i="5"/>
  <c r="ID139" i="5"/>
  <c r="IE139" i="5"/>
  <c r="IF139" i="5"/>
  <c r="IG139" i="5"/>
  <c r="IH139" i="5"/>
  <c r="II139" i="5"/>
  <c r="IJ139" i="5"/>
  <c r="IK139" i="5"/>
  <c r="IL139" i="5"/>
  <c r="IM139" i="5"/>
  <c r="IN139" i="5"/>
  <c r="IO139" i="5"/>
  <c r="IP139" i="5"/>
  <c r="IQ139" i="5"/>
  <c r="IR139" i="5"/>
  <c r="IS139" i="5"/>
  <c r="IT139" i="5"/>
  <c r="IU139" i="5"/>
  <c r="IV139" i="5"/>
  <c r="A138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AQ138" i="5"/>
  <c r="AR138" i="5"/>
  <c r="AS138" i="5"/>
  <c r="AT138" i="5"/>
  <c r="AU138" i="5"/>
  <c r="AV138" i="5"/>
  <c r="AW138" i="5"/>
  <c r="AX138" i="5"/>
  <c r="AY138" i="5"/>
  <c r="AZ138" i="5"/>
  <c r="BA138" i="5"/>
  <c r="BB138" i="5"/>
  <c r="BC138" i="5"/>
  <c r="BD138" i="5"/>
  <c r="BE138" i="5"/>
  <c r="BF138" i="5"/>
  <c r="BG138" i="5"/>
  <c r="BH138" i="5"/>
  <c r="BI138" i="5"/>
  <c r="BJ138" i="5"/>
  <c r="BK138" i="5"/>
  <c r="BL138" i="5"/>
  <c r="BM138" i="5"/>
  <c r="BN138" i="5"/>
  <c r="BO138" i="5"/>
  <c r="BP138" i="5"/>
  <c r="BQ138" i="5"/>
  <c r="BR138" i="5"/>
  <c r="BS138" i="5"/>
  <c r="BT138" i="5"/>
  <c r="BU138" i="5"/>
  <c r="BV138" i="5"/>
  <c r="BW138" i="5"/>
  <c r="BX138" i="5"/>
  <c r="BY138" i="5"/>
  <c r="BZ138" i="5"/>
  <c r="CA138" i="5"/>
  <c r="CB138" i="5"/>
  <c r="CC138" i="5"/>
  <c r="CD138" i="5"/>
  <c r="CE138" i="5"/>
  <c r="CF138" i="5"/>
  <c r="CG138" i="5"/>
  <c r="CH138" i="5"/>
  <c r="CI138" i="5"/>
  <c r="CJ138" i="5"/>
  <c r="CK138" i="5"/>
  <c r="CL138" i="5"/>
  <c r="CM138" i="5"/>
  <c r="CN138" i="5"/>
  <c r="CO138" i="5"/>
  <c r="CP138" i="5"/>
  <c r="CQ138" i="5"/>
  <c r="CR138" i="5"/>
  <c r="CS138" i="5"/>
  <c r="CT138" i="5"/>
  <c r="CU138" i="5"/>
  <c r="CV138" i="5"/>
  <c r="CW138" i="5"/>
  <c r="CX138" i="5"/>
  <c r="CY138" i="5"/>
  <c r="CZ138" i="5"/>
  <c r="DA138" i="5"/>
  <c r="DB138" i="5"/>
  <c r="DC138" i="5"/>
  <c r="DD138" i="5"/>
  <c r="DE138" i="5"/>
  <c r="DF138" i="5"/>
  <c r="DG138" i="5"/>
  <c r="DH138" i="5"/>
  <c r="DI138" i="5"/>
  <c r="DJ138" i="5"/>
  <c r="DK138" i="5"/>
  <c r="DL138" i="5"/>
  <c r="DM138" i="5"/>
  <c r="DN138" i="5"/>
  <c r="DO138" i="5"/>
  <c r="DP138" i="5"/>
  <c r="DQ138" i="5"/>
  <c r="DR138" i="5"/>
  <c r="DS138" i="5"/>
  <c r="DT138" i="5"/>
  <c r="DU138" i="5"/>
  <c r="DV138" i="5"/>
  <c r="DW138" i="5"/>
  <c r="DX138" i="5"/>
  <c r="DY138" i="5"/>
  <c r="DZ138" i="5"/>
  <c r="EA138" i="5"/>
  <c r="EB138" i="5"/>
  <c r="EC138" i="5"/>
  <c r="ED138" i="5"/>
  <c r="EE138" i="5"/>
  <c r="EF138" i="5"/>
  <c r="EG138" i="5"/>
  <c r="EH138" i="5"/>
  <c r="EI138" i="5"/>
  <c r="EJ138" i="5"/>
  <c r="EK138" i="5"/>
  <c r="EL138" i="5"/>
  <c r="EM138" i="5"/>
  <c r="EN138" i="5"/>
  <c r="EO138" i="5"/>
  <c r="EP138" i="5"/>
  <c r="EQ138" i="5"/>
  <c r="ER138" i="5"/>
  <c r="ES138" i="5"/>
  <c r="ET138" i="5"/>
  <c r="EU138" i="5"/>
  <c r="EV138" i="5"/>
  <c r="EW138" i="5"/>
  <c r="EX138" i="5"/>
  <c r="EY138" i="5"/>
  <c r="EZ138" i="5"/>
  <c r="FA138" i="5"/>
  <c r="FB138" i="5"/>
  <c r="FC138" i="5"/>
  <c r="FD138" i="5"/>
  <c r="FE138" i="5"/>
  <c r="FF138" i="5"/>
  <c r="FG138" i="5"/>
  <c r="FH138" i="5"/>
  <c r="FI138" i="5"/>
  <c r="FJ138" i="5"/>
  <c r="FK138" i="5"/>
  <c r="FL138" i="5"/>
  <c r="FM138" i="5"/>
  <c r="FN138" i="5"/>
  <c r="FO138" i="5"/>
  <c r="FP138" i="5"/>
  <c r="FQ138" i="5"/>
  <c r="FR138" i="5"/>
  <c r="FS138" i="5"/>
  <c r="FT138" i="5"/>
  <c r="FU138" i="5"/>
  <c r="FV138" i="5"/>
  <c r="FW138" i="5"/>
  <c r="FX138" i="5"/>
  <c r="FY138" i="5"/>
  <c r="FZ138" i="5"/>
  <c r="GA138" i="5"/>
  <c r="GB138" i="5"/>
  <c r="GC138" i="5"/>
  <c r="GD138" i="5"/>
  <c r="GE138" i="5"/>
  <c r="GF138" i="5"/>
  <c r="GG138" i="5"/>
  <c r="GH138" i="5"/>
  <c r="GI138" i="5"/>
  <c r="GJ138" i="5"/>
  <c r="GK138" i="5"/>
  <c r="GL138" i="5"/>
  <c r="GM138" i="5"/>
  <c r="GN138" i="5"/>
  <c r="GO138" i="5"/>
  <c r="GP138" i="5"/>
  <c r="GQ138" i="5"/>
  <c r="GR138" i="5"/>
  <c r="GS138" i="5"/>
  <c r="GT138" i="5"/>
  <c r="GU138" i="5"/>
  <c r="GV138" i="5"/>
  <c r="GW138" i="5"/>
  <c r="GX138" i="5"/>
  <c r="GY138" i="5"/>
  <c r="GZ138" i="5"/>
  <c r="HA138" i="5"/>
  <c r="HB138" i="5"/>
  <c r="HC138" i="5"/>
  <c r="HD138" i="5"/>
  <c r="HE138" i="5"/>
  <c r="HF138" i="5"/>
  <c r="HG138" i="5"/>
  <c r="HH138" i="5"/>
  <c r="HI138" i="5"/>
  <c r="HJ138" i="5"/>
  <c r="HK138" i="5"/>
  <c r="HL138" i="5"/>
  <c r="HM138" i="5"/>
  <c r="HN138" i="5"/>
  <c r="HO138" i="5"/>
  <c r="HP138" i="5"/>
  <c r="HQ138" i="5"/>
  <c r="HR138" i="5"/>
  <c r="HS138" i="5"/>
  <c r="HT138" i="5"/>
  <c r="HU138" i="5"/>
  <c r="HV138" i="5"/>
  <c r="HW138" i="5"/>
  <c r="HX138" i="5"/>
  <c r="HY138" i="5"/>
  <c r="HZ138" i="5"/>
  <c r="IA138" i="5"/>
  <c r="IB138" i="5"/>
  <c r="IC138" i="5"/>
  <c r="ID138" i="5"/>
  <c r="IE138" i="5"/>
  <c r="IF138" i="5"/>
  <c r="IG138" i="5"/>
  <c r="IH138" i="5"/>
  <c r="II138" i="5"/>
  <c r="IJ138" i="5"/>
  <c r="IK138" i="5"/>
  <c r="IL138" i="5"/>
  <c r="IM138" i="5"/>
  <c r="IN138" i="5"/>
  <c r="IO138" i="5"/>
  <c r="IP138" i="5"/>
  <c r="IQ138" i="5"/>
  <c r="IR138" i="5"/>
  <c r="IS138" i="5"/>
  <c r="IT138" i="5"/>
  <c r="IU138" i="5"/>
  <c r="IV138" i="5"/>
  <c r="A137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Q137" i="5"/>
  <c r="AR137" i="5"/>
  <c r="AS137" i="5"/>
  <c r="AT137" i="5"/>
  <c r="AU137" i="5"/>
  <c r="AV137" i="5"/>
  <c r="AW137" i="5"/>
  <c r="AX137" i="5"/>
  <c r="AY137" i="5"/>
  <c r="AZ137" i="5"/>
  <c r="BA137" i="5"/>
  <c r="BB137" i="5"/>
  <c r="BC137" i="5"/>
  <c r="BD137" i="5"/>
  <c r="BE137" i="5"/>
  <c r="BF137" i="5"/>
  <c r="BG137" i="5"/>
  <c r="BH137" i="5"/>
  <c r="BI137" i="5"/>
  <c r="BJ137" i="5"/>
  <c r="BK137" i="5"/>
  <c r="BL137" i="5"/>
  <c r="BM137" i="5"/>
  <c r="BN137" i="5"/>
  <c r="BO137" i="5"/>
  <c r="BP137" i="5"/>
  <c r="BQ137" i="5"/>
  <c r="BR137" i="5"/>
  <c r="BS137" i="5"/>
  <c r="BT137" i="5"/>
  <c r="BU137" i="5"/>
  <c r="BV137" i="5"/>
  <c r="BW137" i="5"/>
  <c r="BX137" i="5"/>
  <c r="BY137" i="5"/>
  <c r="BZ137" i="5"/>
  <c r="CA137" i="5"/>
  <c r="CB137" i="5"/>
  <c r="CC137" i="5"/>
  <c r="CD137" i="5"/>
  <c r="CE137" i="5"/>
  <c r="CF137" i="5"/>
  <c r="CG137" i="5"/>
  <c r="CH137" i="5"/>
  <c r="CI137" i="5"/>
  <c r="CJ137" i="5"/>
  <c r="CK137" i="5"/>
  <c r="CL137" i="5"/>
  <c r="CM137" i="5"/>
  <c r="CN137" i="5"/>
  <c r="CO137" i="5"/>
  <c r="CP137" i="5"/>
  <c r="CQ137" i="5"/>
  <c r="CR137" i="5"/>
  <c r="CS137" i="5"/>
  <c r="CT137" i="5"/>
  <c r="CU137" i="5"/>
  <c r="CV137" i="5"/>
  <c r="CW137" i="5"/>
  <c r="CX137" i="5"/>
  <c r="CY137" i="5"/>
  <c r="CZ137" i="5"/>
  <c r="DA137" i="5"/>
  <c r="DB137" i="5"/>
  <c r="DC137" i="5"/>
  <c r="DD137" i="5"/>
  <c r="DE137" i="5"/>
  <c r="DF137" i="5"/>
  <c r="DG137" i="5"/>
  <c r="DH137" i="5"/>
  <c r="DI137" i="5"/>
  <c r="DJ137" i="5"/>
  <c r="DK137" i="5"/>
  <c r="DL137" i="5"/>
  <c r="DM137" i="5"/>
  <c r="DN137" i="5"/>
  <c r="DO137" i="5"/>
  <c r="DP137" i="5"/>
  <c r="DQ137" i="5"/>
  <c r="DR137" i="5"/>
  <c r="DS137" i="5"/>
  <c r="DT137" i="5"/>
  <c r="DU137" i="5"/>
  <c r="DV137" i="5"/>
  <c r="DW137" i="5"/>
  <c r="DX137" i="5"/>
  <c r="DY137" i="5"/>
  <c r="DZ137" i="5"/>
  <c r="EA137" i="5"/>
  <c r="EB137" i="5"/>
  <c r="EC137" i="5"/>
  <c r="ED137" i="5"/>
  <c r="EE137" i="5"/>
  <c r="EF137" i="5"/>
  <c r="EG137" i="5"/>
  <c r="EH137" i="5"/>
  <c r="EI137" i="5"/>
  <c r="EJ137" i="5"/>
  <c r="EK137" i="5"/>
  <c r="EL137" i="5"/>
  <c r="EM137" i="5"/>
  <c r="EN137" i="5"/>
  <c r="EO137" i="5"/>
  <c r="EP137" i="5"/>
  <c r="EQ137" i="5"/>
  <c r="ER137" i="5"/>
  <c r="ES137" i="5"/>
  <c r="ET137" i="5"/>
  <c r="EU137" i="5"/>
  <c r="EV137" i="5"/>
  <c r="EW137" i="5"/>
  <c r="EX137" i="5"/>
  <c r="EY137" i="5"/>
  <c r="EZ137" i="5"/>
  <c r="FA137" i="5"/>
  <c r="FB137" i="5"/>
  <c r="FC137" i="5"/>
  <c r="FD137" i="5"/>
  <c r="FE137" i="5"/>
  <c r="FF137" i="5"/>
  <c r="FG137" i="5"/>
  <c r="FH137" i="5"/>
  <c r="FI137" i="5"/>
  <c r="FJ137" i="5"/>
  <c r="FK137" i="5"/>
  <c r="FL137" i="5"/>
  <c r="FM137" i="5"/>
  <c r="FN137" i="5"/>
  <c r="FO137" i="5"/>
  <c r="FP137" i="5"/>
  <c r="FQ137" i="5"/>
  <c r="FR137" i="5"/>
  <c r="FS137" i="5"/>
  <c r="FT137" i="5"/>
  <c r="FU137" i="5"/>
  <c r="FV137" i="5"/>
  <c r="FW137" i="5"/>
  <c r="FX137" i="5"/>
  <c r="FY137" i="5"/>
  <c r="FZ137" i="5"/>
  <c r="GA137" i="5"/>
  <c r="GB137" i="5"/>
  <c r="GC137" i="5"/>
  <c r="GD137" i="5"/>
  <c r="GE137" i="5"/>
  <c r="GF137" i="5"/>
  <c r="GG137" i="5"/>
  <c r="GH137" i="5"/>
  <c r="GI137" i="5"/>
  <c r="GJ137" i="5"/>
  <c r="GK137" i="5"/>
  <c r="GL137" i="5"/>
  <c r="GM137" i="5"/>
  <c r="GN137" i="5"/>
  <c r="GO137" i="5"/>
  <c r="GP137" i="5"/>
  <c r="GQ137" i="5"/>
  <c r="GR137" i="5"/>
  <c r="GS137" i="5"/>
  <c r="GT137" i="5"/>
  <c r="GU137" i="5"/>
  <c r="GV137" i="5"/>
  <c r="GW137" i="5"/>
  <c r="GX137" i="5"/>
  <c r="GY137" i="5"/>
  <c r="GZ137" i="5"/>
  <c r="HA137" i="5"/>
  <c r="HB137" i="5"/>
  <c r="HC137" i="5"/>
  <c r="HD137" i="5"/>
  <c r="HE137" i="5"/>
  <c r="HF137" i="5"/>
  <c r="HG137" i="5"/>
  <c r="HH137" i="5"/>
  <c r="HI137" i="5"/>
  <c r="HJ137" i="5"/>
  <c r="HK137" i="5"/>
  <c r="HL137" i="5"/>
  <c r="HM137" i="5"/>
  <c r="HN137" i="5"/>
  <c r="HO137" i="5"/>
  <c r="HP137" i="5"/>
  <c r="HQ137" i="5"/>
  <c r="HR137" i="5"/>
  <c r="HS137" i="5"/>
  <c r="HT137" i="5"/>
  <c r="HU137" i="5"/>
  <c r="HV137" i="5"/>
  <c r="HW137" i="5"/>
  <c r="HX137" i="5"/>
  <c r="HY137" i="5"/>
  <c r="HZ137" i="5"/>
  <c r="IA137" i="5"/>
  <c r="IB137" i="5"/>
  <c r="IC137" i="5"/>
  <c r="ID137" i="5"/>
  <c r="IE137" i="5"/>
  <c r="IF137" i="5"/>
  <c r="IG137" i="5"/>
  <c r="IH137" i="5"/>
  <c r="II137" i="5"/>
  <c r="IJ137" i="5"/>
  <c r="IK137" i="5"/>
  <c r="IL137" i="5"/>
  <c r="IM137" i="5"/>
  <c r="IN137" i="5"/>
  <c r="IO137" i="5"/>
  <c r="IP137" i="5"/>
  <c r="IQ137" i="5"/>
  <c r="IR137" i="5"/>
  <c r="IS137" i="5"/>
  <c r="IT137" i="5"/>
  <c r="IU137" i="5"/>
  <c r="IV137" i="5"/>
  <c r="A136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Q136" i="5"/>
  <c r="AR136" i="5"/>
  <c r="AS136" i="5"/>
  <c r="AT136" i="5"/>
  <c r="AU136" i="5"/>
  <c r="AV136" i="5"/>
  <c r="AW136" i="5"/>
  <c r="AX136" i="5"/>
  <c r="AY136" i="5"/>
  <c r="AZ136" i="5"/>
  <c r="BA136" i="5"/>
  <c r="BB136" i="5"/>
  <c r="BC136" i="5"/>
  <c r="BD136" i="5"/>
  <c r="BE136" i="5"/>
  <c r="BF136" i="5"/>
  <c r="BG136" i="5"/>
  <c r="BH136" i="5"/>
  <c r="BI136" i="5"/>
  <c r="BJ136" i="5"/>
  <c r="BK136" i="5"/>
  <c r="BL136" i="5"/>
  <c r="BM136" i="5"/>
  <c r="BN136" i="5"/>
  <c r="BO136" i="5"/>
  <c r="BP136" i="5"/>
  <c r="BQ136" i="5"/>
  <c r="BR136" i="5"/>
  <c r="BS136" i="5"/>
  <c r="BT136" i="5"/>
  <c r="BU136" i="5"/>
  <c r="BV136" i="5"/>
  <c r="BW136" i="5"/>
  <c r="BX136" i="5"/>
  <c r="BY136" i="5"/>
  <c r="BZ136" i="5"/>
  <c r="CA136" i="5"/>
  <c r="CB136" i="5"/>
  <c r="CC136" i="5"/>
  <c r="CD136" i="5"/>
  <c r="CE136" i="5"/>
  <c r="CF136" i="5"/>
  <c r="CG136" i="5"/>
  <c r="CH136" i="5"/>
  <c r="CI136" i="5"/>
  <c r="CJ136" i="5"/>
  <c r="CK136" i="5"/>
  <c r="CL136" i="5"/>
  <c r="CM136" i="5"/>
  <c r="CN136" i="5"/>
  <c r="CO136" i="5"/>
  <c r="CP136" i="5"/>
  <c r="CQ136" i="5"/>
  <c r="CR136" i="5"/>
  <c r="CS136" i="5"/>
  <c r="CT136" i="5"/>
  <c r="CU136" i="5"/>
  <c r="CV136" i="5"/>
  <c r="CW136" i="5"/>
  <c r="CX136" i="5"/>
  <c r="CY136" i="5"/>
  <c r="CZ136" i="5"/>
  <c r="DA136" i="5"/>
  <c r="DB136" i="5"/>
  <c r="DC136" i="5"/>
  <c r="DD136" i="5"/>
  <c r="DE136" i="5"/>
  <c r="DF136" i="5"/>
  <c r="DG136" i="5"/>
  <c r="DH136" i="5"/>
  <c r="DI136" i="5"/>
  <c r="DJ136" i="5"/>
  <c r="DK136" i="5"/>
  <c r="DL136" i="5"/>
  <c r="DM136" i="5"/>
  <c r="DN136" i="5"/>
  <c r="DO136" i="5"/>
  <c r="DP136" i="5"/>
  <c r="DQ136" i="5"/>
  <c r="DR136" i="5"/>
  <c r="DS136" i="5"/>
  <c r="DT136" i="5"/>
  <c r="DU136" i="5"/>
  <c r="DV136" i="5"/>
  <c r="DW136" i="5"/>
  <c r="DX136" i="5"/>
  <c r="DY136" i="5"/>
  <c r="DZ136" i="5"/>
  <c r="EA136" i="5"/>
  <c r="EB136" i="5"/>
  <c r="EC136" i="5"/>
  <c r="ED136" i="5"/>
  <c r="EE136" i="5"/>
  <c r="EF136" i="5"/>
  <c r="EG136" i="5"/>
  <c r="EH136" i="5"/>
  <c r="EI136" i="5"/>
  <c r="EJ136" i="5"/>
  <c r="EK136" i="5"/>
  <c r="EL136" i="5"/>
  <c r="EM136" i="5"/>
  <c r="EN136" i="5"/>
  <c r="EO136" i="5"/>
  <c r="EP136" i="5"/>
  <c r="EQ136" i="5"/>
  <c r="ER136" i="5"/>
  <c r="ES136" i="5"/>
  <c r="ET136" i="5"/>
  <c r="EU136" i="5"/>
  <c r="EV136" i="5"/>
  <c r="EW136" i="5"/>
  <c r="EX136" i="5"/>
  <c r="EY136" i="5"/>
  <c r="EZ136" i="5"/>
  <c r="FA136" i="5"/>
  <c r="FB136" i="5"/>
  <c r="FC136" i="5"/>
  <c r="FD136" i="5"/>
  <c r="FE136" i="5"/>
  <c r="FF136" i="5"/>
  <c r="FG136" i="5"/>
  <c r="FH136" i="5"/>
  <c r="FI136" i="5"/>
  <c r="FJ136" i="5"/>
  <c r="FK136" i="5"/>
  <c r="FL136" i="5"/>
  <c r="FM136" i="5"/>
  <c r="FN136" i="5"/>
  <c r="FO136" i="5"/>
  <c r="FP136" i="5"/>
  <c r="FQ136" i="5"/>
  <c r="FR136" i="5"/>
  <c r="FS136" i="5"/>
  <c r="FT136" i="5"/>
  <c r="FU136" i="5"/>
  <c r="FV136" i="5"/>
  <c r="FW136" i="5"/>
  <c r="FX136" i="5"/>
  <c r="FY136" i="5"/>
  <c r="FZ136" i="5"/>
  <c r="GA136" i="5"/>
  <c r="GB136" i="5"/>
  <c r="GC136" i="5"/>
  <c r="GD136" i="5"/>
  <c r="GE136" i="5"/>
  <c r="GF136" i="5"/>
  <c r="GG136" i="5"/>
  <c r="GH136" i="5"/>
  <c r="GI136" i="5"/>
  <c r="GJ136" i="5"/>
  <c r="GK136" i="5"/>
  <c r="GL136" i="5"/>
  <c r="GM136" i="5"/>
  <c r="GN136" i="5"/>
  <c r="GO136" i="5"/>
  <c r="GP136" i="5"/>
  <c r="GQ136" i="5"/>
  <c r="GR136" i="5"/>
  <c r="GS136" i="5"/>
  <c r="GT136" i="5"/>
  <c r="GU136" i="5"/>
  <c r="GV136" i="5"/>
  <c r="GW136" i="5"/>
  <c r="GX136" i="5"/>
  <c r="GY136" i="5"/>
  <c r="GZ136" i="5"/>
  <c r="HA136" i="5"/>
  <c r="HB136" i="5"/>
  <c r="HC136" i="5"/>
  <c r="HD136" i="5"/>
  <c r="HE136" i="5"/>
  <c r="HF136" i="5"/>
  <c r="HG136" i="5"/>
  <c r="HH136" i="5"/>
  <c r="HI136" i="5"/>
  <c r="HJ136" i="5"/>
  <c r="HK136" i="5"/>
  <c r="HL136" i="5"/>
  <c r="HM136" i="5"/>
  <c r="HN136" i="5"/>
  <c r="HO136" i="5"/>
  <c r="HP136" i="5"/>
  <c r="HQ136" i="5"/>
  <c r="HR136" i="5"/>
  <c r="HS136" i="5"/>
  <c r="HT136" i="5"/>
  <c r="HU136" i="5"/>
  <c r="HV136" i="5"/>
  <c r="HW136" i="5"/>
  <c r="HX136" i="5"/>
  <c r="HY136" i="5"/>
  <c r="HZ136" i="5"/>
  <c r="IA136" i="5"/>
  <c r="IB136" i="5"/>
  <c r="IC136" i="5"/>
  <c r="ID136" i="5"/>
  <c r="IE136" i="5"/>
  <c r="IF136" i="5"/>
  <c r="IG136" i="5"/>
  <c r="IH136" i="5"/>
  <c r="II136" i="5"/>
  <c r="IJ136" i="5"/>
  <c r="IK136" i="5"/>
  <c r="IL136" i="5"/>
  <c r="IM136" i="5"/>
  <c r="IN136" i="5"/>
  <c r="IO136" i="5"/>
  <c r="IP136" i="5"/>
  <c r="IQ136" i="5"/>
  <c r="IR136" i="5"/>
  <c r="IS136" i="5"/>
  <c r="IT136" i="5"/>
  <c r="IU136" i="5"/>
  <c r="IV136" i="5"/>
  <c r="A135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Q135" i="5"/>
  <c r="AR135" i="5"/>
  <c r="AS135" i="5"/>
  <c r="AT135" i="5"/>
  <c r="AU135" i="5"/>
  <c r="AV135" i="5"/>
  <c r="AW135" i="5"/>
  <c r="AX135" i="5"/>
  <c r="AY135" i="5"/>
  <c r="AZ135" i="5"/>
  <c r="BA135" i="5"/>
  <c r="BB135" i="5"/>
  <c r="BC135" i="5"/>
  <c r="BD135" i="5"/>
  <c r="BE135" i="5"/>
  <c r="BF135" i="5"/>
  <c r="BG135" i="5"/>
  <c r="BH135" i="5"/>
  <c r="BI135" i="5"/>
  <c r="BJ135" i="5"/>
  <c r="BK135" i="5"/>
  <c r="BL135" i="5"/>
  <c r="BM135" i="5"/>
  <c r="BN135" i="5"/>
  <c r="BO135" i="5"/>
  <c r="BP135" i="5"/>
  <c r="BQ135" i="5"/>
  <c r="BR135" i="5"/>
  <c r="BS135" i="5"/>
  <c r="BT135" i="5"/>
  <c r="BU135" i="5"/>
  <c r="BV135" i="5"/>
  <c r="BW135" i="5"/>
  <c r="BX135" i="5"/>
  <c r="BY135" i="5"/>
  <c r="BZ135" i="5"/>
  <c r="CA135" i="5"/>
  <c r="CB135" i="5"/>
  <c r="CC135" i="5"/>
  <c r="CD135" i="5"/>
  <c r="CE135" i="5"/>
  <c r="CF135" i="5"/>
  <c r="CG135" i="5"/>
  <c r="CH135" i="5"/>
  <c r="CI135" i="5"/>
  <c r="CJ135" i="5"/>
  <c r="CK135" i="5"/>
  <c r="CL135" i="5"/>
  <c r="CM135" i="5"/>
  <c r="CN135" i="5"/>
  <c r="CO135" i="5"/>
  <c r="CP135" i="5"/>
  <c r="CQ135" i="5"/>
  <c r="CR135" i="5"/>
  <c r="CS135" i="5"/>
  <c r="CT135" i="5"/>
  <c r="CU135" i="5"/>
  <c r="CV135" i="5"/>
  <c r="CW135" i="5"/>
  <c r="CX135" i="5"/>
  <c r="CY135" i="5"/>
  <c r="CZ135" i="5"/>
  <c r="DA135" i="5"/>
  <c r="DB135" i="5"/>
  <c r="DC135" i="5"/>
  <c r="DD135" i="5"/>
  <c r="DE135" i="5"/>
  <c r="DF135" i="5"/>
  <c r="DG135" i="5"/>
  <c r="DH135" i="5"/>
  <c r="DI135" i="5"/>
  <c r="DJ135" i="5"/>
  <c r="DK135" i="5"/>
  <c r="DL135" i="5"/>
  <c r="DM135" i="5"/>
  <c r="DN135" i="5"/>
  <c r="DO135" i="5"/>
  <c r="DP135" i="5"/>
  <c r="DQ135" i="5"/>
  <c r="DR135" i="5"/>
  <c r="DS135" i="5"/>
  <c r="DT135" i="5"/>
  <c r="DU135" i="5"/>
  <c r="DV135" i="5"/>
  <c r="DW135" i="5"/>
  <c r="DX135" i="5"/>
  <c r="DY135" i="5"/>
  <c r="DZ135" i="5"/>
  <c r="EA135" i="5"/>
  <c r="EB135" i="5"/>
  <c r="EC135" i="5"/>
  <c r="ED135" i="5"/>
  <c r="EE135" i="5"/>
  <c r="EF135" i="5"/>
  <c r="EG135" i="5"/>
  <c r="EH135" i="5"/>
  <c r="EI135" i="5"/>
  <c r="EJ135" i="5"/>
  <c r="EK135" i="5"/>
  <c r="EL135" i="5"/>
  <c r="EM135" i="5"/>
  <c r="EN135" i="5"/>
  <c r="EO135" i="5"/>
  <c r="EP135" i="5"/>
  <c r="EQ135" i="5"/>
  <c r="ER135" i="5"/>
  <c r="ES135" i="5"/>
  <c r="ET135" i="5"/>
  <c r="EU135" i="5"/>
  <c r="EV135" i="5"/>
  <c r="EW135" i="5"/>
  <c r="EX135" i="5"/>
  <c r="EY135" i="5"/>
  <c r="EZ135" i="5"/>
  <c r="FA135" i="5"/>
  <c r="FB135" i="5"/>
  <c r="FC135" i="5"/>
  <c r="FD135" i="5"/>
  <c r="FE135" i="5"/>
  <c r="FF135" i="5"/>
  <c r="FG135" i="5"/>
  <c r="FH135" i="5"/>
  <c r="FI135" i="5"/>
  <c r="FJ135" i="5"/>
  <c r="FK135" i="5"/>
  <c r="FL135" i="5"/>
  <c r="FM135" i="5"/>
  <c r="FN135" i="5"/>
  <c r="FO135" i="5"/>
  <c r="FP135" i="5"/>
  <c r="FQ135" i="5"/>
  <c r="FR135" i="5"/>
  <c r="FS135" i="5"/>
  <c r="FT135" i="5"/>
  <c r="FU135" i="5"/>
  <c r="FV135" i="5"/>
  <c r="FW135" i="5"/>
  <c r="FX135" i="5"/>
  <c r="FY135" i="5"/>
  <c r="FZ135" i="5"/>
  <c r="GA135" i="5"/>
  <c r="GB135" i="5"/>
  <c r="GC135" i="5"/>
  <c r="GD135" i="5"/>
  <c r="GE135" i="5"/>
  <c r="GF135" i="5"/>
  <c r="GG135" i="5"/>
  <c r="GH135" i="5"/>
  <c r="GI135" i="5"/>
  <c r="GJ135" i="5"/>
  <c r="GK135" i="5"/>
  <c r="GL135" i="5"/>
  <c r="GM135" i="5"/>
  <c r="GN135" i="5"/>
  <c r="GO135" i="5"/>
  <c r="GP135" i="5"/>
  <c r="GQ135" i="5"/>
  <c r="GR135" i="5"/>
  <c r="GS135" i="5"/>
  <c r="GT135" i="5"/>
  <c r="GU135" i="5"/>
  <c r="GV135" i="5"/>
  <c r="GW135" i="5"/>
  <c r="GX135" i="5"/>
  <c r="GY135" i="5"/>
  <c r="GZ135" i="5"/>
  <c r="HA135" i="5"/>
  <c r="HB135" i="5"/>
  <c r="HC135" i="5"/>
  <c r="HD135" i="5"/>
  <c r="HE135" i="5"/>
  <c r="HF135" i="5"/>
  <c r="HG135" i="5"/>
  <c r="HH135" i="5"/>
  <c r="HI135" i="5"/>
  <c r="HJ135" i="5"/>
  <c r="HK135" i="5"/>
  <c r="HL135" i="5"/>
  <c r="HM135" i="5"/>
  <c r="HN135" i="5"/>
  <c r="HO135" i="5"/>
  <c r="HP135" i="5"/>
  <c r="HQ135" i="5"/>
  <c r="HR135" i="5"/>
  <c r="HS135" i="5"/>
  <c r="HT135" i="5"/>
  <c r="HU135" i="5"/>
  <c r="HV135" i="5"/>
  <c r="HW135" i="5"/>
  <c r="HX135" i="5"/>
  <c r="HY135" i="5"/>
  <c r="HZ135" i="5"/>
  <c r="IA135" i="5"/>
  <c r="IB135" i="5"/>
  <c r="IC135" i="5"/>
  <c r="ID135" i="5"/>
  <c r="IE135" i="5"/>
  <c r="IF135" i="5"/>
  <c r="IG135" i="5"/>
  <c r="IH135" i="5"/>
  <c r="II135" i="5"/>
  <c r="IJ135" i="5"/>
  <c r="IK135" i="5"/>
  <c r="IL135" i="5"/>
  <c r="IM135" i="5"/>
  <c r="IN135" i="5"/>
  <c r="IO135" i="5"/>
  <c r="IP135" i="5"/>
  <c r="IQ135" i="5"/>
  <c r="IR135" i="5"/>
  <c r="IS135" i="5"/>
  <c r="IT135" i="5"/>
  <c r="IU135" i="5"/>
  <c r="IV135" i="5"/>
  <c r="A134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Q134" i="5"/>
  <c r="AR134" i="5"/>
  <c r="AS134" i="5"/>
  <c r="AT134" i="5"/>
  <c r="AU134" i="5"/>
  <c r="AV134" i="5"/>
  <c r="AW134" i="5"/>
  <c r="AX134" i="5"/>
  <c r="AY134" i="5"/>
  <c r="AZ134" i="5"/>
  <c r="BA134" i="5"/>
  <c r="BB134" i="5"/>
  <c r="BC134" i="5"/>
  <c r="BD134" i="5"/>
  <c r="BE134" i="5"/>
  <c r="BF134" i="5"/>
  <c r="BG134" i="5"/>
  <c r="BH134" i="5"/>
  <c r="BI134" i="5"/>
  <c r="BJ134" i="5"/>
  <c r="BK134" i="5"/>
  <c r="BL134" i="5"/>
  <c r="BM134" i="5"/>
  <c r="BN134" i="5"/>
  <c r="BO134" i="5"/>
  <c r="BP134" i="5"/>
  <c r="BQ134" i="5"/>
  <c r="BR134" i="5"/>
  <c r="BS134" i="5"/>
  <c r="BT134" i="5"/>
  <c r="BU134" i="5"/>
  <c r="BV134" i="5"/>
  <c r="BW134" i="5"/>
  <c r="BX134" i="5"/>
  <c r="BY134" i="5"/>
  <c r="BZ134" i="5"/>
  <c r="CA134" i="5"/>
  <c r="CB134" i="5"/>
  <c r="CC134" i="5"/>
  <c r="CD134" i="5"/>
  <c r="CE134" i="5"/>
  <c r="CF134" i="5"/>
  <c r="CG134" i="5"/>
  <c r="CH134" i="5"/>
  <c r="CI134" i="5"/>
  <c r="CJ134" i="5"/>
  <c r="CK134" i="5"/>
  <c r="CL134" i="5"/>
  <c r="CM134" i="5"/>
  <c r="CN134" i="5"/>
  <c r="CO134" i="5"/>
  <c r="CP134" i="5"/>
  <c r="CQ134" i="5"/>
  <c r="CR134" i="5"/>
  <c r="CS134" i="5"/>
  <c r="CT134" i="5"/>
  <c r="CU134" i="5"/>
  <c r="CV134" i="5"/>
  <c r="CW134" i="5"/>
  <c r="CX134" i="5"/>
  <c r="CY134" i="5"/>
  <c r="CZ134" i="5"/>
  <c r="DA134" i="5"/>
  <c r="DB134" i="5"/>
  <c r="DC134" i="5"/>
  <c r="DD134" i="5"/>
  <c r="DE134" i="5"/>
  <c r="DF134" i="5"/>
  <c r="DG134" i="5"/>
  <c r="DH134" i="5"/>
  <c r="DI134" i="5"/>
  <c r="DJ134" i="5"/>
  <c r="DK134" i="5"/>
  <c r="DL134" i="5"/>
  <c r="DM134" i="5"/>
  <c r="DN134" i="5"/>
  <c r="DO134" i="5"/>
  <c r="DP134" i="5"/>
  <c r="DQ134" i="5"/>
  <c r="DR134" i="5"/>
  <c r="DS134" i="5"/>
  <c r="DT134" i="5"/>
  <c r="DU134" i="5"/>
  <c r="DV134" i="5"/>
  <c r="DW134" i="5"/>
  <c r="DX134" i="5"/>
  <c r="DY134" i="5"/>
  <c r="DZ134" i="5"/>
  <c r="EA134" i="5"/>
  <c r="EB134" i="5"/>
  <c r="EC134" i="5"/>
  <c r="ED134" i="5"/>
  <c r="EE134" i="5"/>
  <c r="EF134" i="5"/>
  <c r="EG134" i="5"/>
  <c r="EH134" i="5"/>
  <c r="EI134" i="5"/>
  <c r="EJ134" i="5"/>
  <c r="EK134" i="5"/>
  <c r="EL134" i="5"/>
  <c r="EM134" i="5"/>
  <c r="EN134" i="5"/>
  <c r="EO134" i="5"/>
  <c r="EP134" i="5"/>
  <c r="EQ134" i="5"/>
  <c r="ER134" i="5"/>
  <c r="ES134" i="5"/>
  <c r="ET134" i="5"/>
  <c r="EU134" i="5"/>
  <c r="EV134" i="5"/>
  <c r="EW134" i="5"/>
  <c r="EX134" i="5"/>
  <c r="EY134" i="5"/>
  <c r="EZ134" i="5"/>
  <c r="FA134" i="5"/>
  <c r="FB134" i="5"/>
  <c r="FC134" i="5"/>
  <c r="FD134" i="5"/>
  <c r="FE134" i="5"/>
  <c r="FF134" i="5"/>
  <c r="FG134" i="5"/>
  <c r="FH134" i="5"/>
  <c r="FI134" i="5"/>
  <c r="FJ134" i="5"/>
  <c r="FK134" i="5"/>
  <c r="FL134" i="5"/>
  <c r="FM134" i="5"/>
  <c r="FN134" i="5"/>
  <c r="FO134" i="5"/>
  <c r="FP134" i="5"/>
  <c r="FQ134" i="5"/>
  <c r="FR134" i="5"/>
  <c r="FS134" i="5"/>
  <c r="FT134" i="5"/>
  <c r="FU134" i="5"/>
  <c r="FV134" i="5"/>
  <c r="FW134" i="5"/>
  <c r="FX134" i="5"/>
  <c r="FY134" i="5"/>
  <c r="FZ134" i="5"/>
  <c r="GA134" i="5"/>
  <c r="GB134" i="5"/>
  <c r="GC134" i="5"/>
  <c r="GD134" i="5"/>
  <c r="GE134" i="5"/>
  <c r="GF134" i="5"/>
  <c r="GG134" i="5"/>
  <c r="GH134" i="5"/>
  <c r="GI134" i="5"/>
  <c r="GJ134" i="5"/>
  <c r="GK134" i="5"/>
  <c r="GL134" i="5"/>
  <c r="GM134" i="5"/>
  <c r="GN134" i="5"/>
  <c r="GO134" i="5"/>
  <c r="GP134" i="5"/>
  <c r="GQ134" i="5"/>
  <c r="GR134" i="5"/>
  <c r="GS134" i="5"/>
  <c r="GT134" i="5"/>
  <c r="GU134" i="5"/>
  <c r="GV134" i="5"/>
  <c r="GW134" i="5"/>
  <c r="GX134" i="5"/>
  <c r="GY134" i="5"/>
  <c r="GZ134" i="5"/>
  <c r="HA134" i="5"/>
  <c r="HB134" i="5"/>
  <c r="HC134" i="5"/>
  <c r="HD134" i="5"/>
  <c r="HE134" i="5"/>
  <c r="HF134" i="5"/>
  <c r="HG134" i="5"/>
  <c r="HH134" i="5"/>
  <c r="HI134" i="5"/>
  <c r="HJ134" i="5"/>
  <c r="HK134" i="5"/>
  <c r="HL134" i="5"/>
  <c r="HM134" i="5"/>
  <c r="HN134" i="5"/>
  <c r="HO134" i="5"/>
  <c r="HP134" i="5"/>
  <c r="HQ134" i="5"/>
  <c r="HR134" i="5"/>
  <c r="HS134" i="5"/>
  <c r="HT134" i="5"/>
  <c r="HU134" i="5"/>
  <c r="HV134" i="5"/>
  <c r="HW134" i="5"/>
  <c r="HX134" i="5"/>
  <c r="HY134" i="5"/>
  <c r="HZ134" i="5"/>
  <c r="IA134" i="5"/>
  <c r="IB134" i="5"/>
  <c r="IC134" i="5"/>
  <c r="ID134" i="5"/>
  <c r="IE134" i="5"/>
  <c r="IF134" i="5"/>
  <c r="IG134" i="5"/>
  <c r="IH134" i="5"/>
  <c r="II134" i="5"/>
  <c r="IJ134" i="5"/>
  <c r="IK134" i="5"/>
  <c r="IL134" i="5"/>
  <c r="IM134" i="5"/>
  <c r="IN134" i="5"/>
  <c r="IO134" i="5"/>
  <c r="IP134" i="5"/>
  <c r="IQ134" i="5"/>
  <c r="IR134" i="5"/>
  <c r="IS134" i="5"/>
  <c r="IT134" i="5"/>
  <c r="IU134" i="5"/>
  <c r="IV134" i="5"/>
  <c r="A133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Q133" i="5"/>
  <c r="AR133" i="5"/>
  <c r="AS133" i="5"/>
  <c r="AT133" i="5"/>
  <c r="AU133" i="5"/>
  <c r="AV133" i="5"/>
  <c r="AW133" i="5"/>
  <c r="AX133" i="5"/>
  <c r="AY133" i="5"/>
  <c r="AZ133" i="5"/>
  <c r="BA133" i="5"/>
  <c r="BB133" i="5"/>
  <c r="BC133" i="5"/>
  <c r="BD133" i="5"/>
  <c r="BE133" i="5"/>
  <c r="BF133" i="5"/>
  <c r="BG133" i="5"/>
  <c r="BH133" i="5"/>
  <c r="BI133" i="5"/>
  <c r="BJ133" i="5"/>
  <c r="BK133" i="5"/>
  <c r="BL133" i="5"/>
  <c r="BM133" i="5"/>
  <c r="BN133" i="5"/>
  <c r="BO133" i="5"/>
  <c r="BP133" i="5"/>
  <c r="BQ133" i="5"/>
  <c r="BR133" i="5"/>
  <c r="BS133" i="5"/>
  <c r="BT133" i="5"/>
  <c r="BU133" i="5"/>
  <c r="BV133" i="5"/>
  <c r="BW133" i="5"/>
  <c r="BX133" i="5"/>
  <c r="BY133" i="5"/>
  <c r="BZ133" i="5"/>
  <c r="CA133" i="5"/>
  <c r="CB133" i="5"/>
  <c r="CC133" i="5"/>
  <c r="CD133" i="5"/>
  <c r="CE133" i="5"/>
  <c r="CF133" i="5"/>
  <c r="CG133" i="5"/>
  <c r="CH133" i="5"/>
  <c r="CI133" i="5"/>
  <c r="CJ133" i="5"/>
  <c r="CK133" i="5"/>
  <c r="CL133" i="5"/>
  <c r="CM133" i="5"/>
  <c r="CN133" i="5"/>
  <c r="CO133" i="5"/>
  <c r="CP133" i="5"/>
  <c r="CQ133" i="5"/>
  <c r="CR133" i="5"/>
  <c r="CS133" i="5"/>
  <c r="CT133" i="5"/>
  <c r="CU133" i="5"/>
  <c r="CV133" i="5"/>
  <c r="CW133" i="5"/>
  <c r="CX133" i="5"/>
  <c r="CY133" i="5"/>
  <c r="CZ133" i="5"/>
  <c r="DA133" i="5"/>
  <c r="DB133" i="5"/>
  <c r="DC133" i="5"/>
  <c r="DD133" i="5"/>
  <c r="DE133" i="5"/>
  <c r="DF133" i="5"/>
  <c r="DG133" i="5"/>
  <c r="DH133" i="5"/>
  <c r="DI133" i="5"/>
  <c r="DJ133" i="5"/>
  <c r="DK133" i="5"/>
  <c r="DL133" i="5"/>
  <c r="DM133" i="5"/>
  <c r="DN133" i="5"/>
  <c r="DO133" i="5"/>
  <c r="DP133" i="5"/>
  <c r="DQ133" i="5"/>
  <c r="DR133" i="5"/>
  <c r="DS133" i="5"/>
  <c r="DT133" i="5"/>
  <c r="DU133" i="5"/>
  <c r="DV133" i="5"/>
  <c r="DW133" i="5"/>
  <c r="DX133" i="5"/>
  <c r="DY133" i="5"/>
  <c r="DZ133" i="5"/>
  <c r="EA133" i="5"/>
  <c r="EB133" i="5"/>
  <c r="EC133" i="5"/>
  <c r="ED133" i="5"/>
  <c r="EE133" i="5"/>
  <c r="EF133" i="5"/>
  <c r="EG133" i="5"/>
  <c r="EH133" i="5"/>
  <c r="EI133" i="5"/>
  <c r="EJ133" i="5"/>
  <c r="EK133" i="5"/>
  <c r="EL133" i="5"/>
  <c r="EM133" i="5"/>
  <c r="EN133" i="5"/>
  <c r="EO133" i="5"/>
  <c r="EP133" i="5"/>
  <c r="EQ133" i="5"/>
  <c r="ER133" i="5"/>
  <c r="ES133" i="5"/>
  <c r="ET133" i="5"/>
  <c r="EU133" i="5"/>
  <c r="EV133" i="5"/>
  <c r="EW133" i="5"/>
  <c r="EX133" i="5"/>
  <c r="EY133" i="5"/>
  <c r="EZ133" i="5"/>
  <c r="FA133" i="5"/>
  <c r="FB133" i="5"/>
  <c r="FC133" i="5"/>
  <c r="FD133" i="5"/>
  <c r="FE133" i="5"/>
  <c r="FF133" i="5"/>
  <c r="FG133" i="5"/>
  <c r="FH133" i="5"/>
  <c r="FI133" i="5"/>
  <c r="FJ133" i="5"/>
  <c r="FK133" i="5"/>
  <c r="FL133" i="5"/>
  <c r="FM133" i="5"/>
  <c r="FN133" i="5"/>
  <c r="FO133" i="5"/>
  <c r="FP133" i="5"/>
  <c r="FQ133" i="5"/>
  <c r="FR133" i="5"/>
  <c r="FS133" i="5"/>
  <c r="FT133" i="5"/>
  <c r="FU133" i="5"/>
  <c r="FV133" i="5"/>
  <c r="FW133" i="5"/>
  <c r="FX133" i="5"/>
  <c r="FY133" i="5"/>
  <c r="FZ133" i="5"/>
  <c r="GA133" i="5"/>
  <c r="GB133" i="5"/>
  <c r="GC133" i="5"/>
  <c r="GD133" i="5"/>
  <c r="GE133" i="5"/>
  <c r="GF133" i="5"/>
  <c r="GG133" i="5"/>
  <c r="GH133" i="5"/>
  <c r="GI133" i="5"/>
  <c r="GJ133" i="5"/>
  <c r="GK133" i="5"/>
  <c r="GL133" i="5"/>
  <c r="GM133" i="5"/>
  <c r="GN133" i="5"/>
  <c r="GO133" i="5"/>
  <c r="GP133" i="5"/>
  <c r="GQ133" i="5"/>
  <c r="GR133" i="5"/>
  <c r="GS133" i="5"/>
  <c r="GT133" i="5"/>
  <c r="GU133" i="5"/>
  <c r="GV133" i="5"/>
  <c r="GW133" i="5"/>
  <c r="GX133" i="5"/>
  <c r="GY133" i="5"/>
  <c r="GZ133" i="5"/>
  <c r="HA133" i="5"/>
  <c r="HB133" i="5"/>
  <c r="HC133" i="5"/>
  <c r="HD133" i="5"/>
  <c r="HE133" i="5"/>
  <c r="HF133" i="5"/>
  <c r="HG133" i="5"/>
  <c r="HH133" i="5"/>
  <c r="HI133" i="5"/>
  <c r="HJ133" i="5"/>
  <c r="HK133" i="5"/>
  <c r="HL133" i="5"/>
  <c r="HM133" i="5"/>
  <c r="HN133" i="5"/>
  <c r="HO133" i="5"/>
  <c r="HP133" i="5"/>
  <c r="HQ133" i="5"/>
  <c r="HR133" i="5"/>
  <c r="HS133" i="5"/>
  <c r="HT133" i="5"/>
  <c r="HU133" i="5"/>
  <c r="HV133" i="5"/>
  <c r="HW133" i="5"/>
  <c r="HX133" i="5"/>
  <c r="HY133" i="5"/>
  <c r="HZ133" i="5"/>
  <c r="IA133" i="5"/>
  <c r="IB133" i="5"/>
  <c r="IC133" i="5"/>
  <c r="ID133" i="5"/>
  <c r="IE133" i="5"/>
  <c r="IF133" i="5"/>
  <c r="IG133" i="5"/>
  <c r="IH133" i="5"/>
  <c r="II133" i="5"/>
  <c r="IJ133" i="5"/>
  <c r="IK133" i="5"/>
  <c r="IL133" i="5"/>
  <c r="IM133" i="5"/>
  <c r="IN133" i="5"/>
  <c r="IO133" i="5"/>
  <c r="IP133" i="5"/>
  <c r="IQ133" i="5"/>
  <c r="IR133" i="5"/>
  <c r="IS133" i="5"/>
  <c r="IT133" i="5"/>
  <c r="IU133" i="5"/>
  <c r="IV133" i="5"/>
  <c r="A132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Q132" i="5"/>
  <c r="AR132" i="5"/>
  <c r="AS132" i="5"/>
  <c r="AT132" i="5"/>
  <c r="AU132" i="5"/>
  <c r="AV132" i="5"/>
  <c r="AW132" i="5"/>
  <c r="AX132" i="5"/>
  <c r="AY132" i="5"/>
  <c r="AZ132" i="5"/>
  <c r="BA132" i="5"/>
  <c r="BB132" i="5"/>
  <c r="BC132" i="5"/>
  <c r="BD132" i="5"/>
  <c r="BE132" i="5"/>
  <c r="BF132" i="5"/>
  <c r="BG132" i="5"/>
  <c r="BH132" i="5"/>
  <c r="BI132" i="5"/>
  <c r="BJ132" i="5"/>
  <c r="BK132" i="5"/>
  <c r="BL132" i="5"/>
  <c r="BM132" i="5"/>
  <c r="BN132" i="5"/>
  <c r="BO132" i="5"/>
  <c r="BP132" i="5"/>
  <c r="BQ132" i="5"/>
  <c r="BR132" i="5"/>
  <c r="BS132" i="5"/>
  <c r="BT132" i="5"/>
  <c r="BU132" i="5"/>
  <c r="BV132" i="5"/>
  <c r="BW132" i="5"/>
  <c r="BX132" i="5"/>
  <c r="BY132" i="5"/>
  <c r="BZ132" i="5"/>
  <c r="CA132" i="5"/>
  <c r="CB132" i="5"/>
  <c r="CC132" i="5"/>
  <c r="CD132" i="5"/>
  <c r="CE132" i="5"/>
  <c r="CF132" i="5"/>
  <c r="CG132" i="5"/>
  <c r="CH132" i="5"/>
  <c r="CI132" i="5"/>
  <c r="CJ132" i="5"/>
  <c r="CK132" i="5"/>
  <c r="CL132" i="5"/>
  <c r="CM132" i="5"/>
  <c r="CN132" i="5"/>
  <c r="CO132" i="5"/>
  <c r="CP132" i="5"/>
  <c r="CQ132" i="5"/>
  <c r="CR132" i="5"/>
  <c r="CS132" i="5"/>
  <c r="CT132" i="5"/>
  <c r="CU132" i="5"/>
  <c r="CV132" i="5"/>
  <c r="CW132" i="5"/>
  <c r="CX132" i="5"/>
  <c r="CY132" i="5"/>
  <c r="CZ132" i="5"/>
  <c r="DA132" i="5"/>
  <c r="DB132" i="5"/>
  <c r="DC132" i="5"/>
  <c r="DD132" i="5"/>
  <c r="DE132" i="5"/>
  <c r="DF132" i="5"/>
  <c r="DG132" i="5"/>
  <c r="DH132" i="5"/>
  <c r="DI132" i="5"/>
  <c r="DJ132" i="5"/>
  <c r="DK132" i="5"/>
  <c r="DL132" i="5"/>
  <c r="DM132" i="5"/>
  <c r="DN132" i="5"/>
  <c r="DO132" i="5"/>
  <c r="DP132" i="5"/>
  <c r="DQ132" i="5"/>
  <c r="DR132" i="5"/>
  <c r="DS132" i="5"/>
  <c r="DT132" i="5"/>
  <c r="DU132" i="5"/>
  <c r="DV132" i="5"/>
  <c r="DW132" i="5"/>
  <c r="DX132" i="5"/>
  <c r="DY132" i="5"/>
  <c r="DZ132" i="5"/>
  <c r="EA132" i="5"/>
  <c r="EB132" i="5"/>
  <c r="EC132" i="5"/>
  <c r="ED132" i="5"/>
  <c r="EE132" i="5"/>
  <c r="EF132" i="5"/>
  <c r="EG132" i="5"/>
  <c r="EH132" i="5"/>
  <c r="EI132" i="5"/>
  <c r="EJ132" i="5"/>
  <c r="EK132" i="5"/>
  <c r="EL132" i="5"/>
  <c r="EM132" i="5"/>
  <c r="EN132" i="5"/>
  <c r="EO132" i="5"/>
  <c r="EP132" i="5"/>
  <c r="EQ132" i="5"/>
  <c r="ER132" i="5"/>
  <c r="ES132" i="5"/>
  <c r="ET132" i="5"/>
  <c r="EU132" i="5"/>
  <c r="EV132" i="5"/>
  <c r="EW132" i="5"/>
  <c r="EX132" i="5"/>
  <c r="EY132" i="5"/>
  <c r="EZ132" i="5"/>
  <c r="FA132" i="5"/>
  <c r="FB132" i="5"/>
  <c r="FC132" i="5"/>
  <c r="FD132" i="5"/>
  <c r="FE132" i="5"/>
  <c r="FF132" i="5"/>
  <c r="FG132" i="5"/>
  <c r="FH132" i="5"/>
  <c r="FI132" i="5"/>
  <c r="FJ132" i="5"/>
  <c r="FK132" i="5"/>
  <c r="FL132" i="5"/>
  <c r="FM132" i="5"/>
  <c r="FN132" i="5"/>
  <c r="FO132" i="5"/>
  <c r="FP132" i="5"/>
  <c r="FQ132" i="5"/>
  <c r="FR132" i="5"/>
  <c r="FS132" i="5"/>
  <c r="FT132" i="5"/>
  <c r="FU132" i="5"/>
  <c r="FV132" i="5"/>
  <c r="FW132" i="5"/>
  <c r="FX132" i="5"/>
  <c r="FY132" i="5"/>
  <c r="FZ132" i="5"/>
  <c r="GA132" i="5"/>
  <c r="GB132" i="5"/>
  <c r="GC132" i="5"/>
  <c r="GD132" i="5"/>
  <c r="GE132" i="5"/>
  <c r="GF132" i="5"/>
  <c r="GG132" i="5"/>
  <c r="GH132" i="5"/>
  <c r="GI132" i="5"/>
  <c r="GJ132" i="5"/>
  <c r="GK132" i="5"/>
  <c r="GL132" i="5"/>
  <c r="GM132" i="5"/>
  <c r="GN132" i="5"/>
  <c r="GO132" i="5"/>
  <c r="GP132" i="5"/>
  <c r="GQ132" i="5"/>
  <c r="GR132" i="5"/>
  <c r="GS132" i="5"/>
  <c r="GT132" i="5"/>
  <c r="GU132" i="5"/>
  <c r="GV132" i="5"/>
  <c r="GW132" i="5"/>
  <c r="GX132" i="5"/>
  <c r="GY132" i="5"/>
  <c r="GZ132" i="5"/>
  <c r="HA132" i="5"/>
  <c r="HB132" i="5"/>
  <c r="HC132" i="5"/>
  <c r="HD132" i="5"/>
  <c r="HE132" i="5"/>
  <c r="HF132" i="5"/>
  <c r="HG132" i="5"/>
  <c r="HH132" i="5"/>
  <c r="HI132" i="5"/>
  <c r="HJ132" i="5"/>
  <c r="HK132" i="5"/>
  <c r="HL132" i="5"/>
  <c r="HM132" i="5"/>
  <c r="HN132" i="5"/>
  <c r="HO132" i="5"/>
  <c r="HP132" i="5"/>
  <c r="HQ132" i="5"/>
  <c r="HR132" i="5"/>
  <c r="HS132" i="5"/>
  <c r="HT132" i="5"/>
  <c r="HU132" i="5"/>
  <c r="HV132" i="5"/>
  <c r="HW132" i="5"/>
  <c r="HX132" i="5"/>
  <c r="HY132" i="5"/>
  <c r="HZ132" i="5"/>
  <c r="IA132" i="5"/>
  <c r="IB132" i="5"/>
  <c r="IC132" i="5"/>
  <c r="ID132" i="5"/>
  <c r="IE132" i="5"/>
  <c r="IF132" i="5"/>
  <c r="IG132" i="5"/>
  <c r="IH132" i="5"/>
  <c r="II132" i="5"/>
  <c r="IJ132" i="5"/>
  <c r="IK132" i="5"/>
  <c r="IL132" i="5"/>
  <c r="IM132" i="5"/>
  <c r="IN132" i="5"/>
  <c r="IO132" i="5"/>
  <c r="IP132" i="5"/>
  <c r="IQ132" i="5"/>
  <c r="IR132" i="5"/>
  <c r="IS132" i="5"/>
  <c r="IT132" i="5"/>
  <c r="IU132" i="5"/>
  <c r="IV132" i="5"/>
  <c r="A131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Q131" i="5"/>
  <c r="AR131" i="5"/>
  <c r="AS131" i="5"/>
  <c r="AT131" i="5"/>
  <c r="AU131" i="5"/>
  <c r="AV131" i="5"/>
  <c r="AW131" i="5"/>
  <c r="AX131" i="5"/>
  <c r="AY131" i="5"/>
  <c r="AZ131" i="5"/>
  <c r="BA131" i="5"/>
  <c r="BB131" i="5"/>
  <c r="BC131" i="5"/>
  <c r="BD131" i="5"/>
  <c r="BE131" i="5"/>
  <c r="BF131" i="5"/>
  <c r="BG131" i="5"/>
  <c r="BH131" i="5"/>
  <c r="BI131" i="5"/>
  <c r="BJ131" i="5"/>
  <c r="BK131" i="5"/>
  <c r="BL131" i="5"/>
  <c r="BM131" i="5"/>
  <c r="BN131" i="5"/>
  <c r="BO131" i="5"/>
  <c r="BP131" i="5"/>
  <c r="BQ131" i="5"/>
  <c r="BR131" i="5"/>
  <c r="BS131" i="5"/>
  <c r="BT131" i="5"/>
  <c r="BU131" i="5"/>
  <c r="BV131" i="5"/>
  <c r="BW131" i="5"/>
  <c r="BX131" i="5"/>
  <c r="BY131" i="5"/>
  <c r="BZ131" i="5"/>
  <c r="CA131" i="5"/>
  <c r="CB131" i="5"/>
  <c r="CC131" i="5"/>
  <c r="CD131" i="5"/>
  <c r="CE131" i="5"/>
  <c r="CF131" i="5"/>
  <c r="CG131" i="5"/>
  <c r="CH131" i="5"/>
  <c r="CI131" i="5"/>
  <c r="CJ131" i="5"/>
  <c r="CK131" i="5"/>
  <c r="CL131" i="5"/>
  <c r="CM131" i="5"/>
  <c r="CN131" i="5"/>
  <c r="CO131" i="5"/>
  <c r="CP131" i="5"/>
  <c r="CQ131" i="5"/>
  <c r="CR131" i="5"/>
  <c r="CS131" i="5"/>
  <c r="CT131" i="5"/>
  <c r="CU131" i="5"/>
  <c r="CV131" i="5"/>
  <c r="CW131" i="5"/>
  <c r="CX131" i="5"/>
  <c r="CY131" i="5"/>
  <c r="CZ131" i="5"/>
  <c r="DA131" i="5"/>
  <c r="DB131" i="5"/>
  <c r="DC131" i="5"/>
  <c r="DD131" i="5"/>
  <c r="DE131" i="5"/>
  <c r="DF131" i="5"/>
  <c r="DG131" i="5"/>
  <c r="DH131" i="5"/>
  <c r="DI131" i="5"/>
  <c r="DJ131" i="5"/>
  <c r="DK131" i="5"/>
  <c r="DL131" i="5"/>
  <c r="DM131" i="5"/>
  <c r="DN131" i="5"/>
  <c r="DO131" i="5"/>
  <c r="DP131" i="5"/>
  <c r="DQ131" i="5"/>
  <c r="DR131" i="5"/>
  <c r="DS131" i="5"/>
  <c r="DT131" i="5"/>
  <c r="DU131" i="5"/>
  <c r="DV131" i="5"/>
  <c r="DW131" i="5"/>
  <c r="DX131" i="5"/>
  <c r="DY131" i="5"/>
  <c r="DZ131" i="5"/>
  <c r="EA131" i="5"/>
  <c r="EB131" i="5"/>
  <c r="EC131" i="5"/>
  <c r="ED131" i="5"/>
  <c r="EE131" i="5"/>
  <c r="EF131" i="5"/>
  <c r="EG131" i="5"/>
  <c r="EH131" i="5"/>
  <c r="EI131" i="5"/>
  <c r="EJ131" i="5"/>
  <c r="EK131" i="5"/>
  <c r="EL131" i="5"/>
  <c r="EM131" i="5"/>
  <c r="EN131" i="5"/>
  <c r="EO131" i="5"/>
  <c r="EP131" i="5"/>
  <c r="EQ131" i="5"/>
  <c r="ER131" i="5"/>
  <c r="ES131" i="5"/>
  <c r="ET131" i="5"/>
  <c r="EU131" i="5"/>
  <c r="EV131" i="5"/>
  <c r="EW131" i="5"/>
  <c r="EX131" i="5"/>
  <c r="EY131" i="5"/>
  <c r="EZ131" i="5"/>
  <c r="FA131" i="5"/>
  <c r="FB131" i="5"/>
  <c r="FC131" i="5"/>
  <c r="FD131" i="5"/>
  <c r="FE131" i="5"/>
  <c r="FF131" i="5"/>
  <c r="FG131" i="5"/>
  <c r="FH131" i="5"/>
  <c r="FI131" i="5"/>
  <c r="FJ131" i="5"/>
  <c r="FK131" i="5"/>
  <c r="FL131" i="5"/>
  <c r="FM131" i="5"/>
  <c r="FN131" i="5"/>
  <c r="FO131" i="5"/>
  <c r="FP131" i="5"/>
  <c r="FQ131" i="5"/>
  <c r="FR131" i="5"/>
  <c r="FS131" i="5"/>
  <c r="FT131" i="5"/>
  <c r="FU131" i="5"/>
  <c r="FV131" i="5"/>
  <c r="FW131" i="5"/>
  <c r="FX131" i="5"/>
  <c r="FY131" i="5"/>
  <c r="FZ131" i="5"/>
  <c r="GA131" i="5"/>
  <c r="GB131" i="5"/>
  <c r="GC131" i="5"/>
  <c r="GD131" i="5"/>
  <c r="GE131" i="5"/>
  <c r="GF131" i="5"/>
  <c r="GG131" i="5"/>
  <c r="GH131" i="5"/>
  <c r="GI131" i="5"/>
  <c r="GJ131" i="5"/>
  <c r="GK131" i="5"/>
  <c r="GL131" i="5"/>
  <c r="GM131" i="5"/>
  <c r="GN131" i="5"/>
  <c r="GO131" i="5"/>
  <c r="GP131" i="5"/>
  <c r="GQ131" i="5"/>
  <c r="GR131" i="5"/>
  <c r="GS131" i="5"/>
  <c r="GT131" i="5"/>
  <c r="GU131" i="5"/>
  <c r="GV131" i="5"/>
  <c r="GW131" i="5"/>
  <c r="GX131" i="5"/>
  <c r="GY131" i="5"/>
  <c r="GZ131" i="5"/>
  <c r="HA131" i="5"/>
  <c r="HB131" i="5"/>
  <c r="HC131" i="5"/>
  <c r="HD131" i="5"/>
  <c r="HE131" i="5"/>
  <c r="HF131" i="5"/>
  <c r="HG131" i="5"/>
  <c r="HH131" i="5"/>
  <c r="HI131" i="5"/>
  <c r="HJ131" i="5"/>
  <c r="HK131" i="5"/>
  <c r="HL131" i="5"/>
  <c r="HM131" i="5"/>
  <c r="HN131" i="5"/>
  <c r="HO131" i="5"/>
  <c r="HP131" i="5"/>
  <c r="HQ131" i="5"/>
  <c r="HR131" i="5"/>
  <c r="HS131" i="5"/>
  <c r="HT131" i="5"/>
  <c r="HU131" i="5"/>
  <c r="HV131" i="5"/>
  <c r="HW131" i="5"/>
  <c r="HX131" i="5"/>
  <c r="HY131" i="5"/>
  <c r="HZ131" i="5"/>
  <c r="IA131" i="5"/>
  <c r="IB131" i="5"/>
  <c r="IC131" i="5"/>
  <c r="ID131" i="5"/>
  <c r="IE131" i="5"/>
  <c r="IF131" i="5"/>
  <c r="IG131" i="5"/>
  <c r="IH131" i="5"/>
  <c r="II131" i="5"/>
  <c r="IJ131" i="5"/>
  <c r="IK131" i="5"/>
  <c r="IL131" i="5"/>
  <c r="IM131" i="5"/>
  <c r="IN131" i="5"/>
  <c r="IO131" i="5"/>
  <c r="IP131" i="5"/>
  <c r="IQ131" i="5"/>
  <c r="IR131" i="5"/>
  <c r="IS131" i="5"/>
  <c r="IT131" i="5"/>
  <c r="IU131" i="5"/>
  <c r="IV131" i="5"/>
  <c r="A130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Q130" i="5"/>
  <c r="AR130" i="5"/>
  <c r="AS130" i="5"/>
  <c r="AT130" i="5"/>
  <c r="AU130" i="5"/>
  <c r="AV130" i="5"/>
  <c r="AW130" i="5"/>
  <c r="AX130" i="5"/>
  <c r="AY130" i="5"/>
  <c r="AZ130" i="5"/>
  <c r="BA130" i="5"/>
  <c r="BB130" i="5"/>
  <c r="BC130" i="5"/>
  <c r="BD130" i="5"/>
  <c r="BE130" i="5"/>
  <c r="BF130" i="5"/>
  <c r="BG130" i="5"/>
  <c r="BH130" i="5"/>
  <c r="BI130" i="5"/>
  <c r="BJ130" i="5"/>
  <c r="BK130" i="5"/>
  <c r="BL130" i="5"/>
  <c r="BM130" i="5"/>
  <c r="BN130" i="5"/>
  <c r="BO130" i="5"/>
  <c r="BP130" i="5"/>
  <c r="BQ130" i="5"/>
  <c r="BR130" i="5"/>
  <c r="BS130" i="5"/>
  <c r="BT130" i="5"/>
  <c r="BU130" i="5"/>
  <c r="BV130" i="5"/>
  <c r="BW130" i="5"/>
  <c r="BX130" i="5"/>
  <c r="BY130" i="5"/>
  <c r="BZ130" i="5"/>
  <c r="CA130" i="5"/>
  <c r="CB130" i="5"/>
  <c r="CC130" i="5"/>
  <c r="CD130" i="5"/>
  <c r="CE130" i="5"/>
  <c r="CF130" i="5"/>
  <c r="CG130" i="5"/>
  <c r="CH130" i="5"/>
  <c r="CI130" i="5"/>
  <c r="CJ130" i="5"/>
  <c r="CK130" i="5"/>
  <c r="CL130" i="5"/>
  <c r="CM130" i="5"/>
  <c r="CN130" i="5"/>
  <c r="CO130" i="5"/>
  <c r="CP130" i="5"/>
  <c r="CQ130" i="5"/>
  <c r="CR130" i="5"/>
  <c r="CS130" i="5"/>
  <c r="CT130" i="5"/>
  <c r="CU130" i="5"/>
  <c r="CV130" i="5"/>
  <c r="CW130" i="5"/>
  <c r="CX130" i="5"/>
  <c r="CY130" i="5"/>
  <c r="CZ130" i="5"/>
  <c r="DA130" i="5"/>
  <c r="DB130" i="5"/>
  <c r="DC130" i="5"/>
  <c r="DD130" i="5"/>
  <c r="DE130" i="5"/>
  <c r="DF130" i="5"/>
  <c r="DG130" i="5"/>
  <c r="DH130" i="5"/>
  <c r="DI130" i="5"/>
  <c r="DJ130" i="5"/>
  <c r="DK130" i="5"/>
  <c r="DL130" i="5"/>
  <c r="DM130" i="5"/>
  <c r="DN130" i="5"/>
  <c r="DO130" i="5"/>
  <c r="DP130" i="5"/>
  <c r="DQ130" i="5"/>
  <c r="DR130" i="5"/>
  <c r="DS130" i="5"/>
  <c r="DT130" i="5"/>
  <c r="DU130" i="5"/>
  <c r="DV130" i="5"/>
  <c r="DW130" i="5"/>
  <c r="DX130" i="5"/>
  <c r="DY130" i="5"/>
  <c r="DZ130" i="5"/>
  <c r="EA130" i="5"/>
  <c r="EB130" i="5"/>
  <c r="EC130" i="5"/>
  <c r="ED130" i="5"/>
  <c r="EE130" i="5"/>
  <c r="EF130" i="5"/>
  <c r="EG130" i="5"/>
  <c r="EH130" i="5"/>
  <c r="EI130" i="5"/>
  <c r="EJ130" i="5"/>
  <c r="EK130" i="5"/>
  <c r="EL130" i="5"/>
  <c r="EM130" i="5"/>
  <c r="EN130" i="5"/>
  <c r="EO130" i="5"/>
  <c r="EP130" i="5"/>
  <c r="EQ130" i="5"/>
  <c r="ER130" i="5"/>
  <c r="ES130" i="5"/>
  <c r="ET130" i="5"/>
  <c r="EU130" i="5"/>
  <c r="EV130" i="5"/>
  <c r="EW130" i="5"/>
  <c r="EX130" i="5"/>
  <c r="EY130" i="5"/>
  <c r="EZ130" i="5"/>
  <c r="FA130" i="5"/>
  <c r="FB130" i="5"/>
  <c r="FC130" i="5"/>
  <c r="FD130" i="5"/>
  <c r="FE130" i="5"/>
  <c r="FF130" i="5"/>
  <c r="FG130" i="5"/>
  <c r="FH130" i="5"/>
  <c r="FI130" i="5"/>
  <c r="FJ130" i="5"/>
  <c r="FK130" i="5"/>
  <c r="FL130" i="5"/>
  <c r="FM130" i="5"/>
  <c r="FN130" i="5"/>
  <c r="FO130" i="5"/>
  <c r="FP130" i="5"/>
  <c r="FQ130" i="5"/>
  <c r="FR130" i="5"/>
  <c r="FS130" i="5"/>
  <c r="FT130" i="5"/>
  <c r="FU130" i="5"/>
  <c r="FV130" i="5"/>
  <c r="FW130" i="5"/>
  <c r="FX130" i="5"/>
  <c r="FY130" i="5"/>
  <c r="FZ130" i="5"/>
  <c r="GA130" i="5"/>
  <c r="GB130" i="5"/>
  <c r="GC130" i="5"/>
  <c r="GD130" i="5"/>
  <c r="GE130" i="5"/>
  <c r="GF130" i="5"/>
  <c r="GG130" i="5"/>
  <c r="GH130" i="5"/>
  <c r="GI130" i="5"/>
  <c r="GJ130" i="5"/>
  <c r="GK130" i="5"/>
  <c r="GL130" i="5"/>
  <c r="GM130" i="5"/>
  <c r="GN130" i="5"/>
  <c r="GO130" i="5"/>
  <c r="GP130" i="5"/>
  <c r="GQ130" i="5"/>
  <c r="GR130" i="5"/>
  <c r="GS130" i="5"/>
  <c r="GT130" i="5"/>
  <c r="GU130" i="5"/>
  <c r="GV130" i="5"/>
  <c r="GW130" i="5"/>
  <c r="GX130" i="5"/>
  <c r="GY130" i="5"/>
  <c r="GZ130" i="5"/>
  <c r="HA130" i="5"/>
  <c r="HB130" i="5"/>
  <c r="HC130" i="5"/>
  <c r="HD130" i="5"/>
  <c r="HE130" i="5"/>
  <c r="HF130" i="5"/>
  <c r="HG130" i="5"/>
  <c r="HH130" i="5"/>
  <c r="HI130" i="5"/>
  <c r="HJ130" i="5"/>
  <c r="HK130" i="5"/>
  <c r="HL130" i="5"/>
  <c r="HM130" i="5"/>
  <c r="HN130" i="5"/>
  <c r="HO130" i="5"/>
  <c r="HP130" i="5"/>
  <c r="HQ130" i="5"/>
  <c r="HR130" i="5"/>
  <c r="HS130" i="5"/>
  <c r="HT130" i="5"/>
  <c r="HU130" i="5"/>
  <c r="HV130" i="5"/>
  <c r="HW130" i="5"/>
  <c r="HX130" i="5"/>
  <c r="HY130" i="5"/>
  <c r="HZ130" i="5"/>
  <c r="IA130" i="5"/>
  <c r="IB130" i="5"/>
  <c r="IC130" i="5"/>
  <c r="ID130" i="5"/>
  <c r="IE130" i="5"/>
  <c r="IF130" i="5"/>
  <c r="IG130" i="5"/>
  <c r="IH130" i="5"/>
  <c r="II130" i="5"/>
  <c r="IJ130" i="5"/>
  <c r="IK130" i="5"/>
  <c r="IL130" i="5"/>
  <c r="IM130" i="5"/>
  <c r="IN130" i="5"/>
  <c r="IO130" i="5"/>
  <c r="IP130" i="5"/>
  <c r="IQ130" i="5"/>
  <c r="IR130" i="5"/>
  <c r="IS130" i="5"/>
  <c r="IT130" i="5"/>
  <c r="IU130" i="5"/>
  <c r="IV130" i="5"/>
  <c r="A129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Q129" i="5"/>
  <c r="AR129" i="5"/>
  <c r="AS129" i="5"/>
  <c r="AT129" i="5"/>
  <c r="AU129" i="5"/>
  <c r="AV129" i="5"/>
  <c r="AW129" i="5"/>
  <c r="AX129" i="5"/>
  <c r="AY129" i="5"/>
  <c r="AZ129" i="5"/>
  <c r="BA129" i="5"/>
  <c r="BB129" i="5"/>
  <c r="BC129" i="5"/>
  <c r="BD129" i="5"/>
  <c r="BE129" i="5"/>
  <c r="BF129" i="5"/>
  <c r="BG129" i="5"/>
  <c r="BH129" i="5"/>
  <c r="BI129" i="5"/>
  <c r="BJ129" i="5"/>
  <c r="BK129" i="5"/>
  <c r="BL129" i="5"/>
  <c r="BM129" i="5"/>
  <c r="BN129" i="5"/>
  <c r="BO129" i="5"/>
  <c r="BP129" i="5"/>
  <c r="BQ129" i="5"/>
  <c r="BR129" i="5"/>
  <c r="BS129" i="5"/>
  <c r="BT129" i="5"/>
  <c r="BU129" i="5"/>
  <c r="BV129" i="5"/>
  <c r="BW129" i="5"/>
  <c r="BX129" i="5"/>
  <c r="BY129" i="5"/>
  <c r="BZ129" i="5"/>
  <c r="CA129" i="5"/>
  <c r="CB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O129" i="5"/>
  <c r="CP129" i="5"/>
  <c r="CQ129" i="5"/>
  <c r="CR129" i="5"/>
  <c r="CS129" i="5"/>
  <c r="CT129" i="5"/>
  <c r="CU129" i="5"/>
  <c r="CV129" i="5"/>
  <c r="CW129" i="5"/>
  <c r="CX129" i="5"/>
  <c r="CY129" i="5"/>
  <c r="CZ129" i="5"/>
  <c r="DA129" i="5"/>
  <c r="DB129" i="5"/>
  <c r="DC129" i="5"/>
  <c r="DD129" i="5"/>
  <c r="DE129" i="5"/>
  <c r="DF129" i="5"/>
  <c r="DG129" i="5"/>
  <c r="DH129" i="5"/>
  <c r="DI129" i="5"/>
  <c r="DJ129" i="5"/>
  <c r="DK129" i="5"/>
  <c r="DL129" i="5"/>
  <c r="DM129" i="5"/>
  <c r="DN129" i="5"/>
  <c r="DO129" i="5"/>
  <c r="DP129" i="5"/>
  <c r="DQ129" i="5"/>
  <c r="DR129" i="5"/>
  <c r="DS129" i="5"/>
  <c r="DT129" i="5"/>
  <c r="DU129" i="5"/>
  <c r="DV129" i="5"/>
  <c r="DW129" i="5"/>
  <c r="DX129" i="5"/>
  <c r="DY129" i="5"/>
  <c r="DZ129" i="5"/>
  <c r="EA129" i="5"/>
  <c r="EB129" i="5"/>
  <c r="EC129" i="5"/>
  <c r="ED129" i="5"/>
  <c r="EE129" i="5"/>
  <c r="EF129" i="5"/>
  <c r="EG129" i="5"/>
  <c r="EH129" i="5"/>
  <c r="EI129" i="5"/>
  <c r="EJ129" i="5"/>
  <c r="EK129" i="5"/>
  <c r="EL129" i="5"/>
  <c r="EM129" i="5"/>
  <c r="EN129" i="5"/>
  <c r="EO129" i="5"/>
  <c r="EP129" i="5"/>
  <c r="EQ129" i="5"/>
  <c r="ER129" i="5"/>
  <c r="ES129" i="5"/>
  <c r="ET129" i="5"/>
  <c r="EU129" i="5"/>
  <c r="EV129" i="5"/>
  <c r="EW129" i="5"/>
  <c r="EX129" i="5"/>
  <c r="EY129" i="5"/>
  <c r="EZ129" i="5"/>
  <c r="FA129" i="5"/>
  <c r="FB129" i="5"/>
  <c r="FC129" i="5"/>
  <c r="FD129" i="5"/>
  <c r="FE129" i="5"/>
  <c r="FF129" i="5"/>
  <c r="FG129" i="5"/>
  <c r="FH129" i="5"/>
  <c r="FI129" i="5"/>
  <c r="FJ129" i="5"/>
  <c r="FK129" i="5"/>
  <c r="FL129" i="5"/>
  <c r="FM129" i="5"/>
  <c r="FN129" i="5"/>
  <c r="FO129" i="5"/>
  <c r="FP129" i="5"/>
  <c r="FQ129" i="5"/>
  <c r="FR129" i="5"/>
  <c r="FS129" i="5"/>
  <c r="FT129" i="5"/>
  <c r="FU129" i="5"/>
  <c r="FV129" i="5"/>
  <c r="FW129" i="5"/>
  <c r="FX129" i="5"/>
  <c r="FY129" i="5"/>
  <c r="FZ129" i="5"/>
  <c r="GA129" i="5"/>
  <c r="GB129" i="5"/>
  <c r="GC129" i="5"/>
  <c r="GD129" i="5"/>
  <c r="GE129" i="5"/>
  <c r="GF129" i="5"/>
  <c r="GG129" i="5"/>
  <c r="GH129" i="5"/>
  <c r="GI129" i="5"/>
  <c r="GJ129" i="5"/>
  <c r="GK129" i="5"/>
  <c r="GL129" i="5"/>
  <c r="GM129" i="5"/>
  <c r="GN129" i="5"/>
  <c r="GO129" i="5"/>
  <c r="GP129" i="5"/>
  <c r="GQ129" i="5"/>
  <c r="GR129" i="5"/>
  <c r="GS129" i="5"/>
  <c r="GT129" i="5"/>
  <c r="GU129" i="5"/>
  <c r="GV129" i="5"/>
  <c r="GW129" i="5"/>
  <c r="GX129" i="5"/>
  <c r="GY129" i="5"/>
  <c r="GZ129" i="5"/>
  <c r="HA129" i="5"/>
  <c r="HB129" i="5"/>
  <c r="HC129" i="5"/>
  <c r="HD129" i="5"/>
  <c r="HE129" i="5"/>
  <c r="HF129" i="5"/>
  <c r="HG129" i="5"/>
  <c r="HH129" i="5"/>
  <c r="HI129" i="5"/>
  <c r="HJ129" i="5"/>
  <c r="HK129" i="5"/>
  <c r="HL129" i="5"/>
  <c r="HM129" i="5"/>
  <c r="HN129" i="5"/>
  <c r="HO129" i="5"/>
  <c r="HP129" i="5"/>
  <c r="HQ129" i="5"/>
  <c r="HR129" i="5"/>
  <c r="HS129" i="5"/>
  <c r="HT129" i="5"/>
  <c r="HU129" i="5"/>
  <c r="HV129" i="5"/>
  <c r="HW129" i="5"/>
  <c r="HX129" i="5"/>
  <c r="HY129" i="5"/>
  <c r="HZ129" i="5"/>
  <c r="IA129" i="5"/>
  <c r="IB129" i="5"/>
  <c r="IC129" i="5"/>
  <c r="ID129" i="5"/>
  <c r="IE129" i="5"/>
  <c r="IF129" i="5"/>
  <c r="IG129" i="5"/>
  <c r="IH129" i="5"/>
  <c r="II129" i="5"/>
  <c r="IJ129" i="5"/>
  <c r="IK129" i="5"/>
  <c r="IL129" i="5"/>
  <c r="IM129" i="5"/>
  <c r="IN129" i="5"/>
  <c r="IO129" i="5"/>
  <c r="IP129" i="5"/>
  <c r="IQ129" i="5"/>
  <c r="IR129" i="5"/>
  <c r="IS129" i="5"/>
  <c r="IT129" i="5"/>
  <c r="IU129" i="5"/>
  <c r="IV129" i="5"/>
  <c r="A128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Q128" i="5"/>
  <c r="AR128" i="5"/>
  <c r="AS128" i="5"/>
  <c r="AT128" i="5"/>
  <c r="AU128" i="5"/>
  <c r="AV128" i="5"/>
  <c r="AW128" i="5"/>
  <c r="AX128" i="5"/>
  <c r="AY128" i="5"/>
  <c r="AZ128" i="5"/>
  <c r="BA128" i="5"/>
  <c r="BB128" i="5"/>
  <c r="BC128" i="5"/>
  <c r="BD128" i="5"/>
  <c r="BE128" i="5"/>
  <c r="BF128" i="5"/>
  <c r="BG128" i="5"/>
  <c r="BH128" i="5"/>
  <c r="BI128" i="5"/>
  <c r="BJ128" i="5"/>
  <c r="BK128" i="5"/>
  <c r="BL128" i="5"/>
  <c r="BM128" i="5"/>
  <c r="BN128" i="5"/>
  <c r="BO128" i="5"/>
  <c r="BP128" i="5"/>
  <c r="BQ128" i="5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CP128" i="5"/>
  <c r="CQ128" i="5"/>
  <c r="CR128" i="5"/>
  <c r="CS128" i="5"/>
  <c r="CT128" i="5"/>
  <c r="CU128" i="5"/>
  <c r="CV128" i="5"/>
  <c r="CW128" i="5"/>
  <c r="CX128" i="5"/>
  <c r="CY128" i="5"/>
  <c r="CZ128" i="5"/>
  <c r="DA128" i="5"/>
  <c r="DB128" i="5"/>
  <c r="DC128" i="5"/>
  <c r="DD128" i="5"/>
  <c r="DE128" i="5"/>
  <c r="DF128" i="5"/>
  <c r="DG128" i="5"/>
  <c r="DH128" i="5"/>
  <c r="DI128" i="5"/>
  <c r="DJ128" i="5"/>
  <c r="DK128" i="5"/>
  <c r="DL128" i="5"/>
  <c r="DM128" i="5"/>
  <c r="DN128" i="5"/>
  <c r="DO128" i="5"/>
  <c r="DP128" i="5"/>
  <c r="DQ128" i="5"/>
  <c r="DR128" i="5"/>
  <c r="DS128" i="5"/>
  <c r="DT128" i="5"/>
  <c r="DU128" i="5"/>
  <c r="DV128" i="5"/>
  <c r="DW128" i="5"/>
  <c r="DX128" i="5"/>
  <c r="DY128" i="5"/>
  <c r="DZ128" i="5"/>
  <c r="EA128" i="5"/>
  <c r="EB128" i="5"/>
  <c r="EC128" i="5"/>
  <c r="ED128" i="5"/>
  <c r="EE128" i="5"/>
  <c r="EF128" i="5"/>
  <c r="EG128" i="5"/>
  <c r="EH128" i="5"/>
  <c r="EI128" i="5"/>
  <c r="EJ128" i="5"/>
  <c r="EK128" i="5"/>
  <c r="EL128" i="5"/>
  <c r="EM128" i="5"/>
  <c r="EN128" i="5"/>
  <c r="EO128" i="5"/>
  <c r="EP128" i="5"/>
  <c r="EQ128" i="5"/>
  <c r="ER128" i="5"/>
  <c r="ES128" i="5"/>
  <c r="ET128" i="5"/>
  <c r="EU128" i="5"/>
  <c r="EV128" i="5"/>
  <c r="EW128" i="5"/>
  <c r="EX128" i="5"/>
  <c r="EY128" i="5"/>
  <c r="EZ128" i="5"/>
  <c r="FA128" i="5"/>
  <c r="FB128" i="5"/>
  <c r="FC128" i="5"/>
  <c r="FD128" i="5"/>
  <c r="FE128" i="5"/>
  <c r="FF128" i="5"/>
  <c r="FG128" i="5"/>
  <c r="FH128" i="5"/>
  <c r="FI128" i="5"/>
  <c r="FJ128" i="5"/>
  <c r="FK128" i="5"/>
  <c r="FL128" i="5"/>
  <c r="FM128" i="5"/>
  <c r="FN128" i="5"/>
  <c r="FO128" i="5"/>
  <c r="FP128" i="5"/>
  <c r="FQ128" i="5"/>
  <c r="FR128" i="5"/>
  <c r="FS128" i="5"/>
  <c r="FT128" i="5"/>
  <c r="FU128" i="5"/>
  <c r="FV128" i="5"/>
  <c r="FW128" i="5"/>
  <c r="FX128" i="5"/>
  <c r="FY128" i="5"/>
  <c r="FZ128" i="5"/>
  <c r="GA128" i="5"/>
  <c r="GB128" i="5"/>
  <c r="GC128" i="5"/>
  <c r="GD128" i="5"/>
  <c r="GE128" i="5"/>
  <c r="GF128" i="5"/>
  <c r="GG128" i="5"/>
  <c r="GH128" i="5"/>
  <c r="GI128" i="5"/>
  <c r="GJ128" i="5"/>
  <c r="GK128" i="5"/>
  <c r="GL128" i="5"/>
  <c r="GM128" i="5"/>
  <c r="GN128" i="5"/>
  <c r="GO128" i="5"/>
  <c r="GP128" i="5"/>
  <c r="GQ128" i="5"/>
  <c r="GR128" i="5"/>
  <c r="GS128" i="5"/>
  <c r="GT128" i="5"/>
  <c r="GU128" i="5"/>
  <c r="GV128" i="5"/>
  <c r="GW128" i="5"/>
  <c r="GX128" i="5"/>
  <c r="GY128" i="5"/>
  <c r="GZ128" i="5"/>
  <c r="HA128" i="5"/>
  <c r="HB128" i="5"/>
  <c r="HC128" i="5"/>
  <c r="HD128" i="5"/>
  <c r="HE128" i="5"/>
  <c r="HF128" i="5"/>
  <c r="HG128" i="5"/>
  <c r="HH128" i="5"/>
  <c r="HI128" i="5"/>
  <c r="HJ128" i="5"/>
  <c r="HK128" i="5"/>
  <c r="HL128" i="5"/>
  <c r="HM128" i="5"/>
  <c r="HN128" i="5"/>
  <c r="HO128" i="5"/>
  <c r="HP128" i="5"/>
  <c r="HQ128" i="5"/>
  <c r="HR128" i="5"/>
  <c r="HS128" i="5"/>
  <c r="HT128" i="5"/>
  <c r="HU128" i="5"/>
  <c r="HV128" i="5"/>
  <c r="HW128" i="5"/>
  <c r="HX128" i="5"/>
  <c r="HY128" i="5"/>
  <c r="HZ128" i="5"/>
  <c r="IA128" i="5"/>
  <c r="IB128" i="5"/>
  <c r="IC128" i="5"/>
  <c r="ID128" i="5"/>
  <c r="IE128" i="5"/>
  <c r="IF128" i="5"/>
  <c r="IG128" i="5"/>
  <c r="IH128" i="5"/>
  <c r="II128" i="5"/>
  <c r="IJ128" i="5"/>
  <c r="IK128" i="5"/>
  <c r="IL128" i="5"/>
  <c r="IM128" i="5"/>
  <c r="IN128" i="5"/>
  <c r="IO128" i="5"/>
  <c r="IP128" i="5"/>
  <c r="IQ128" i="5"/>
  <c r="IR128" i="5"/>
  <c r="IS128" i="5"/>
  <c r="IT128" i="5"/>
  <c r="IU128" i="5"/>
  <c r="IV128" i="5"/>
  <c r="A127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Q127" i="5"/>
  <c r="AR127" i="5"/>
  <c r="AS127" i="5"/>
  <c r="AT127" i="5"/>
  <c r="AU127" i="5"/>
  <c r="AV127" i="5"/>
  <c r="AW127" i="5"/>
  <c r="AX127" i="5"/>
  <c r="AY127" i="5"/>
  <c r="AZ127" i="5"/>
  <c r="BA127" i="5"/>
  <c r="BB127" i="5"/>
  <c r="BC127" i="5"/>
  <c r="BD127" i="5"/>
  <c r="BE127" i="5"/>
  <c r="BF127" i="5"/>
  <c r="BG127" i="5"/>
  <c r="BH127" i="5"/>
  <c r="BI127" i="5"/>
  <c r="BJ127" i="5"/>
  <c r="BK127" i="5"/>
  <c r="BL127" i="5"/>
  <c r="BM127" i="5"/>
  <c r="BN127" i="5"/>
  <c r="BO127" i="5"/>
  <c r="BP127" i="5"/>
  <c r="BQ127" i="5"/>
  <c r="BR127" i="5"/>
  <c r="BS127" i="5"/>
  <c r="BT127" i="5"/>
  <c r="BU127" i="5"/>
  <c r="BV127" i="5"/>
  <c r="BW127" i="5"/>
  <c r="BX127" i="5"/>
  <c r="BY127" i="5"/>
  <c r="BZ127" i="5"/>
  <c r="CA127" i="5"/>
  <c r="CB127" i="5"/>
  <c r="CC127" i="5"/>
  <c r="CD127" i="5"/>
  <c r="CE127" i="5"/>
  <c r="CF127" i="5"/>
  <c r="CG127" i="5"/>
  <c r="CH127" i="5"/>
  <c r="CI127" i="5"/>
  <c r="CJ127" i="5"/>
  <c r="CK127" i="5"/>
  <c r="CL127" i="5"/>
  <c r="CM127" i="5"/>
  <c r="CN127" i="5"/>
  <c r="CO127" i="5"/>
  <c r="CP127" i="5"/>
  <c r="CQ127" i="5"/>
  <c r="CR127" i="5"/>
  <c r="CS127" i="5"/>
  <c r="CT127" i="5"/>
  <c r="CU127" i="5"/>
  <c r="CV127" i="5"/>
  <c r="CW127" i="5"/>
  <c r="CX127" i="5"/>
  <c r="CY127" i="5"/>
  <c r="CZ127" i="5"/>
  <c r="DA127" i="5"/>
  <c r="DB127" i="5"/>
  <c r="DC127" i="5"/>
  <c r="DD127" i="5"/>
  <c r="DE127" i="5"/>
  <c r="DF127" i="5"/>
  <c r="DG127" i="5"/>
  <c r="DH127" i="5"/>
  <c r="DI127" i="5"/>
  <c r="DJ127" i="5"/>
  <c r="DK127" i="5"/>
  <c r="DL127" i="5"/>
  <c r="DM127" i="5"/>
  <c r="DN127" i="5"/>
  <c r="DO127" i="5"/>
  <c r="DP127" i="5"/>
  <c r="DQ127" i="5"/>
  <c r="DR127" i="5"/>
  <c r="DS127" i="5"/>
  <c r="DT127" i="5"/>
  <c r="DU127" i="5"/>
  <c r="DV127" i="5"/>
  <c r="DW127" i="5"/>
  <c r="DX127" i="5"/>
  <c r="DY127" i="5"/>
  <c r="DZ127" i="5"/>
  <c r="EA127" i="5"/>
  <c r="EB127" i="5"/>
  <c r="EC127" i="5"/>
  <c r="ED127" i="5"/>
  <c r="EE127" i="5"/>
  <c r="EF127" i="5"/>
  <c r="EG127" i="5"/>
  <c r="EH127" i="5"/>
  <c r="EI127" i="5"/>
  <c r="EJ127" i="5"/>
  <c r="EK127" i="5"/>
  <c r="EL127" i="5"/>
  <c r="EM127" i="5"/>
  <c r="EN127" i="5"/>
  <c r="EO127" i="5"/>
  <c r="EP127" i="5"/>
  <c r="EQ127" i="5"/>
  <c r="ER127" i="5"/>
  <c r="ES127" i="5"/>
  <c r="ET127" i="5"/>
  <c r="EU127" i="5"/>
  <c r="EV127" i="5"/>
  <c r="EW127" i="5"/>
  <c r="EX127" i="5"/>
  <c r="EY127" i="5"/>
  <c r="EZ127" i="5"/>
  <c r="FA127" i="5"/>
  <c r="FB127" i="5"/>
  <c r="FC127" i="5"/>
  <c r="FD127" i="5"/>
  <c r="FE127" i="5"/>
  <c r="FF127" i="5"/>
  <c r="FG127" i="5"/>
  <c r="FH127" i="5"/>
  <c r="FI127" i="5"/>
  <c r="FJ127" i="5"/>
  <c r="FK127" i="5"/>
  <c r="FL127" i="5"/>
  <c r="FM127" i="5"/>
  <c r="FN127" i="5"/>
  <c r="FO127" i="5"/>
  <c r="FP127" i="5"/>
  <c r="FQ127" i="5"/>
  <c r="FR127" i="5"/>
  <c r="FS127" i="5"/>
  <c r="FT127" i="5"/>
  <c r="FU127" i="5"/>
  <c r="FV127" i="5"/>
  <c r="FW127" i="5"/>
  <c r="FX127" i="5"/>
  <c r="FY127" i="5"/>
  <c r="FZ127" i="5"/>
  <c r="GA127" i="5"/>
  <c r="GB127" i="5"/>
  <c r="GC127" i="5"/>
  <c r="GD127" i="5"/>
  <c r="GE127" i="5"/>
  <c r="GF127" i="5"/>
  <c r="GG127" i="5"/>
  <c r="GH127" i="5"/>
  <c r="GI127" i="5"/>
  <c r="GJ127" i="5"/>
  <c r="GK127" i="5"/>
  <c r="GL127" i="5"/>
  <c r="GM127" i="5"/>
  <c r="GN127" i="5"/>
  <c r="GO127" i="5"/>
  <c r="GP127" i="5"/>
  <c r="GQ127" i="5"/>
  <c r="GR127" i="5"/>
  <c r="GS127" i="5"/>
  <c r="GT127" i="5"/>
  <c r="GU127" i="5"/>
  <c r="GV127" i="5"/>
  <c r="GW127" i="5"/>
  <c r="GX127" i="5"/>
  <c r="GY127" i="5"/>
  <c r="GZ127" i="5"/>
  <c r="HA127" i="5"/>
  <c r="HB127" i="5"/>
  <c r="HC127" i="5"/>
  <c r="HD127" i="5"/>
  <c r="HE127" i="5"/>
  <c r="HF127" i="5"/>
  <c r="HG127" i="5"/>
  <c r="HH127" i="5"/>
  <c r="HI127" i="5"/>
  <c r="HJ127" i="5"/>
  <c r="HK127" i="5"/>
  <c r="HL127" i="5"/>
  <c r="HM127" i="5"/>
  <c r="HN127" i="5"/>
  <c r="HO127" i="5"/>
  <c r="HP127" i="5"/>
  <c r="HQ127" i="5"/>
  <c r="HR127" i="5"/>
  <c r="HS127" i="5"/>
  <c r="HT127" i="5"/>
  <c r="HU127" i="5"/>
  <c r="HV127" i="5"/>
  <c r="HW127" i="5"/>
  <c r="HX127" i="5"/>
  <c r="HY127" i="5"/>
  <c r="HZ127" i="5"/>
  <c r="IA127" i="5"/>
  <c r="IB127" i="5"/>
  <c r="IC127" i="5"/>
  <c r="ID127" i="5"/>
  <c r="IE127" i="5"/>
  <c r="IF127" i="5"/>
  <c r="IG127" i="5"/>
  <c r="IH127" i="5"/>
  <c r="II127" i="5"/>
  <c r="IJ127" i="5"/>
  <c r="IK127" i="5"/>
  <c r="IL127" i="5"/>
  <c r="IM127" i="5"/>
  <c r="IN127" i="5"/>
  <c r="IO127" i="5"/>
  <c r="IP127" i="5"/>
  <c r="IQ127" i="5"/>
  <c r="IR127" i="5"/>
  <c r="IS127" i="5"/>
  <c r="IT127" i="5"/>
  <c r="IU127" i="5"/>
  <c r="IV127" i="5"/>
  <c r="A126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Q126" i="5"/>
  <c r="AR126" i="5"/>
  <c r="AS126" i="5"/>
  <c r="AT126" i="5"/>
  <c r="AU126" i="5"/>
  <c r="AV126" i="5"/>
  <c r="AW126" i="5"/>
  <c r="AX126" i="5"/>
  <c r="AY126" i="5"/>
  <c r="AZ126" i="5"/>
  <c r="BA126" i="5"/>
  <c r="BB126" i="5"/>
  <c r="BC126" i="5"/>
  <c r="BD126" i="5"/>
  <c r="BE126" i="5"/>
  <c r="BF126" i="5"/>
  <c r="BG126" i="5"/>
  <c r="BH126" i="5"/>
  <c r="BI126" i="5"/>
  <c r="BJ126" i="5"/>
  <c r="BK126" i="5"/>
  <c r="BL126" i="5"/>
  <c r="BM126" i="5"/>
  <c r="BN126" i="5"/>
  <c r="BO126" i="5"/>
  <c r="BP126" i="5"/>
  <c r="BQ126" i="5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CP126" i="5"/>
  <c r="CQ126" i="5"/>
  <c r="CR126" i="5"/>
  <c r="CS126" i="5"/>
  <c r="CT126" i="5"/>
  <c r="CU126" i="5"/>
  <c r="CV126" i="5"/>
  <c r="CW126" i="5"/>
  <c r="CX126" i="5"/>
  <c r="CY126" i="5"/>
  <c r="CZ126" i="5"/>
  <c r="DA126" i="5"/>
  <c r="DB126" i="5"/>
  <c r="DC126" i="5"/>
  <c r="DD126" i="5"/>
  <c r="DE126" i="5"/>
  <c r="DF126" i="5"/>
  <c r="DG126" i="5"/>
  <c r="DH126" i="5"/>
  <c r="DI126" i="5"/>
  <c r="DJ126" i="5"/>
  <c r="DK126" i="5"/>
  <c r="DL126" i="5"/>
  <c r="DM126" i="5"/>
  <c r="DN126" i="5"/>
  <c r="DO126" i="5"/>
  <c r="DP126" i="5"/>
  <c r="DQ126" i="5"/>
  <c r="DR126" i="5"/>
  <c r="DS126" i="5"/>
  <c r="DT126" i="5"/>
  <c r="DU126" i="5"/>
  <c r="DV126" i="5"/>
  <c r="DW126" i="5"/>
  <c r="DX126" i="5"/>
  <c r="DY126" i="5"/>
  <c r="DZ126" i="5"/>
  <c r="EA126" i="5"/>
  <c r="EB126" i="5"/>
  <c r="EC126" i="5"/>
  <c r="ED126" i="5"/>
  <c r="EE126" i="5"/>
  <c r="EF126" i="5"/>
  <c r="EG126" i="5"/>
  <c r="EH126" i="5"/>
  <c r="EI126" i="5"/>
  <c r="EJ126" i="5"/>
  <c r="EK126" i="5"/>
  <c r="EL126" i="5"/>
  <c r="EM126" i="5"/>
  <c r="EN126" i="5"/>
  <c r="EO126" i="5"/>
  <c r="EP126" i="5"/>
  <c r="EQ126" i="5"/>
  <c r="ER126" i="5"/>
  <c r="ES126" i="5"/>
  <c r="ET126" i="5"/>
  <c r="EU126" i="5"/>
  <c r="EV126" i="5"/>
  <c r="EW126" i="5"/>
  <c r="EX126" i="5"/>
  <c r="EY126" i="5"/>
  <c r="EZ126" i="5"/>
  <c r="FA126" i="5"/>
  <c r="FB126" i="5"/>
  <c r="FC126" i="5"/>
  <c r="FD126" i="5"/>
  <c r="FE126" i="5"/>
  <c r="FF126" i="5"/>
  <c r="FG126" i="5"/>
  <c r="FH126" i="5"/>
  <c r="FI126" i="5"/>
  <c r="FJ126" i="5"/>
  <c r="FK126" i="5"/>
  <c r="FL126" i="5"/>
  <c r="FM126" i="5"/>
  <c r="FN126" i="5"/>
  <c r="FO126" i="5"/>
  <c r="FP126" i="5"/>
  <c r="FQ126" i="5"/>
  <c r="FR126" i="5"/>
  <c r="FS126" i="5"/>
  <c r="FT126" i="5"/>
  <c r="FU126" i="5"/>
  <c r="FV126" i="5"/>
  <c r="FW126" i="5"/>
  <c r="FX126" i="5"/>
  <c r="FY126" i="5"/>
  <c r="FZ126" i="5"/>
  <c r="GA126" i="5"/>
  <c r="GB126" i="5"/>
  <c r="GC126" i="5"/>
  <c r="GD126" i="5"/>
  <c r="GE126" i="5"/>
  <c r="GF126" i="5"/>
  <c r="GG126" i="5"/>
  <c r="GH126" i="5"/>
  <c r="GI126" i="5"/>
  <c r="GJ126" i="5"/>
  <c r="GK126" i="5"/>
  <c r="GL126" i="5"/>
  <c r="GM126" i="5"/>
  <c r="GN126" i="5"/>
  <c r="GO126" i="5"/>
  <c r="GP126" i="5"/>
  <c r="GQ126" i="5"/>
  <c r="GR126" i="5"/>
  <c r="GS126" i="5"/>
  <c r="GT126" i="5"/>
  <c r="GU126" i="5"/>
  <c r="GV126" i="5"/>
  <c r="GW126" i="5"/>
  <c r="GX126" i="5"/>
  <c r="GY126" i="5"/>
  <c r="GZ126" i="5"/>
  <c r="HA126" i="5"/>
  <c r="HB126" i="5"/>
  <c r="HC126" i="5"/>
  <c r="HD126" i="5"/>
  <c r="HE126" i="5"/>
  <c r="HF126" i="5"/>
  <c r="HG126" i="5"/>
  <c r="HH126" i="5"/>
  <c r="HI126" i="5"/>
  <c r="HJ126" i="5"/>
  <c r="HK126" i="5"/>
  <c r="HL126" i="5"/>
  <c r="HM126" i="5"/>
  <c r="HN126" i="5"/>
  <c r="HO126" i="5"/>
  <c r="HP126" i="5"/>
  <c r="HQ126" i="5"/>
  <c r="HR126" i="5"/>
  <c r="HS126" i="5"/>
  <c r="HT126" i="5"/>
  <c r="HU126" i="5"/>
  <c r="HV126" i="5"/>
  <c r="HW126" i="5"/>
  <c r="HX126" i="5"/>
  <c r="HY126" i="5"/>
  <c r="HZ126" i="5"/>
  <c r="IA126" i="5"/>
  <c r="IB126" i="5"/>
  <c r="IC126" i="5"/>
  <c r="ID126" i="5"/>
  <c r="IE126" i="5"/>
  <c r="IF126" i="5"/>
  <c r="IG126" i="5"/>
  <c r="IH126" i="5"/>
  <c r="II126" i="5"/>
  <c r="IJ126" i="5"/>
  <c r="IK126" i="5"/>
  <c r="IL126" i="5"/>
  <c r="IM126" i="5"/>
  <c r="IN126" i="5"/>
  <c r="IO126" i="5"/>
  <c r="IP126" i="5"/>
  <c r="IQ126" i="5"/>
  <c r="IR126" i="5"/>
  <c r="IS126" i="5"/>
  <c r="IT126" i="5"/>
  <c r="IU126" i="5"/>
  <c r="IV126" i="5"/>
  <c r="A125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Q125" i="5"/>
  <c r="AR125" i="5"/>
  <c r="AS125" i="5"/>
  <c r="AT125" i="5"/>
  <c r="AU125" i="5"/>
  <c r="AV125" i="5"/>
  <c r="AW125" i="5"/>
  <c r="AX125" i="5"/>
  <c r="AY125" i="5"/>
  <c r="AZ125" i="5"/>
  <c r="BA125" i="5"/>
  <c r="BB125" i="5"/>
  <c r="BC125" i="5"/>
  <c r="BD125" i="5"/>
  <c r="BE125" i="5"/>
  <c r="BF125" i="5"/>
  <c r="BG125" i="5"/>
  <c r="BH125" i="5"/>
  <c r="BI125" i="5"/>
  <c r="BJ125" i="5"/>
  <c r="BK125" i="5"/>
  <c r="BL125" i="5"/>
  <c r="BM125" i="5"/>
  <c r="BN125" i="5"/>
  <c r="BO125" i="5"/>
  <c r="BP125" i="5"/>
  <c r="BQ125" i="5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CP125" i="5"/>
  <c r="CQ125" i="5"/>
  <c r="CR125" i="5"/>
  <c r="CS125" i="5"/>
  <c r="CT125" i="5"/>
  <c r="CU125" i="5"/>
  <c r="CV125" i="5"/>
  <c r="CW125" i="5"/>
  <c r="CX125" i="5"/>
  <c r="CY125" i="5"/>
  <c r="CZ125" i="5"/>
  <c r="DA125" i="5"/>
  <c r="DB125" i="5"/>
  <c r="DC125" i="5"/>
  <c r="DD125" i="5"/>
  <c r="DE125" i="5"/>
  <c r="DF125" i="5"/>
  <c r="DG125" i="5"/>
  <c r="DH125" i="5"/>
  <c r="DI125" i="5"/>
  <c r="DJ125" i="5"/>
  <c r="DK125" i="5"/>
  <c r="DL125" i="5"/>
  <c r="DM125" i="5"/>
  <c r="DN125" i="5"/>
  <c r="DO125" i="5"/>
  <c r="DP125" i="5"/>
  <c r="DQ125" i="5"/>
  <c r="DR125" i="5"/>
  <c r="DS125" i="5"/>
  <c r="DT125" i="5"/>
  <c r="DU125" i="5"/>
  <c r="DV125" i="5"/>
  <c r="DW125" i="5"/>
  <c r="DX125" i="5"/>
  <c r="DY125" i="5"/>
  <c r="DZ125" i="5"/>
  <c r="EA125" i="5"/>
  <c r="EB125" i="5"/>
  <c r="EC125" i="5"/>
  <c r="ED125" i="5"/>
  <c r="EE125" i="5"/>
  <c r="EF125" i="5"/>
  <c r="EG125" i="5"/>
  <c r="EH125" i="5"/>
  <c r="EI125" i="5"/>
  <c r="EJ125" i="5"/>
  <c r="EK125" i="5"/>
  <c r="EL125" i="5"/>
  <c r="EM125" i="5"/>
  <c r="EN125" i="5"/>
  <c r="EO125" i="5"/>
  <c r="EP125" i="5"/>
  <c r="EQ125" i="5"/>
  <c r="ER125" i="5"/>
  <c r="ES125" i="5"/>
  <c r="ET125" i="5"/>
  <c r="EU125" i="5"/>
  <c r="EV125" i="5"/>
  <c r="EW125" i="5"/>
  <c r="EX125" i="5"/>
  <c r="EY125" i="5"/>
  <c r="EZ125" i="5"/>
  <c r="FA125" i="5"/>
  <c r="FB125" i="5"/>
  <c r="FC125" i="5"/>
  <c r="FD125" i="5"/>
  <c r="FE125" i="5"/>
  <c r="FF125" i="5"/>
  <c r="FG125" i="5"/>
  <c r="FH125" i="5"/>
  <c r="FI125" i="5"/>
  <c r="FJ125" i="5"/>
  <c r="FK125" i="5"/>
  <c r="FL125" i="5"/>
  <c r="FM125" i="5"/>
  <c r="FN125" i="5"/>
  <c r="FO125" i="5"/>
  <c r="FP125" i="5"/>
  <c r="FQ125" i="5"/>
  <c r="FR125" i="5"/>
  <c r="FS125" i="5"/>
  <c r="FT125" i="5"/>
  <c r="FU125" i="5"/>
  <c r="FV125" i="5"/>
  <c r="FW125" i="5"/>
  <c r="FX125" i="5"/>
  <c r="FY125" i="5"/>
  <c r="FZ125" i="5"/>
  <c r="GA125" i="5"/>
  <c r="GB125" i="5"/>
  <c r="GC125" i="5"/>
  <c r="GD125" i="5"/>
  <c r="GE125" i="5"/>
  <c r="GF125" i="5"/>
  <c r="GG125" i="5"/>
  <c r="GH125" i="5"/>
  <c r="GI125" i="5"/>
  <c r="GJ125" i="5"/>
  <c r="GK125" i="5"/>
  <c r="GL125" i="5"/>
  <c r="GM125" i="5"/>
  <c r="GN125" i="5"/>
  <c r="GO125" i="5"/>
  <c r="GP125" i="5"/>
  <c r="GQ125" i="5"/>
  <c r="GR125" i="5"/>
  <c r="GS125" i="5"/>
  <c r="GT125" i="5"/>
  <c r="GU125" i="5"/>
  <c r="GV125" i="5"/>
  <c r="GW125" i="5"/>
  <c r="GX125" i="5"/>
  <c r="GY125" i="5"/>
  <c r="GZ125" i="5"/>
  <c r="HA125" i="5"/>
  <c r="HB125" i="5"/>
  <c r="HC125" i="5"/>
  <c r="HD125" i="5"/>
  <c r="HE125" i="5"/>
  <c r="HF125" i="5"/>
  <c r="HG125" i="5"/>
  <c r="HH125" i="5"/>
  <c r="HI125" i="5"/>
  <c r="HJ125" i="5"/>
  <c r="HK125" i="5"/>
  <c r="HL125" i="5"/>
  <c r="HM125" i="5"/>
  <c r="HN125" i="5"/>
  <c r="HO125" i="5"/>
  <c r="HP125" i="5"/>
  <c r="HQ125" i="5"/>
  <c r="HR125" i="5"/>
  <c r="HS125" i="5"/>
  <c r="HT125" i="5"/>
  <c r="HU125" i="5"/>
  <c r="HV125" i="5"/>
  <c r="HW125" i="5"/>
  <c r="HX125" i="5"/>
  <c r="HY125" i="5"/>
  <c r="HZ125" i="5"/>
  <c r="IA125" i="5"/>
  <c r="IB125" i="5"/>
  <c r="IC125" i="5"/>
  <c r="ID125" i="5"/>
  <c r="IE125" i="5"/>
  <c r="IF125" i="5"/>
  <c r="IG125" i="5"/>
  <c r="IH125" i="5"/>
  <c r="II125" i="5"/>
  <c r="IJ125" i="5"/>
  <c r="IK125" i="5"/>
  <c r="IL125" i="5"/>
  <c r="IM125" i="5"/>
  <c r="IN125" i="5"/>
  <c r="IO125" i="5"/>
  <c r="IP125" i="5"/>
  <c r="IQ125" i="5"/>
  <c r="IR125" i="5"/>
  <c r="IS125" i="5"/>
  <c r="IT125" i="5"/>
  <c r="IU125" i="5"/>
  <c r="IV125" i="5"/>
  <c r="A124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Q124" i="5"/>
  <c r="AR124" i="5"/>
  <c r="AS124" i="5"/>
  <c r="AT124" i="5"/>
  <c r="AU124" i="5"/>
  <c r="AV124" i="5"/>
  <c r="AW124" i="5"/>
  <c r="AX124" i="5"/>
  <c r="AY124" i="5"/>
  <c r="AZ124" i="5"/>
  <c r="BA124" i="5"/>
  <c r="BB124" i="5"/>
  <c r="BC124" i="5"/>
  <c r="BD124" i="5"/>
  <c r="BE124" i="5"/>
  <c r="BF124" i="5"/>
  <c r="BG124" i="5"/>
  <c r="BH124" i="5"/>
  <c r="BI124" i="5"/>
  <c r="BJ124" i="5"/>
  <c r="BK124" i="5"/>
  <c r="BL124" i="5"/>
  <c r="BM124" i="5"/>
  <c r="BN124" i="5"/>
  <c r="BO124" i="5"/>
  <c r="BP124" i="5"/>
  <c r="BQ124" i="5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CP124" i="5"/>
  <c r="CQ124" i="5"/>
  <c r="CR124" i="5"/>
  <c r="CS124" i="5"/>
  <c r="CT124" i="5"/>
  <c r="CU124" i="5"/>
  <c r="CV124" i="5"/>
  <c r="CW124" i="5"/>
  <c r="CX124" i="5"/>
  <c r="CY124" i="5"/>
  <c r="CZ124" i="5"/>
  <c r="DA124" i="5"/>
  <c r="DB124" i="5"/>
  <c r="DC124" i="5"/>
  <c r="DD124" i="5"/>
  <c r="DE124" i="5"/>
  <c r="DF124" i="5"/>
  <c r="DG124" i="5"/>
  <c r="DH124" i="5"/>
  <c r="DI124" i="5"/>
  <c r="DJ124" i="5"/>
  <c r="DK124" i="5"/>
  <c r="DL124" i="5"/>
  <c r="DM124" i="5"/>
  <c r="DN124" i="5"/>
  <c r="DO124" i="5"/>
  <c r="DP124" i="5"/>
  <c r="DQ124" i="5"/>
  <c r="DR124" i="5"/>
  <c r="DS124" i="5"/>
  <c r="DT124" i="5"/>
  <c r="DU124" i="5"/>
  <c r="DV124" i="5"/>
  <c r="DW124" i="5"/>
  <c r="DX124" i="5"/>
  <c r="DY124" i="5"/>
  <c r="DZ124" i="5"/>
  <c r="EA124" i="5"/>
  <c r="EB124" i="5"/>
  <c r="EC124" i="5"/>
  <c r="ED124" i="5"/>
  <c r="EE124" i="5"/>
  <c r="EF124" i="5"/>
  <c r="EG124" i="5"/>
  <c r="EH124" i="5"/>
  <c r="EI124" i="5"/>
  <c r="EJ124" i="5"/>
  <c r="EK124" i="5"/>
  <c r="EL124" i="5"/>
  <c r="EM124" i="5"/>
  <c r="EN124" i="5"/>
  <c r="EO124" i="5"/>
  <c r="EP124" i="5"/>
  <c r="EQ124" i="5"/>
  <c r="ER124" i="5"/>
  <c r="ES124" i="5"/>
  <c r="ET124" i="5"/>
  <c r="EU124" i="5"/>
  <c r="EV124" i="5"/>
  <c r="EW124" i="5"/>
  <c r="EX124" i="5"/>
  <c r="EY124" i="5"/>
  <c r="EZ124" i="5"/>
  <c r="FA124" i="5"/>
  <c r="FB124" i="5"/>
  <c r="FC124" i="5"/>
  <c r="FD124" i="5"/>
  <c r="FE124" i="5"/>
  <c r="FF124" i="5"/>
  <c r="FG124" i="5"/>
  <c r="FH124" i="5"/>
  <c r="FI124" i="5"/>
  <c r="FJ124" i="5"/>
  <c r="FK124" i="5"/>
  <c r="FL124" i="5"/>
  <c r="FM124" i="5"/>
  <c r="FN124" i="5"/>
  <c r="FO124" i="5"/>
  <c r="FP124" i="5"/>
  <c r="FQ124" i="5"/>
  <c r="FR124" i="5"/>
  <c r="FS124" i="5"/>
  <c r="FT124" i="5"/>
  <c r="FU124" i="5"/>
  <c r="FV124" i="5"/>
  <c r="FW124" i="5"/>
  <c r="FX124" i="5"/>
  <c r="FY124" i="5"/>
  <c r="FZ124" i="5"/>
  <c r="GA124" i="5"/>
  <c r="GB124" i="5"/>
  <c r="GC124" i="5"/>
  <c r="GD124" i="5"/>
  <c r="GE124" i="5"/>
  <c r="GF124" i="5"/>
  <c r="GG124" i="5"/>
  <c r="GH124" i="5"/>
  <c r="GI124" i="5"/>
  <c r="GJ124" i="5"/>
  <c r="GK124" i="5"/>
  <c r="GL124" i="5"/>
  <c r="GM124" i="5"/>
  <c r="GN124" i="5"/>
  <c r="GO124" i="5"/>
  <c r="GP124" i="5"/>
  <c r="GQ124" i="5"/>
  <c r="GR124" i="5"/>
  <c r="GS124" i="5"/>
  <c r="GT124" i="5"/>
  <c r="GU124" i="5"/>
  <c r="GV124" i="5"/>
  <c r="GW124" i="5"/>
  <c r="GX124" i="5"/>
  <c r="GY124" i="5"/>
  <c r="GZ124" i="5"/>
  <c r="HA124" i="5"/>
  <c r="HB124" i="5"/>
  <c r="HC124" i="5"/>
  <c r="HD124" i="5"/>
  <c r="HE124" i="5"/>
  <c r="HF124" i="5"/>
  <c r="HG124" i="5"/>
  <c r="HH124" i="5"/>
  <c r="HI124" i="5"/>
  <c r="HJ124" i="5"/>
  <c r="HK124" i="5"/>
  <c r="HL124" i="5"/>
  <c r="HM124" i="5"/>
  <c r="HN124" i="5"/>
  <c r="HO124" i="5"/>
  <c r="HP124" i="5"/>
  <c r="HQ124" i="5"/>
  <c r="HR124" i="5"/>
  <c r="HS124" i="5"/>
  <c r="HT124" i="5"/>
  <c r="HU124" i="5"/>
  <c r="HV124" i="5"/>
  <c r="HW124" i="5"/>
  <c r="HX124" i="5"/>
  <c r="HY124" i="5"/>
  <c r="HZ124" i="5"/>
  <c r="IA124" i="5"/>
  <c r="IB124" i="5"/>
  <c r="IC124" i="5"/>
  <c r="ID124" i="5"/>
  <c r="IE124" i="5"/>
  <c r="IF124" i="5"/>
  <c r="IG124" i="5"/>
  <c r="IH124" i="5"/>
  <c r="II124" i="5"/>
  <c r="IJ124" i="5"/>
  <c r="IK124" i="5"/>
  <c r="IL124" i="5"/>
  <c r="IM124" i="5"/>
  <c r="IN124" i="5"/>
  <c r="IO124" i="5"/>
  <c r="IP124" i="5"/>
  <c r="IQ124" i="5"/>
  <c r="IR124" i="5"/>
  <c r="IS124" i="5"/>
  <c r="IT124" i="5"/>
  <c r="IU124" i="5"/>
  <c r="IV124" i="5"/>
  <c r="A123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Q123" i="5"/>
  <c r="AR123" i="5"/>
  <c r="AS123" i="5"/>
  <c r="AT123" i="5"/>
  <c r="AU123" i="5"/>
  <c r="AV123" i="5"/>
  <c r="AW123" i="5"/>
  <c r="AX123" i="5"/>
  <c r="AY123" i="5"/>
  <c r="AZ123" i="5"/>
  <c r="BA123" i="5"/>
  <c r="BB123" i="5"/>
  <c r="BC123" i="5"/>
  <c r="BD123" i="5"/>
  <c r="BE123" i="5"/>
  <c r="BF123" i="5"/>
  <c r="BG123" i="5"/>
  <c r="BH123" i="5"/>
  <c r="BI123" i="5"/>
  <c r="BJ123" i="5"/>
  <c r="BK123" i="5"/>
  <c r="BL123" i="5"/>
  <c r="BM123" i="5"/>
  <c r="BN123" i="5"/>
  <c r="BO123" i="5"/>
  <c r="BP123" i="5"/>
  <c r="BQ123" i="5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CP123" i="5"/>
  <c r="CQ123" i="5"/>
  <c r="CR123" i="5"/>
  <c r="CS123" i="5"/>
  <c r="CT123" i="5"/>
  <c r="CU123" i="5"/>
  <c r="CV123" i="5"/>
  <c r="CW123" i="5"/>
  <c r="CX123" i="5"/>
  <c r="CY123" i="5"/>
  <c r="CZ123" i="5"/>
  <c r="DA123" i="5"/>
  <c r="DB123" i="5"/>
  <c r="DC123" i="5"/>
  <c r="DD123" i="5"/>
  <c r="DE123" i="5"/>
  <c r="DF123" i="5"/>
  <c r="DG123" i="5"/>
  <c r="DH123" i="5"/>
  <c r="DI123" i="5"/>
  <c r="DJ123" i="5"/>
  <c r="DK123" i="5"/>
  <c r="DL123" i="5"/>
  <c r="DM123" i="5"/>
  <c r="DN123" i="5"/>
  <c r="DO123" i="5"/>
  <c r="DP123" i="5"/>
  <c r="DQ123" i="5"/>
  <c r="DR123" i="5"/>
  <c r="DS123" i="5"/>
  <c r="DT123" i="5"/>
  <c r="DU123" i="5"/>
  <c r="DV123" i="5"/>
  <c r="DW123" i="5"/>
  <c r="DX123" i="5"/>
  <c r="DY123" i="5"/>
  <c r="DZ123" i="5"/>
  <c r="EA123" i="5"/>
  <c r="EB123" i="5"/>
  <c r="EC123" i="5"/>
  <c r="ED123" i="5"/>
  <c r="EE123" i="5"/>
  <c r="EF123" i="5"/>
  <c r="EG123" i="5"/>
  <c r="EH123" i="5"/>
  <c r="EI123" i="5"/>
  <c r="EJ123" i="5"/>
  <c r="EK123" i="5"/>
  <c r="EL123" i="5"/>
  <c r="EM123" i="5"/>
  <c r="EN123" i="5"/>
  <c r="EO123" i="5"/>
  <c r="EP123" i="5"/>
  <c r="EQ123" i="5"/>
  <c r="ER123" i="5"/>
  <c r="ES123" i="5"/>
  <c r="ET123" i="5"/>
  <c r="EU123" i="5"/>
  <c r="EV123" i="5"/>
  <c r="EW123" i="5"/>
  <c r="EX123" i="5"/>
  <c r="EY123" i="5"/>
  <c r="EZ123" i="5"/>
  <c r="FA123" i="5"/>
  <c r="FB123" i="5"/>
  <c r="FC123" i="5"/>
  <c r="FD123" i="5"/>
  <c r="FE123" i="5"/>
  <c r="FF123" i="5"/>
  <c r="FG123" i="5"/>
  <c r="FH123" i="5"/>
  <c r="FI123" i="5"/>
  <c r="FJ123" i="5"/>
  <c r="FK123" i="5"/>
  <c r="FL123" i="5"/>
  <c r="FM123" i="5"/>
  <c r="FN123" i="5"/>
  <c r="FO123" i="5"/>
  <c r="FP123" i="5"/>
  <c r="FQ123" i="5"/>
  <c r="FR123" i="5"/>
  <c r="FS123" i="5"/>
  <c r="FT123" i="5"/>
  <c r="FU123" i="5"/>
  <c r="FV123" i="5"/>
  <c r="FW123" i="5"/>
  <c r="FX123" i="5"/>
  <c r="FY123" i="5"/>
  <c r="FZ123" i="5"/>
  <c r="GA123" i="5"/>
  <c r="GB123" i="5"/>
  <c r="GC123" i="5"/>
  <c r="GD123" i="5"/>
  <c r="GE123" i="5"/>
  <c r="GF123" i="5"/>
  <c r="GG123" i="5"/>
  <c r="GH123" i="5"/>
  <c r="GI123" i="5"/>
  <c r="GJ123" i="5"/>
  <c r="GK123" i="5"/>
  <c r="GL123" i="5"/>
  <c r="GM123" i="5"/>
  <c r="GN123" i="5"/>
  <c r="GO123" i="5"/>
  <c r="GP123" i="5"/>
  <c r="GQ123" i="5"/>
  <c r="GR123" i="5"/>
  <c r="GS123" i="5"/>
  <c r="GT123" i="5"/>
  <c r="GU123" i="5"/>
  <c r="GV123" i="5"/>
  <c r="GW123" i="5"/>
  <c r="GX123" i="5"/>
  <c r="GY123" i="5"/>
  <c r="GZ123" i="5"/>
  <c r="HA123" i="5"/>
  <c r="HB123" i="5"/>
  <c r="HC123" i="5"/>
  <c r="HD123" i="5"/>
  <c r="HE123" i="5"/>
  <c r="HF123" i="5"/>
  <c r="HG123" i="5"/>
  <c r="HH123" i="5"/>
  <c r="HI123" i="5"/>
  <c r="HJ123" i="5"/>
  <c r="HK123" i="5"/>
  <c r="HL123" i="5"/>
  <c r="HM123" i="5"/>
  <c r="HN123" i="5"/>
  <c r="HO123" i="5"/>
  <c r="HP123" i="5"/>
  <c r="HQ123" i="5"/>
  <c r="HR123" i="5"/>
  <c r="HS123" i="5"/>
  <c r="HT123" i="5"/>
  <c r="HU123" i="5"/>
  <c r="HV123" i="5"/>
  <c r="HW123" i="5"/>
  <c r="HX123" i="5"/>
  <c r="HY123" i="5"/>
  <c r="HZ123" i="5"/>
  <c r="IA123" i="5"/>
  <c r="IB123" i="5"/>
  <c r="IC123" i="5"/>
  <c r="ID123" i="5"/>
  <c r="IE123" i="5"/>
  <c r="IF123" i="5"/>
  <c r="IG123" i="5"/>
  <c r="IH123" i="5"/>
  <c r="II123" i="5"/>
  <c r="IJ123" i="5"/>
  <c r="IK123" i="5"/>
  <c r="IL123" i="5"/>
  <c r="IM123" i="5"/>
  <c r="IN123" i="5"/>
  <c r="IO123" i="5"/>
  <c r="IP123" i="5"/>
  <c r="IQ123" i="5"/>
  <c r="IR123" i="5"/>
  <c r="IS123" i="5"/>
  <c r="IT123" i="5"/>
  <c r="IU123" i="5"/>
  <c r="IV123" i="5"/>
  <c r="A122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Q122" i="5"/>
  <c r="AR122" i="5"/>
  <c r="AS122" i="5"/>
  <c r="AT122" i="5"/>
  <c r="AU122" i="5"/>
  <c r="AV122" i="5"/>
  <c r="AW122" i="5"/>
  <c r="AX122" i="5"/>
  <c r="AY122" i="5"/>
  <c r="AZ122" i="5"/>
  <c r="BA122" i="5"/>
  <c r="BB122" i="5"/>
  <c r="BC122" i="5"/>
  <c r="BD122" i="5"/>
  <c r="BE122" i="5"/>
  <c r="BF122" i="5"/>
  <c r="BG122" i="5"/>
  <c r="BH122" i="5"/>
  <c r="BI122" i="5"/>
  <c r="BJ122" i="5"/>
  <c r="BK122" i="5"/>
  <c r="BL122" i="5"/>
  <c r="BM122" i="5"/>
  <c r="BN122" i="5"/>
  <c r="BO122" i="5"/>
  <c r="BP122" i="5"/>
  <c r="BQ122" i="5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CP122" i="5"/>
  <c r="CQ122" i="5"/>
  <c r="CR122" i="5"/>
  <c r="CS122" i="5"/>
  <c r="CT122" i="5"/>
  <c r="CU122" i="5"/>
  <c r="CV122" i="5"/>
  <c r="CW122" i="5"/>
  <c r="CX122" i="5"/>
  <c r="CY122" i="5"/>
  <c r="CZ122" i="5"/>
  <c r="DA122" i="5"/>
  <c r="DB122" i="5"/>
  <c r="DC122" i="5"/>
  <c r="DD122" i="5"/>
  <c r="DE122" i="5"/>
  <c r="DF122" i="5"/>
  <c r="DG122" i="5"/>
  <c r="DH122" i="5"/>
  <c r="DI122" i="5"/>
  <c r="DJ122" i="5"/>
  <c r="DK122" i="5"/>
  <c r="DL122" i="5"/>
  <c r="DM122" i="5"/>
  <c r="DN122" i="5"/>
  <c r="DO122" i="5"/>
  <c r="DP122" i="5"/>
  <c r="DQ122" i="5"/>
  <c r="DR122" i="5"/>
  <c r="DS122" i="5"/>
  <c r="DT122" i="5"/>
  <c r="DU122" i="5"/>
  <c r="DV122" i="5"/>
  <c r="DW122" i="5"/>
  <c r="DX122" i="5"/>
  <c r="DY122" i="5"/>
  <c r="DZ122" i="5"/>
  <c r="EA122" i="5"/>
  <c r="EB122" i="5"/>
  <c r="EC122" i="5"/>
  <c r="ED122" i="5"/>
  <c r="EE122" i="5"/>
  <c r="EF122" i="5"/>
  <c r="EG122" i="5"/>
  <c r="EH122" i="5"/>
  <c r="EI122" i="5"/>
  <c r="EJ122" i="5"/>
  <c r="EK122" i="5"/>
  <c r="EL122" i="5"/>
  <c r="EM122" i="5"/>
  <c r="EN122" i="5"/>
  <c r="EO122" i="5"/>
  <c r="EP122" i="5"/>
  <c r="EQ122" i="5"/>
  <c r="ER122" i="5"/>
  <c r="ES122" i="5"/>
  <c r="ET122" i="5"/>
  <c r="EU122" i="5"/>
  <c r="EV122" i="5"/>
  <c r="EW122" i="5"/>
  <c r="EX122" i="5"/>
  <c r="EY122" i="5"/>
  <c r="EZ122" i="5"/>
  <c r="FA122" i="5"/>
  <c r="FB122" i="5"/>
  <c r="FC122" i="5"/>
  <c r="FD122" i="5"/>
  <c r="FE122" i="5"/>
  <c r="FF122" i="5"/>
  <c r="FG122" i="5"/>
  <c r="FH122" i="5"/>
  <c r="FI122" i="5"/>
  <c r="FJ122" i="5"/>
  <c r="FK122" i="5"/>
  <c r="FL122" i="5"/>
  <c r="FM122" i="5"/>
  <c r="FN122" i="5"/>
  <c r="FO122" i="5"/>
  <c r="FP122" i="5"/>
  <c r="FQ122" i="5"/>
  <c r="FR122" i="5"/>
  <c r="FS122" i="5"/>
  <c r="FT122" i="5"/>
  <c r="FU122" i="5"/>
  <c r="FV122" i="5"/>
  <c r="FW122" i="5"/>
  <c r="FX122" i="5"/>
  <c r="FY122" i="5"/>
  <c r="FZ122" i="5"/>
  <c r="GA122" i="5"/>
  <c r="GB122" i="5"/>
  <c r="GC122" i="5"/>
  <c r="GD122" i="5"/>
  <c r="GE122" i="5"/>
  <c r="GF122" i="5"/>
  <c r="GG122" i="5"/>
  <c r="GH122" i="5"/>
  <c r="GI122" i="5"/>
  <c r="GJ122" i="5"/>
  <c r="GK122" i="5"/>
  <c r="GL122" i="5"/>
  <c r="GM122" i="5"/>
  <c r="GN122" i="5"/>
  <c r="GO122" i="5"/>
  <c r="GP122" i="5"/>
  <c r="GQ122" i="5"/>
  <c r="GR122" i="5"/>
  <c r="GS122" i="5"/>
  <c r="GT122" i="5"/>
  <c r="GU122" i="5"/>
  <c r="GV122" i="5"/>
  <c r="GW122" i="5"/>
  <c r="GX122" i="5"/>
  <c r="GY122" i="5"/>
  <c r="GZ122" i="5"/>
  <c r="HA122" i="5"/>
  <c r="HB122" i="5"/>
  <c r="HC122" i="5"/>
  <c r="HD122" i="5"/>
  <c r="HE122" i="5"/>
  <c r="HF122" i="5"/>
  <c r="HG122" i="5"/>
  <c r="HH122" i="5"/>
  <c r="HI122" i="5"/>
  <c r="HJ122" i="5"/>
  <c r="HK122" i="5"/>
  <c r="HL122" i="5"/>
  <c r="HM122" i="5"/>
  <c r="HN122" i="5"/>
  <c r="HO122" i="5"/>
  <c r="HP122" i="5"/>
  <c r="HQ122" i="5"/>
  <c r="HR122" i="5"/>
  <c r="HS122" i="5"/>
  <c r="HT122" i="5"/>
  <c r="HU122" i="5"/>
  <c r="HV122" i="5"/>
  <c r="HW122" i="5"/>
  <c r="HX122" i="5"/>
  <c r="HY122" i="5"/>
  <c r="HZ122" i="5"/>
  <c r="IA122" i="5"/>
  <c r="IB122" i="5"/>
  <c r="IC122" i="5"/>
  <c r="ID122" i="5"/>
  <c r="IE122" i="5"/>
  <c r="IF122" i="5"/>
  <c r="IG122" i="5"/>
  <c r="IH122" i="5"/>
  <c r="II122" i="5"/>
  <c r="IJ122" i="5"/>
  <c r="IK122" i="5"/>
  <c r="IL122" i="5"/>
  <c r="IM122" i="5"/>
  <c r="IN122" i="5"/>
  <c r="IO122" i="5"/>
  <c r="IP122" i="5"/>
  <c r="IQ122" i="5"/>
  <c r="IR122" i="5"/>
  <c r="IS122" i="5"/>
  <c r="IT122" i="5"/>
  <c r="IU122" i="5"/>
  <c r="IV122" i="5"/>
  <c r="A121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Q121" i="5"/>
  <c r="AR121" i="5"/>
  <c r="AS121" i="5"/>
  <c r="AT121" i="5"/>
  <c r="AU121" i="5"/>
  <c r="AV121" i="5"/>
  <c r="AW121" i="5"/>
  <c r="AX121" i="5"/>
  <c r="AY121" i="5"/>
  <c r="AZ121" i="5"/>
  <c r="BA121" i="5"/>
  <c r="BB121" i="5"/>
  <c r="BC121" i="5"/>
  <c r="BD121" i="5"/>
  <c r="BE121" i="5"/>
  <c r="BF121" i="5"/>
  <c r="BG121" i="5"/>
  <c r="BH121" i="5"/>
  <c r="BI121" i="5"/>
  <c r="BJ121" i="5"/>
  <c r="BK121" i="5"/>
  <c r="BL121" i="5"/>
  <c r="BM121" i="5"/>
  <c r="BN121" i="5"/>
  <c r="BO121" i="5"/>
  <c r="BP121" i="5"/>
  <c r="BQ121" i="5"/>
  <c r="BR121" i="5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CP121" i="5"/>
  <c r="CQ121" i="5"/>
  <c r="CR121" i="5"/>
  <c r="CS121" i="5"/>
  <c r="CT121" i="5"/>
  <c r="CU121" i="5"/>
  <c r="CV121" i="5"/>
  <c r="CW121" i="5"/>
  <c r="CX121" i="5"/>
  <c r="CY121" i="5"/>
  <c r="CZ121" i="5"/>
  <c r="DA121" i="5"/>
  <c r="DB121" i="5"/>
  <c r="DC121" i="5"/>
  <c r="DD121" i="5"/>
  <c r="DE121" i="5"/>
  <c r="DF121" i="5"/>
  <c r="DG121" i="5"/>
  <c r="DH121" i="5"/>
  <c r="DI121" i="5"/>
  <c r="DJ121" i="5"/>
  <c r="DK121" i="5"/>
  <c r="DL121" i="5"/>
  <c r="DM121" i="5"/>
  <c r="DN121" i="5"/>
  <c r="DO121" i="5"/>
  <c r="DP121" i="5"/>
  <c r="DQ121" i="5"/>
  <c r="DR121" i="5"/>
  <c r="DS121" i="5"/>
  <c r="DT121" i="5"/>
  <c r="DU121" i="5"/>
  <c r="DV121" i="5"/>
  <c r="DW121" i="5"/>
  <c r="DX121" i="5"/>
  <c r="DY121" i="5"/>
  <c r="DZ121" i="5"/>
  <c r="EA121" i="5"/>
  <c r="EB121" i="5"/>
  <c r="EC121" i="5"/>
  <c r="ED121" i="5"/>
  <c r="EE121" i="5"/>
  <c r="EF121" i="5"/>
  <c r="EG121" i="5"/>
  <c r="EH121" i="5"/>
  <c r="EI121" i="5"/>
  <c r="EJ121" i="5"/>
  <c r="EK121" i="5"/>
  <c r="EL121" i="5"/>
  <c r="EM121" i="5"/>
  <c r="EN121" i="5"/>
  <c r="EO121" i="5"/>
  <c r="EP121" i="5"/>
  <c r="EQ121" i="5"/>
  <c r="ER121" i="5"/>
  <c r="ES121" i="5"/>
  <c r="ET121" i="5"/>
  <c r="EU121" i="5"/>
  <c r="EV121" i="5"/>
  <c r="EW121" i="5"/>
  <c r="EX121" i="5"/>
  <c r="EY121" i="5"/>
  <c r="EZ121" i="5"/>
  <c r="FA121" i="5"/>
  <c r="FB121" i="5"/>
  <c r="FC121" i="5"/>
  <c r="FD121" i="5"/>
  <c r="FE121" i="5"/>
  <c r="FF121" i="5"/>
  <c r="FG121" i="5"/>
  <c r="FH121" i="5"/>
  <c r="FI121" i="5"/>
  <c r="FJ121" i="5"/>
  <c r="FK121" i="5"/>
  <c r="FL121" i="5"/>
  <c r="FM121" i="5"/>
  <c r="FN121" i="5"/>
  <c r="FO121" i="5"/>
  <c r="FP121" i="5"/>
  <c r="FQ121" i="5"/>
  <c r="FR121" i="5"/>
  <c r="FS121" i="5"/>
  <c r="FT121" i="5"/>
  <c r="FU121" i="5"/>
  <c r="FV121" i="5"/>
  <c r="FW121" i="5"/>
  <c r="FX121" i="5"/>
  <c r="FY121" i="5"/>
  <c r="FZ121" i="5"/>
  <c r="GA121" i="5"/>
  <c r="GB121" i="5"/>
  <c r="GC121" i="5"/>
  <c r="GD121" i="5"/>
  <c r="GE121" i="5"/>
  <c r="GF121" i="5"/>
  <c r="GG121" i="5"/>
  <c r="GH121" i="5"/>
  <c r="GI121" i="5"/>
  <c r="GJ121" i="5"/>
  <c r="GK121" i="5"/>
  <c r="GL121" i="5"/>
  <c r="GM121" i="5"/>
  <c r="GN121" i="5"/>
  <c r="GO121" i="5"/>
  <c r="GP121" i="5"/>
  <c r="GQ121" i="5"/>
  <c r="GR121" i="5"/>
  <c r="GS121" i="5"/>
  <c r="GT121" i="5"/>
  <c r="GU121" i="5"/>
  <c r="GV121" i="5"/>
  <c r="GW121" i="5"/>
  <c r="GX121" i="5"/>
  <c r="GY121" i="5"/>
  <c r="GZ121" i="5"/>
  <c r="HA121" i="5"/>
  <c r="HB121" i="5"/>
  <c r="HC121" i="5"/>
  <c r="HD121" i="5"/>
  <c r="HE121" i="5"/>
  <c r="HF121" i="5"/>
  <c r="HG121" i="5"/>
  <c r="HH121" i="5"/>
  <c r="HI121" i="5"/>
  <c r="HJ121" i="5"/>
  <c r="HK121" i="5"/>
  <c r="HL121" i="5"/>
  <c r="HM121" i="5"/>
  <c r="HN121" i="5"/>
  <c r="HO121" i="5"/>
  <c r="HP121" i="5"/>
  <c r="HQ121" i="5"/>
  <c r="HR121" i="5"/>
  <c r="HS121" i="5"/>
  <c r="HT121" i="5"/>
  <c r="HU121" i="5"/>
  <c r="HV121" i="5"/>
  <c r="HW121" i="5"/>
  <c r="HX121" i="5"/>
  <c r="HY121" i="5"/>
  <c r="HZ121" i="5"/>
  <c r="IA121" i="5"/>
  <c r="IB121" i="5"/>
  <c r="IC121" i="5"/>
  <c r="ID121" i="5"/>
  <c r="IE121" i="5"/>
  <c r="IF121" i="5"/>
  <c r="IG121" i="5"/>
  <c r="IH121" i="5"/>
  <c r="II121" i="5"/>
  <c r="IJ121" i="5"/>
  <c r="IK121" i="5"/>
  <c r="IL121" i="5"/>
  <c r="IM121" i="5"/>
  <c r="IN121" i="5"/>
  <c r="IO121" i="5"/>
  <c r="IP121" i="5"/>
  <c r="IQ121" i="5"/>
  <c r="IR121" i="5"/>
  <c r="IS121" i="5"/>
  <c r="IT121" i="5"/>
  <c r="IU121" i="5"/>
  <c r="IV121" i="5"/>
  <c r="A120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Q120" i="5"/>
  <c r="AR120" i="5"/>
  <c r="AS120" i="5"/>
  <c r="AT120" i="5"/>
  <c r="AU120" i="5"/>
  <c r="AV120" i="5"/>
  <c r="AW120" i="5"/>
  <c r="AX120" i="5"/>
  <c r="AY120" i="5"/>
  <c r="AZ120" i="5"/>
  <c r="BA120" i="5"/>
  <c r="BB120" i="5"/>
  <c r="BC120" i="5"/>
  <c r="BD120" i="5"/>
  <c r="BE120" i="5"/>
  <c r="BF120" i="5"/>
  <c r="BG120" i="5"/>
  <c r="BH120" i="5"/>
  <c r="BI120" i="5"/>
  <c r="BJ120" i="5"/>
  <c r="BK120" i="5"/>
  <c r="BL120" i="5"/>
  <c r="BM120" i="5"/>
  <c r="BN120" i="5"/>
  <c r="BO120" i="5"/>
  <c r="BP120" i="5"/>
  <c r="BQ120" i="5"/>
  <c r="BR120" i="5"/>
  <c r="BS120" i="5"/>
  <c r="BT120" i="5"/>
  <c r="BU120" i="5"/>
  <c r="BV120" i="5"/>
  <c r="BW120" i="5"/>
  <c r="BX120" i="5"/>
  <c r="BY120" i="5"/>
  <c r="BZ120" i="5"/>
  <c r="CA120" i="5"/>
  <c r="CB120" i="5"/>
  <c r="CC120" i="5"/>
  <c r="CD120" i="5"/>
  <c r="CE120" i="5"/>
  <c r="CF120" i="5"/>
  <c r="CG120" i="5"/>
  <c r="CH120" i="5"/>
  <c r="CI120" i="5"/>
  <c r="CJ120" i="5"/>
  <c r="CK120" i="5"/>
  <c r="CL120" i="5"/>
  <c r="CM120" i="5"/>
  <c r="CN120" i="5"/>
  <c r="CO120" i="5"/>
  <c r="CP120" i="5"/>
  <c r="CQ120" i="5"/>
  <c r="CR120" i="5"/>
  <c r="CS120" i="5"/>
  <c r="CT120" i="5"/>
  <c r="CU120" i="5"/>
  <c r="CV120" i="5"/>
  <c r="CW120" i="5"/>
  <c r="CX120" i="5"/>
  <c r="CY120" i="5"/>
  <c r="CZ120" i="5"/>
  <c r="DA120" i="5"/>
  <c r="DB120" i="5"/>
  <c r="DC120" i="5"/>
  <c r="DD120" i="5"/>
  <c r="DE120" i="5"/>
  <c r="DF120" i="5"/>
  <c r="DG120" i="5"/>
  <c r="DH120" i="5"/>
  <c r="DI120" i="5"/>
  <c r="DJ120" i="5"/>
  <c r="DK120" i="5"/>
  <c r="DL120" i="5"/>
  <c r="DM120" i="5"/>
  <c r="DN120" i="5"/>
  <c r="DO120" i="5"/>
  <c r="DP120" i="5"/>
  <c r="DQ120" i="5"/>
  <c r="DR120" i="5"/>
  <c r="DS120" i="5"/>
  <c r="DT120" i="5"/>
  <c r="DU120" i="5"/>
  <c r="DV120" i="5"/>
  <c r="DW120" i="5"/>
  <c r="DX120" i="5"/>
  <c r="DY120" i="5"/>
  <c r="DZ120" i="5"/>
  <c r="EA120" i="5"/>
  <c r="EB120" i="5"/>
  <c r="EC120" i="5"/>
  <c r="ED120" i="5"/>
  <c r="EE120" i="5"/>
  <c r="EF120" i="5"/>
  <c r="EG120" i="5"/>
  <c r="EH120" i="5"/>
  <c r="EI120" i="5"/>
  <c r="EJ120" i="5"/>
  <c r="EK120" i="5"/>
  <c r="EL120" i="5"/>
  <c r="EM120" i="5"/>
  <c r="EN120" i="5"/>
  <c r="EO120" i="5"/>
  <c r="EP120" i="5"/>
  <c r="EQ120" i="5"/>
  <c r="ER120" i="5"/>
  <c r="ES120" i="5"/>
  <c r="ET120" i="5"/>
  <c r="EU120" i="5"/>
  <c r="EV120" i="5"/>
  <c r="EW120" i="5"/>
  <c r="EX120" i="5"/>
  <c r="EY120" i="5"/>
  <c r="EZ120" i="5"/>
  <c r="FA120" i="5"/>
  <c r="FB120" i="5"/>
  <c r="FC120" i="5"/>
  <c r="FD120" i="5"/>
  <c r="FE120" i="5"/>
  <c r="FF120" i="5"/>
  <c r="FG120" i="5"/>
  <c r="FH120" i="5"/>
  <c r="FI120" i="5"/>
  <c r="FJ120" i="5"/>
  <c r="FK120" i="5"/>
  <c r="FL120" i="5"/>
  <c r="FM120" i="5"/>
  <c r="FN120" i="5"/>
  <c r="FO120" i="5"/>
  <c r="FP120" i="5"/>
  <c r="FQ120" i="5"/>
  <c r="FR120" i="5"/>
  <c r="FS120" i="5"/>
  <c r="FT120" i="5"/>
  <c r="FU120" i="5"/>
  <c r="FV120" i="5"/>
  <c r="FW120" i="5"/>
  <c r="FX120" i="5"/>
  <c r="FY120" i="5"/>
  <c r="FZ120" i="5"/>
  <c r="GA120" i="5"/>
  <c r="GB120" i="5"/>
  <c r="GC120" i="5"/>
  <c r="GD120" i="5"/>
  <c r="GE120" i="5"/>
  <c r="GF120" i="5"/>
  <c r="GG120" i="5"/>
  <c r="GH120" i="5"/>
  <c r="GI120" i="5"/>
  <c r="GJ120" i="5"/>
  <c r="GK120" i="5"/>
  <c r="GL120" i="5"/>
  <c r="GM120" i="5"/>
  <c r="GN120" i="5"/>
  <c r="GO120" i="5"/>
  <c r="GP120" i="5"/>
  <c r="GQ120" i="5"/>
  <c r="GR120" i="5"/>
  <c r="GS120" i="5"/>
  <c r="GT120" i="5"/>
  <c r="GU120" i="5"/>
  <c r="GV120" i="5"/>
  <c r="GW120" i="5"/>
  <c r="GX120" i="5"/>
  <c r="GY120" i="5"/>
  <c r="GZ120" i="5"/>
  <c r="HA120" i="5"/>
  <c r="HB120" i="5"/>
  <c r="HC120" i="5"/>
  <c r="HD120" i="5"/>
  <c r="HE120" i="5"/>
  <c r="HF120" i="5"/>
  <c r="HG120" i="5"/>
  <c r="HH120" i="5"/>
  <c r="HI120" i="5"/>
  <c r="HJ120" i="5"/>
  <c r="HK120" i="5"/>
  <c r="HL120" i="5"/>
  <c r="HM120" i="5"/>
  <c r="HN120" i="5"/>
  <c r="HO120" i="5"/>
  <c r="HP120" i="5"/>
  <c r="HQ120" i="5"/>
  <c r="HR120" i="5"/>
  <c r="HS120" i="5"/>
  <c r="HT120" i="5"/>
  <c r="HU120" i="5"/>
  <c r="HV120" i="5"/>
  <c r="HW120" i="5"/>
  <c r="HX120" i="5"/>
  <c r="HY120" i="5"/>
  <c r="HZ120" i="5"/>
  <c r="IA120" i="5"/>
  <c r="IB120" i="5"/>
  <c r="IC120" i="5"/>
  <c r="ID120" i="5"/>
  <c r="IE120" i="5"/>
  <c r="IF120" i="5"/>
  <c r="IG120" i="5"/>
  <c r="IH120" i="5"/>
  <c r="II120" i="5"/>
  <c r="IJ120" i="5"/>
  <c r="IK120" i="5"/>
  <c r="IL120" i="5"/>
  <c r="IM120" i="5"/>
  <c r="IN120" i="5"/>
  <c r="IO120" i="5"/>
  <c r="IP120" i="5"/>
  <c r="IQ120" i="5"/>
  <c r="IR120" i="5"/>
  <c r="IS120" i="5"/>
  <c r="IT120" i="5"/>
  <c r="IU120" i="5"/>
  <c r="IV120" i="5"/>
  <c r="A119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Q119" i="5"/>
  <c r="AR119" i="5"/>
  <c r="AS119" i="5"/>
  <c r="AT119" i="5"/>
  <c r="AU119" i="5"/>
  <c r="AV119" i="5"/>
  <c r="AW119" i="5"/>
  <c r="AX119" i="5"/>
  <c r="AY119" i="5"/>
  <c r="AZ119" i="5"/>
  <c r="BA119" i="5"/>
  <c r="BB119" i="5"/>
  <c r="BC119" i="5"/>
  <c r="BD119" i="5"/>
  <c r="BE119" i="5"/>
  <c r="BF119" i="5"/>
  <c r="BG119" i="5"/>
  <c r="BH119" i="5"/>
  <c r="BI119" i="5"/>
  <c r="BJ119" i="5"/>
  <c r="BK119" i="5"/>
  <c r="BL119" i="5"/>
  <c r="BM119" i="5"/>
  <c r="BN119" i="5"/>
  <c r="BO119" i="5"/>
  <c r="BP119" i="5"/>
  <c r="BQ119" i="5"/>
  <c r="BR119" i="5"/>
  <c r="BS119" i="5"/>
  <c r="BT119" i="5"/>
  <c r="BU119" i="5"/>
  <c r="BV119" i="5"/>
  <c r="BW119" i="5"/>
  <c r="BX119" i="5"/>
  <c r="BY119" i="5"/>
  <c r="BZ119" i="5"/>
  <c r="CA119" i="5"/>
  <c r="CB119" i="5"/>
  <c r="CC119" i="5"/>
  <c r="CD119" i="5"/>
  <c r="CE119" i="5"/>
  <c r="CF119" i="5"/>
  <c r="CG119" i="5"/>
  <c r="CH119" i="5"/>
  <c r="CI119" i="5"/>
  <c r="CJ119" i="5"/>
  <c r="CK119" i="5"/>
  <c r="CL119" i="5"/>
  <c r="CM119" i="5"/>
  <c r="CN119" i="5"/>
  <c r="CO119" i="5"/>
  <c r="CP119" i="5"/>
  <c r="CQ119" i="5"/>
  <c r="CR119" i="5"/>
  <c r="CS119" i="5"/>
  <c r="CT119" i="5"/>
  <c r="CU119" i="5"/>
  <c r="CV119" i="5"/>
  <c r="CW119" i="5"/>
  <c r="CX119" i="5"/>
  <c r="CY119" i="5"/>
  <c r="CZ119" i="5"/>
  <c r="DA119" i="5"/>
  <c r="DB119" i="5"/>
  <c r="DC119" i="5"/>
  <c r="DD119" i="5"/>
  <c r="DE119" i="5"/>
  <c r="DF119" i="5"/>
  <c r="DG119" i="5"/>
  <c r="DH119" i="5"/>
  <c r="DI119" i="5"/>
  <c r="DJ119" i="5"/>
  <c r="DK119" i="5"/>
  <c r="DL119" i="5"/>
  <c r="DM119" i="5"/>
  <c r="DN119" i="5"/>
  <c r="DO119" i="5"/>
  <c r="DP119" i="5"/>
  <c r="DQ119" i="5"/>
  <c r="DR119" i="5"/>
  <c r="DS119" i="5"/>
  <c r="DT119" i="5"/>
  <c r="DU119" i="5"/>
  <c r="DV119" i="5"/>
  <c r="DW119" i="5"/>
  <c r="DX119" i="5"/>
  <c r="DY119" i="5"/>
  <c r="DZ119" i="5"/>
  <c r="EA119" i="5"/>
  <c r="EB119" i="5"/>
  <c r="EC119" i="5"/>
  <c r="ED119" i="5"/>
  <c r="EE119" i="5"/>
  <c r="EF119" i="5"/>
  <c r="EG119" i="5"/>
  <c r="EH119" i="5"/>
  <c r="EI119" i="5"/>
  <c r="EJ119" i="5"/>
  <c r="EK119" i="5"/>
  <c r="EL119" i="5"/>
  <c r="EM119" i="5"/>
  <c r="EN119" i="5"/>
  <c r="EO119" i="5"/>
  <c r="EP119" i="5"/>
  <c r="EQ119" i="5"/>
  <c r="ER119" i="5"/>
  <c r="ES119" i="5"/>
  <c r="ET119" i="5"/>
  <c r="EU119" i="5"/>
  <c r="EV119" i="5"/>
  <c r="EW119" i="5"/>
  <c r="EX119" i="5"/>
  <c r="EY119" i="5"/>
  <c r="EZ119" i="5"/>
  <c r="FA119" i="5"/>
  <c r="FB119" i="5"/>
  <c r="FC119" i="5"/>
  <c r="FD119" i="5"/>
  <c r="FE119" i="5"/>
  <c r="FF119" i="5"/>
  <c r="FG119" i="5"/>
  <c r="FH119" i="5"/>
  <c r="FI119" i="5"/>
  <c r="FJ119" i="5"/>
  <c r="FK119" i="5"/>
  <c r="FL119" i="5"/>
  <c r="FM119" i="5"/>
  <c r="FN119" i="5"/>
  <c r="FO119" i="5"/>
  <c r="FP119" i="5"/>
  <c r="FQ119" i="5"/>
  <c r="FR119" i="5"/>
  <c r="FS119" i="5"/>
  <c r="FT119" i="5"/>
  <c r="FU119" i="5"/>
  <c r="FV119" i="5"/>
  <c r="FW119" i="5"/>
  <c r="FX119" i="5"/>
  <c r="FY119" i="5"/>
  <c r="FZ119" i="5"/>
  <c r="GA119" i="5"/>
  <c r="GB119" i="5"/>
  <c r="GC119" i="5"/>
  <c r="GD119" i="5"/>
  <c r="GE119" i="5"/>
  <c r="GF119" i="5"/>
  <c r="GG119" i="5"/>
  <c r="GH119" i="5"/>
  <c r="GI119" i="5"/>
  <c r="GJ119" i="5"/>
  <c r="GK119" i="5"/>
  <c r="GL119" i="5"/>
  <c r="GM119" i="5"/>
  <c r="GN119" i="5"/>
  <c r="GO119" i="5"/>
  <c r="GP119" i="5"/>
  <c r="GQ119" i="5"/>
  <c r="GR119" i="5"/>
  <c r="GS119" i="5"/>
  <c r="GT119" i="5"/>
  <c r="GU119" i="5"/>
  <c r="GV119" i="5"/>
  <c r="GW119" i="5"/>
  <c r="GX119" i="5"/>
  <c r="GY119" i="5"/>
  <c r="GZ119" i="5"/>
  <c r="HA119" i="5"/>
  <c r="HB119" i="5"/>
  <c r="HC119" i="5"/>
  <c r="HD119" i="5"/>
  <c r="HE119" i="5"/>
  <c r="HF119" i="5"/>
  <c r="HG119" i="5"/>
  <c r="HH119" i="5"/>
  <c r="HI119" i="5"/>
  <c r="HJ119" i="5"/>
  <c r="HK119" i="5"/>
  <c r="HL119" i="5"/>
  <c r="HM119" i="5"/>
  <c r="HN119" i="5"/>
  <c r="HO119" i="5"/>
  <c r="HP119" i="5"/>
  <c r="HQ119" i="5"/>
  <c r="HR119" i="5"/>
  <c r="HS119" i="5"/>
  <c r="HT119" i="5"/>
  <c r="HU119" i="5"/>
  <c r="HV119" i="5"/>
  <c r="HW119" i="5"/>
  <c r="HX119" i="5"/>
  <c r="HY119" i="5"/>
  <c r="HZ119" i="5"/>
  <c r="IA119" i="5"/>
  <c r="IB119" i="5"/>
  <c r="IC119" i="5"/>
  <c r="ID119" i="5"/>
  <c r="IE119" i="5"/>
  <c r="IF119" i="5"/>
  <c r="IG119" i="5"/>
  <c r="IH119" i="5"/>
  <c r="II119" i="5"/>
  <c r="IJ119" i="5"/>
  <c r="IK119" i="5"/>
  <c r="IL119" i="5"/>
  <c r="IM119" i="5"/>
  <c r="IN119" i="5"/>
  <c r="IO119" i="5"/>
  <c r="IP119" i="5"/>
  <c r="IQ119" i="5"/>
  <c r="IR119" i="5"/>
  <c r="IS119" i="5"/>
  <c r="IT119" i="5"/>
  <c r="IU119" i="5"/>
  <c r="IV119" i="5"/>
  <c r="A118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Q118" i="5"/>
  <c r="AR118" i="5"/>
  <c r="AS118" i="5"/>
  <c r="AT118" i="5"/>
  <c r="AU118" i="5"/>
  <c r="AV118" i="5"/>
  <c r="AW118" i="5"/>
  <c r="AX118" i="5"/>
  <c r="AY118" i="5"/>
  <c r="AZ118" i="5"/>
  <c r="BA118" i="5"/>
  <c r="BB118" i="5"/>
  <c r="BC118" i="5"/>
  <c r="BD118" i="5"/>
  <c r="BE118" i="5"/>
  <c r="BF118" i="5"/>
  <c r="BG118" i="5"/>
  <c r="BH118" i="5"/>
  <c r="BI118" i="5"/>
  <c r="BJ118" i="5"/>
  <c r="BK118" i="5"/>
  <c r="BL118" i="5"/>
  <c r="BM118" i="5"/>
  <c r="BN118" i="5"/>
  <c r="BO118" i="5"/>
  <c r="BP118" i="5"/>
  <c r="BQ118" i="5"/>
  <c r="BR118" i="5"/>
  <c r="BS118" i="5"/>
  <c r="BT118" i="5"/>
  <c r="BU118" i="5"/>
  <c r="BV118" i="5"/>
  <c r="BW118" i="5"/>
  <c r="BX118" i="5"/>
  <c r="BY118" i="5"/>
  <c r="BZ118" i="5"/>
  <c r="CA118" i="5"/>
  <c r="CB118" i="5"/>
  <c r="CC118" i="5"/>
  <c r="CD118" i="5"/>
  <c r="CE118" i="5"/>
  <c r="CF118" i="5"/>
  <c r="CG118" i="5"/>
  <c r="CH118" i="5"/>
  <c r="CI118" i="5"/>
  <c r="CJ118" i="5"/>
  <c r="CK118" i="5"/>
  <c r="CL118" i="5"/>
  <c r="CM118" i="5"/>
  <c r="CN118" i="5"/>
  <c r="CO118" i="5"/>
  <c r="CP118" i="5"/>
  <c r="CQ118" i="5"/>
  <c r="CR118" i="5"/>
  <c r="CS118" i="5"/>
  <c r="CT118" i="5"/>
  <c r="CU118" i="5"/>
  <c r="CV118" i="5"/>
  <c r="CW118" i="5"/>
  <c r="CX118" i="5"/>
  <c r="CY118" i="5"/>
  <c r="CZ118" i="5"/>
  <c r="DA118" i="5"/>
  <c r="DB118" i="5"/>
  <c r="DC118" i="5"/>
  <c r="DD118" i="5"/>
  <c r="DE118" i="5"/>
  <c r="DF118" i="5"/>
  <c r="DG118" i="5"/>
  <c r="DH118" i="5"/>
  <c r="DI118" i="5"/>
  <c r="DJ118" i="5"/>
  <c r="DK118" i="5"/>
  <c r="DL118" i="5"/>
  <c r="DM118" i="5"/>
  <c r="DN118" i="5"/>
  <c r="DO118" i="5"/>
  <c r="DP118" i="5"/>
  <c r="DQ118" i="5"/>
  <c r="DR118" i="5"/>
  <c r="DS118" i="5"/>
  <c r="DT118" i="5"/>
  <c r="DU118" i="5"/>
  <c r="DV118" i="5"/>
  <c r="DW118" i="5"/>
  <c r="DX118" i="5"/>
  <c r="DY118" i="5"/>
  <c r="DZ118" i="5"/>
  <c r="EA118" i="5"/>
  <c r="EB118" i="5"/>
  <c r="EC118" i="5"/>
  <c r="ED118" i="5"/>
  <c r="EE118" i="5"/>
  <c r="EF118" i="5"/>
  <c r="EG118" i="5"/>
  <c r="EH118" i="5"/>
  <c r="EI118" i="5"/>
  <c r="EJ118" i="5"/>
  <c r="EK118" i="5"/>
  <c r="EL118" i="5"/>
  <c r="EM118" i="5"/>
  <c r="EN118" i="5"/>
  <c r="EO118" i="5"/>
  <c r="EP118" i="5"/>
  <c r="EQ118" i="5"/>
  <c r="ER118" i="5"/>
  <c r="ES118" i="5"/>
  <c r="ET118" i="5"/>
  <c r="EU118" i="5"/>
  <c r="EV118" i="5"/>
  <c r="EW118" i="5"/>
  <c r="EX118" i="5"/>
  <c r="EY118" i="5"/>
  <c r="EZ118" i="5"/>
  <c r="FA118" i="5"/>
  <c r="FB118" i="5"/>
  <c r="FC118" i="5"/>
  <c r="FD118" i="5"/>
  <c r="FE118" i="5"/>
  <c r="FF118" i="5"/>
  <c r="FG118" i="5"/>
  <c r="FH118" i="5"/>
  <c r="FI118" i="5"/>
  <c r="FJ118" i="5"/>
  <c r="FK118" i="5"/>
  <c r="FL118" i="5"/>
  <c r="FM118" i="5"/>
  <c r="FN118" i="5"/>
  <c r="FO118" i="5"/>
  <c r="FP118" i="5"/>
  <c r="FQ118" i="5"/>
  <c r="FR118" i="5"/>
  <c r="FS118" i="5"/>
  <c r="FT118" i="5"/>
  <c r="FU118" i="5"/>
  <c r="FV118" i="5"/>
  <c r="FW118" i="5"/>
  <c r="FX118" i="5"/>
  <c r="FY118" i="5"/>
  <c r="FZ118" i="5"/>
  <c r="GA118" i="5"/>
  <c r="GB118" i="5"/>
  <c r="GC118" i="5"/>
  <c r="GD118" i="5"/>
  <c r="GE118" i="5"/>
  <c r="GF118" i="5"/>
  <c r="GG118" i="5"/>
  <c r="GH118" i="5"/>
  <c r="GI118" i="5"/>
  <c r="GJ118" i="5"/>
  <c r="GK118" i="5"/>
  <c r="GL118" i="5"/>
  <c r="GM118" i="5"/>
  <c r="GN118" i="5"/>
  <c r="GO118" i="5"/>
  <c r="GP118" i="5"/>
  <c r="GQ118" i="5"/>
  <c r="GR118" i="5"/>
  <c r="GS118" i="5"/>
  <c r="GT118" i="5"/>
  <c r="GU118" i="5"/>
  <c r="GV118" i="5"/>
  <c r="GW118" i="5"/>
  <c r="GX118" i="5"/>
  <c r="GY118" i="5"/>
  <c r="GZ118" i="5"/>
  <c r="HA118" i="5"/>
  <c r="HB118" i="5"/>
  <c r="HC118" i="5"/>
  <c r="HD118" i="5"/>
  <c r="HE118" i="5"/>
  <c r="HF118" i="5"/>
  <c r="HG118" i="5"/>
  <c r="HH118" i="5"/>
  <c r="HI118" i="5"/>
  <c r="HJ118" i="5"/>
  <c r="HK118" i="5"/>
  <c r="HL118" i="5"/>
  <c r="HM118" i="5"/>
  <c r="HN118" i="5"/>
  <c r="HO118" i="5"/>
  <c r="HP118" i="5"/>
  <c r="HQ118" i="5"/>
  <c r="HR118" i="5"/>
  <c r="HS118" i="5"/>
  <c r="HT118" i="5"/>
  <c r="HU118" i="5"/>
  <c r="HV118" i="5"/>
  <c r="HW118" i="5"/>
  <c r="HX118" i="5"/>
  <c r="HY118" i="5"/>
  <c r="HZ118" i="5"/>
  <c r="IA118" i="5"/>
  <c r="IB118" i="5"/>
  <c r="IC118" i="5"/>
  <c r="ID118" i="5"/>
  <c r="IE118" i="5"/>
  <c r="IF118" i="5"/>
  <c r="IG118" i="5"/>
  <c r="IH118" i="5"/>
  <c r="II118" i="5"/>
  <c r="IJ118" i="5"/>
  <c r="IK118" i="5"/>
  <c r="IL118" i="5"/>
  <c r="IM118" i="5"/>
  <c r="IN118" i="5"/>
  <c r="IO118" i="5"/>
  <c r="IP118" i="5"/>
  <c r="IQ118" i="5"/>
  <c r="IR118" i="5"/>
  <c r="IS118" i="5"/>
  <c r="IT118" i="5"/>
  <c r="IU118" i="5"/>
  <c r="IV118" i="5"/>
  <c r="A117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AQ117" i="5"/>
  <c r="AR117" i="5"/>
  <c r="AS117" i="5"/>
  <c r="AT117" i="5"/>
  <c r="AU117" i="5"/>
  <c r="AV117" i="5"/>
  <c r="AW117" i="5"/>
  <c r="AX117" i="5"/>
  <c r="AY117" i="5"/>
  <c r="AZ117" i="5"/>
  <c r="BA117" i="5"/>
  <c r="BB117" i="5"/>
  <c r="BC117" i="5"/>
  <c r="BD117" i="5"/>
  <c r="BE117" i="5"/>
  <c r="BF117" i="5"/>
  <c r="BG117" i="5"/>
  <c r="BH117" i="5"/>
  <c r="BI117" i="5"/>
  <c r="BJ117" i="5"/>
  <c r="BK117" i="5"/>
  <c r="BL117" i="5"/>
  <c r="BM117" i="5"/>
  <c r="BN117" i="5"/>
  <c r="BO117" i="5"/>
  <c r="BP117" i="5"/>
  <c r="BQ117" i="5"/>
  <c r="BR117" i="5"/>
  <c r="BS117" i="5"/>
  <c r="BT117" i="5"/>
  <c r="BU117" i="5"/>
  <c r="BV117" i="5"/>
  <c r="BW117" i="5"/>
  <c r="BX117" i="5"/>
  <c r="BY117" i="5"/>
  <c r="BZ117" i="5"/>
  <c r="CA117" i="5"/>
  <c r="CB117" i="5"/>
  <c r="CC117" i="5"/>
  <c r="CD117" i="5"/>
  <c r="CE117" i="5"/>
  <c r="CF117" i="5"/>
  <c r="CG117" i="5"/>
  <c r="CH117" i="5"/>
  <c r="CI117" i="5"/>
  <c r="CJ117" i="5"/>
  <c r="CK117" i="5"/>
  <c r="CL117" i="5"/>
  <c r="CM117" i="5"/>
  <c r="CN117" i="5"/>
  <c r="CO117" i="5"/>
  <c r="CP117" i="5"/>
  <c r="CQ117" i="5"/>
  <c r="CR117" i="5"/>
  <c r="CS117" i="5"/>
  <c r="CT117" i="5"/>
  <c r="CU117" i="5"/>
  <c r="CV117" i="5"/>
  <c r="CW117" i="5"/>
  <c r="CX117" i="5"/>
  <c r="CY117" i="5"/>
  <c r="CZ117" i="5"/>
  <c r="DA117" i="5"/>
  <c r="DB117" i="5"/>
  <c r="DC117" i="5"/>
  <c r="DD117" i="5"/>
  <c r="DE117" i="5"/>
  <c r="DF117" i="5"/>
  <c r="DG117" i="5"/>
  <c r="DH117" i="5"/>
  <c r="DI117" i="5"/>
  <c r="DJ117" i="5"/>
  <c r="DK117" i="5"/>
  <c r="DL117" i="5"/>
  <c r="DM117" i="5"/>
  <c r="DN117" i="5"/>
  <c r="DO117" i="5"/>
  <c r="DP117" i="5"/>
  <c r="DQ117" i="5"/>
  <c r="DR117" i="5"/>
  <c r="DS117" i="5"/>
  <c r="DT117" i="5"/>
  <c r="DU117" i="5"/>
  <c r="DV117" i="5"/>
  <c r="DW117" i="5"/>
  <c r="DX117" i="5"/>
  <c r="DY117" i="5"/>
  <c r="DZ117" i="5"/>
  <c r="EA117" i="5"/>
  <c r="EB117" i="5"/>
  <c r="EC117" i="5"/>
  <c r="ED117" i="5"/>
  <c r="EE117" i="5"/>
  <c r="EF117" i="5"/>
  <c r="EG117" i="5"/>
  <c r="EH117" i="5"/>
  <c r="EI117" i="5"/>
  <c r="EJ117" i="5"/>
  <c r="EK117" i="5"/>
  <c r="EL117" i="5"/>
  <c r="EM117" i="5"/>
  <c r="EN117" i="5"/>
  <c r="EO117" i="5"/>
  <c r="EP117" i="5"/>
  <c r="EQ117" i="5"/>
  <c r="ER117" i="5"/>
  <c r="ES117" i="5"/>
  <c r="ET117" i="5"/>
  <c r="EU117" i="5"/>
  <c r="EV117" i="5"/>
  <c r="EW117" i="5"/>
  <c r="EX117" i="5"/>
  <c r="EY117" i="5"/>
  <c r="EZ117" i="5"/>
  <c r="FA117" i="5"/>
  <c r="FB117" i="5"/>
  <c r="FC117" i="5"/>
  <c r="FD117" i="5"/>
  <c r="FE117" i="5"/>
  <c r="FF117" i="5"/>
  <c r="FG117" i="5"/>
  <c r="FH117" i="5"/>
  <c r="FI117" i="5"/>
  <c r="FJ117" i="5"/>
  <c r="FK117" i="5"/>
  <c r="FL117" i="5"/>
  <c r="FM117" i="5"/>
  <c r="FN117" i="5"/>
  <c r="FO117" i="5"/>
  <c r="FP117" i="5"/>
  <c r="FQ117" i="5"/>
  <c r="FR117" i="5"/>
  <c r="FS117" i="5"/>
  <c r="FT117" i="5"/>
  <c r="FU117" i="5"/>
  <c r="FV117" i="5"/>
  <c r="FW117" i="5"/>
  <c r="FX117" i="5"/>
  <c r="FY117" i="5"/>
  <c r="FZ117" i="5"/>
  <c r="GA117" i="5"/>
  <c r="GB117" i="5"/>
  <c r="GC117" i="5"/>
  <c r="GD117" i="5"/>
  <c r="GE117" i="5"/>
  <c r="GF117" i="5"/>
  <c r="GG117" i="5"/>
  <c r="GH117" i="5"/>
  <c r="GI117" i="5"/>
  <c r="GJ117" i="5"/>
  <c r="GK117" i="5"/>
  <c r="GL117" i="5"/>
  <c r="GM117" i="5"/>
  <c r="GN117" i="5"/>
  <c r="GO117" i="5"/>
  <c r="GP117" i="5"/>
  <c r="GQ117" i="5"/>
  <c r="GR117" i="5"/>
  <c r="GS117" i="5"/>
  <c r="GT117" i="5"/>
  <c r="GU117" i="5"/>
  <c r="GV117" i="5"/>
  <c r="GW117" i="5"/>
  <c r="GX117" i="5"/>
  <c r="GY117" i="5"/>
  <c r="GZ117" i="5"/>
  <c r="HA117" i="5"/>
  <c r="HB117" i="5"/>
  <c r="HC117" i="5"/>
  <c r="HD117" i="5"/>
  <c r="HE117" i="5"/>
  <c r="HF117" i="5"/>
  <c r="HG117" i="5"/>
  <c r="HH117" i="5"/>
  <c r="HI117" i="5"/>
  <c r="HJ117" i="5"/>
  <c r="HK117" i="5"/>
  <c r="HL117" i="5"/>
  <c r="HM117" i="5"/>
  <c r="HN117" i="5"/>
  <c r="HO117" i="5"/>
  <c r="HP117" i="5"/>
  <c r="HQ117" i="5"/>
  <c r="HR117" i="5"/>
  <c r="HS117" i="5"/>
  <c r="HT117" i="5"/>
  <c r="HU117" i="5"/>
  <c r="HV117" i="5"/>
  <c r="HW117" i="5"/>
  <c r="HX117" i="5"/>
  <c r="HY117" i="5"/>
  <c r="HZ117" i="5"/>
  <c r="IA117" i="5"/>
  <c r="IB117" i="5"/>
  <c r="IC117" i="5"/>
  <c r="ID117" i="5"/>
  <c r="IE117" i="5"/>
  <c r="IF117" i="5"/>
  <c r="IG117" i="5"/>
  <c r="IH117" i="5"/>
  <c r="II117" i="5"/>
  <c r="IJ117" i="5"/>
  <c r="IK117" i="5"/>
  <c r="IL117" i="5"/>
  <c r="IM117" i="5"/>
  <c r="IN117" i="5"/>
  <c r="IO117" i="5"/>
  <c r="IP117" i="5"/>
  <c r="IQ117" i="5"/>
  <c r="IR117" i="5"/>
  <c r="IS117" i="5"/>
  <c r="IT117" i="5"/>
  <c r="IU117" i="5"/>
  <c r="IV117" i="5"/>
  <c r="A116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AQ116" i="5"/>
  <c r="AR116" i="5"/>
  <c r="AS116" i="5"/>
  <c r="AT116" i="5"/>
  <c r="AU116" i="5"/>
  <c r="AV116" i="5"/>
  <c r="AW116" i="5"/>
  <c r="AX116" i="5"/>
  <c r="AY116" i="5"/>
  <c r="AZ116" i="5"/>
  <c r="BA116" i="5"/>
  <c r="BB116" i="5"/>
  <c r="BC116" i="5"/>
  <c r="BD116" i="5"/>
  <c r="BE116" i="5"/>
  <c r="BF116" i="5"/>
  <c r="BG116" i="5"/>
  <c r="BH116" i="5"/>
  <c r="BI116" i="5"/>
  <c r="BJ116" i="5"/>
  <c r="BK116" i="5"/>
  <c r="BL116" i="5"/>
  <c r="BM116" i="5"/>
  <c r="BN116" i="5"/>
  <c r="BO116" i="5"/>
  <c r="BP116" i="5"/>
  <c r="BQ116" i="5"/>
  <c r="BR116" i="5"/>
  <c r="BS116" i="5"/>
  <c r="BT116" i="5"/>
  <c r="BU116" i="5"/>
  <c r="BV116" i="5"/>
  <c r="BW116" i="5"/>
  <c r="BX116" i="5"/>
  <c r="BY116" i="5"/>
  <c r="BZ116" i="5"/>
  <c r="CA116" i="5"/>
  <c r="CB116" i="5"/>
  <c r="CC116" i="5"/>
  <c r="CD116" i="5"/>
  <c r="CE116" i="5"/>
  <c r="CF116" i="5"/>
  <c r="CG116" i="5"/>
  <c r="CH116" i="5"/>
  <c r="CI116" i="5"/>
  <c r="CJ116" i="5"/>
  <c r="CK116" i="5"/>
  <c r="CL116" i="5"/>
  <c r="CM116" i="5"/>
  <c r="CN116" i="5"/>
  <c r="CO116" i="5"/>
  <c r="CP116" i="5"/>
  <c r="CQ116" i="5"/>
  <c r="CR116" i="5"/>
  <c r="CS116" i="5"/>
  <c r="CT116" i="5"/>
  <c r="CU116" i="5"/>
  <c r="CV116" i="5"/>
  <c r="CW116" i="5"/>
  <c r="CX116" i="5"/>
  <c r="CY116" i="5"/>
  <c r="CZ116" i="5"/>
  <c r="DA116" i="5"/>
  <c r="DB116" i="5"/>
  <c r="DC116" i="5"/>
  <c r="DD116" i="5"/>
  <c r="DE116" i="5"/>
  <c r="DF116" i="5"/>
  <c r="DG116" i="5"/>
  <c r="DH116" i="5"/>
  <c r="DI116" i="5"/>
  <c r="DJ116" i="5"/>
  <c r="DK116" i="5"/>
  <c r="DL116" i="5"/>
  <c r="DM116" i="5"/>
  <c r="DN116" i="5"/>
  <c r="DO116" i="5"/>
  <c r="DP116" i="5"/>
  <c r="DQ116" i="5"/>
  <c r="DR116" i="5"/>
  <c r="DS116" i="5"/>
  <c r="DT116" i="5"/>
  <c r="DU116" i="5"/>
  <c r="DV116" i="5"/>
  <c r="DW116" i="5"/>
  <c r="DX116" i="5"/>
  <c r="DY116" i="5"/>
  <c r="DZ116" i="5"/>
  <c r="EA116" i="5"/>
  <c r="EB116" i="5"/>
  <c r="EC116" i="5"/>
  <c r="ED116" i="5"/>
  <c r="EE116" i="5"/>
  <c r="EF116" i="5"/>
  <c r="EG116" i="5"/>
  <c r="EH116" i="5"/>
  <c r="EI116" i="5"/>
  <c r="EJ116" i="5"/>
  <c r="EK116" i="5"/>
  <c r="EL116" i="5"/>
  <c r="EM116" i="5"/>
  <c r="EN116" i="5"/>
  <c r="EO116" i="5"/>
  <c r="EP116" i="5"/>
  <c r="EQ116" i="5"/>
  <c r="ER116" i="5"/>
  <c r="ES116" i="5"/>
  <c r="ET116" i="5"/>
  <c r="EU116" i="5"/>
  <c r="EV116" i="5"/>
  <c r="EW116" i="5"/>
  <c r="EX116" i="5"/>
  <c r="EY116" i="5"/>
  <c r="EZ116" i="5"/>
  <c r="FA116" i="5"/>
  <c r="FB116" i="5"/>
  <c r="FC116" i="5"/>
  <c r="FD116" i="5"/>
  <c r="FE116" i="5"/>
  <c r="FF116" i="5"/>
  <c r="FG116" i="5"/>
  <c r="FH116" i="5"/>
  <c r="FI116" i="5"/>
  <c r="FJ116" i="5"/>
  <c r="FK116" i="5"/>
  <c r="FL116" i="5"/>
  <c r="FM116" i="5"/>
  <c r="FN116" i="5"/>
  <c r="FO116" i="5"/>
  <c r="FP116" i="5"/>
  <c r="FQ116" i="5"/>
  <c r="FR116" i="5"/>
  <c r="FS116" i="5"/>
  <c r="FT116" i="5"/>
  <c r="FU116" i="5"/>
  <c r="FV116" i="5"/>
  <c r="FW116" i="5"/>
  <c r="FX116" i="5"/>
  <c r="FY116" i="5"/>
  <c r="FZ116" i="5"/>
  <c r="GA116" i="5"/>
  <c r="GB116" i="5"/>
  <c r="GC116" i="5"/>
  <c r="GD116" i="5"/>
  <c r="GE116" i="5"/>
  <c r="GF116" i="5"/>
  <c r="GG116" i="5"/>
  <c r="GH116" i="5"/>
  <c r="GI116" i="5"/>
  <c r="GJ116" i="5"/>
  <c r="GK116" i="5"/>
  <c r="GL116" i="5"/>
  <c r="GM116" i="5"/>
  <c r="GN116" i="5"/>
  <c r="GO116" i="5"/>
  <c r="GP116" i="5"/>
  <c r="GQ116" i="5"/>
  <c r="GR116" i="5"/>
  <c r="GS116" i="5"/>
  <c r="GT116" i="5"/>
  <c r="GU116" i="5"/>
  <c r="GV116" i="5"/>
  <c r="GW116" i="5"/>
  <c r="GX116" i="5"/>
  <c r="GY116" i="5"/>
  <c r="GZ116" i="5"/>
  <c r="HA116" i="5"/>
  <c r="HB116" i="5"/>
  <c r="HC116" i="5"/>
  <c r="HD116" i="5"/>
  <c r="HE116" i="5"/>
  <c r="HF116" i="5"/>
  <c r="HG116" i="5"/>
  <c r="HH116" i="5"/>
  <c r="HI116" i="5"/>
  <c r="HJ116" i="5"/>
  <c r="HK116" i="5"/>
  <c r="HL116" i="5"/>
  <c r="HM116" i="5"/>
  <c r="HN116" i="5"/>
  <c r="HO116" i="5"/>
  <c r="HP116" i="5"/>
  <c r="HQ116" i="5"/>
  <c r="HR116" i="5"/>
  <c r="HS116" i="5"/>
  <c r="HT116" i="5"/>
  <c r="HU116" i="5"/>
  <c r="HV116" i="5"/>
  <c r="HW116" i="5"/>
  <c r="HX116" i="5"/>
  <c r="HY116" i="5"/>
  <c r="HZ116" i="5"/>
  <c r="IA116" i="5"/>
  <c r="IB116" i="5"/>
  <c r="IC116" i="5"/>
  <c r="ID116" i="5"/>
  <c r="IE116" i="5"/>
  <c r="IF116" i="5"/>
  <c r="IG116" i="5"/>
  <c r="IH116" i="5"/>
  <c r="II116" i="5"/>
  <c r="IJ116" i="5"/>
  <c r="IK116" i="5"/>
  <c r="IL116" i="5"/>
  <c r="IM116" i="5"/>
  <c r="IN116" i="5"/>
  <c r="IO116" i="5"/>
  <c r="IP116" i="5"/>
  <c r="IQ116" i="5"/>
  <c r="IR116" i="5"/>
  <c r="IS116" i="5"/>
  <c r="IT116" i="5"/>
  <c r="IU116" i="5"/>
  <c r="IV116" i="5"/>
  <c r="A115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Q115" i="5"/>
  <c r="AR115" i="5"/>
  <c r="AS115" i="5"/>
  <c r="AT115" i="5"/>
  <c r="AU115" i="5"/>
  <c r="AV115" i="5"/>
  <c r="AW115" i="5"/>
  <c r="AX115" i="5"/>
  <c r="AY115" i="5"/>
  <c r="AZ115" i="5"/>
  <c r="BA115" i="5"/>
  <c r="BB115" i="5"/>
  <c r="BC115" i="5"/>
  <c r="BD115" i="5"/>
  <c r="BE115" i="5"/>
  <c r="BF115" i="5"/>
  <c r="BG115" i="5"/>
  <c r="BH115" i="5"/>
  <c r="BI115" i="5"/>
  <c r="BJ115" i="5"/>
  <c r="BK115" i="5"/>
  <c r="BL115" i="5"/>
  <c r="BM115" i="5"/>
  <c r="BN115" i="5"/>
  <c r="BO115" i="5"/>
  <c r="BP115" i="5"/>
  <c r="BQ115" i="5"/>
  <c r="BR115" i="5"/>
  <c r="BS115" i="5"/>
  <c r="BT115" i="5"/>
  <c r="BU115" i="5"/>
  <c r="BV115" i="5"/>
  <c r="BW115" i="5"/>
  <c r="BX115" i="5"/>
  <c r="BY115" i="5"/>
  <c r="BZ115" i="5"/>
  <c r="CA115" i="5"/>
  <c r="CB115" i="5"/>
  <c r="CC115" i="5"/>
  <c r="CD115" i="5"/>
  <c r="CE115" i="5"/>
  <c r="CF115" i="5"/>
  <c r="CG115" i="5"/>
  <c r="CH115" i="5"/>
  <c r="CI115" i="5"/>
  <c r="CJ115" i="5"/>
  <c r="CK115" i="5"/>
  <c r="CL115" i="5"/>
  <c r="CM115" i="5"/>
  <c r="CN115" i="5"/>
  <c r="CO115" i="5"/>
  <c r="CP115" i="5"/>
  <c r="CQ115" i="5"/>
  <c r="CR115" i="5"/>
  <c r="CS115" i="5"/>
  <c r="CT115" i="5"/>
  <c r="CU115" i="5"/>
  <c r="CV115" i="5"/>
  <c r="CW115" i="5"/>
  <c r="CX115" i="5"/>
  <c r="CY115" i="5"/>
  <c r="CZ115" i="5"/>
  <c r="DA115" i="5"/>
  <c r="DB115" i="5"/>
  <c r="DC115" i="5"/>
  <c r="DD115" i="5"/>
  <c r="DE115" i="5"/>
  <c r="DF115" i="5"/>
  <c r="DG115" i="5"/>
  <c r="DH115" i="5"/>
  <c r="DI115" i="5"/>
  <c r="DJ115" i="5"/>
  <c r="DK115" i="5"/>
  <c r="DL115" i="5"/>
  <c r="DM115" i="5"/>
  <c r="DN115" i="5"/>
  <c r="DO115" i="5"/>
  <c r="DP115" i="5"/>
  <c r="DQ115" i="5"/>
  <c r="DR115" i="5"/>
  <c r="DS115" i="5"/>
  <c r="DT115" i="5"/>
  <c r="DU115" i="5"/>
  <c r="DV115" i="5"/>
  <c r="DW115" i="5"/>
  <c r="DX115" i="5"/>
  <c r="DY115" i="5"/>
  <c r="DZ115" i="5"/>
  <c r="EA115" i="5"/>
  <c r="EB115" i="5"/>
  <c r="EC115" i="5"/>
  <c r="ED115" i="5"/>
  <c r="EE115" i="5"/>
  <c r="EF115" i="5"/>
  <c r="EG115" i="5"/>
  <c r="EH115" i="5"/>
  <c r="EI115" i="5"/>
  <c r="EJ115" i="5"/>
  <c r="EK115" i="5"/>
  <c r="EL115" i="5"/>
  <c r="EM115" i="5"/>
  <c r="EN115" i="5"/>
  <c r="EO115" i="5"/>
  <c r="EP115" i="5"/>
  <c r="EQ115" i="5"/>
  <c r="ER115" i="5"/>
  <c r="ES115" i="5"/>
  <c r="ET115" i="5"/>
  <c r="EU115" i="5"/>
  <c r="EV115" i="5"/>
  <c r="EW115" i="5"/>
  <c r="EX115" i="5"/>
  <c r="EY115" i="5"/>
  <c r="EZ115" i="5"/>
  <c r="FA115" i="5"/>
  <c r="FB115" i="5"/>
  <c r="FC115" i="5"/>
  <c r="FD115" i="5"/>
  <c r="FE115" i="5"/>
  <c r="FF115" i="5"/>
  <c r="FG115" i="5"/>
  <c r="FH115" i="5"/>
  <c r="FI115" i="5"/>
  <c r="FJ115" i="5"/>
  <c r="FK115" i="5"/>
  <c r="FL115" i="5"/>
  <c r="FM115" i="5"/>
  <c r="FN115" i="5"/>
  <c r="FO115" i="5"/>
  <c r="FP115" i="5"/>
  <c r="FQ115" i="5"/>
  <c r="FR115" i="5"/>
  <c r="FS115" i="5"/>
  <c r="FT115" i="5"/>
  <c r="FU115" i="5"/>
  <c r="FV115" i="5"/>
  <c r="FW115" i="5"/>
  <c r="FX115" i="5"/>
  <c r="FY115" i="5"/>
  <c r="FZ115" i="5"/>
  <c r="GA115" i="5"/>
  <c r="GB115" i="5"/>
  <c r="GC115" i="5"/>
  <c r="GD115" i="5"/>
  <c r="GE115" i="5"/>
  <c r="GF115" i="5"/>
  <c r="GG115" i="5"/>
  <c r="GH115" i="5"/>
  <c r="GI115" i="5"/>
  <c r="GJ115" i="5"/>
  <c r="GK115" i="5"/>
  <c r="GL115" i="5"/>
  <c r="GM115" i="5"/>
  <c r="GN115" i="5"/>
  <c r="GO115" i="5"/>
  <c r="GP115" i="5"/>
  <c r="GQ115" i="5"/>
  <c r="GR115" i="5"/>
  <c r="GS115" i="5"/>
  <c r="GT115" i="5"/>
  <c r="GU115" i="5"/>
  <c r="GV115" i="5"/>
  <c r="GW115" i="5"/>
  <c r="GX115" i="5"/>
  <c r="GY115" i="5"/>
  <c r="GZ115" i="5"/>
  <c r="HA115" i="5"/>
  <c r="HB115" i="5"/>
  <c r="HC115" i="5"/>
  <c r="HD115" i="5"/>
  <c r="HE115" i="5"/>
  <c r="HF115" i="5"/>
  <c r="HG115" i="5"/>
  <c r="HH115" i="5"/>
  <c r="HI115" i="5"/>
  <c r="HJ115" i="5"/>
  <c r="HK115" i="5"/>
  <c r="HL115" i="5"/>
  <c r="HM115" i="5"/>
  <c r="HN115" i="5"/>
  <c r="HO115" i="5"/>
  <c r="HP115" i="5"/>
  <c r="HQ115" i="5"/>
  <c r="HR115" i="5"/>
  <c r="HS115" i="5"/>
  <c r="HT115" i="5"/>
  <c r="HU115" i="5"/>
  <c r="HV115" i="5"/>
  <c r="HW115" i="5"/>
  <c r="HX115" i="5"/>
  <c r="HY115" i="5"/>
  <c r="HZ115" i="5"/>
  <c r="IA115" i="5"/>
  <c r="IB115" i="5"/>
  <c r="IC115" i="5"/>
  <c r="ID115" i="5"/>
  <c r="IE115" i="5"/>
  <c r="IF115" i="5"/>
  <c r="IG115" i="5"/>
  <c r="IH115" i="5"/>
  <c r="II115" i="5"/>
  <c r="IJ115" i="5"/>
  <c r="IK115" i="5"/>
  <c r="IL115" i="5"/>
  <c r="IM115" i="5"/>
  <c r="IN115" i="5"/>
  <c r="IO115" i="5"/>
  <c r="IP115" i="5"/>
  <c r="IQ115" i="5"/>
  <c r="IR115" i="5"/>
  <c r="IS115" i="5"/>
  <c r="IT115" i="5"/>
  <c r="IU115" i="5"/>
  <c r="IV115" i="5"/>
  <c r="A114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AQ114" i="5"/>
  <c r="AR114" i="5"/>
  <c r="AS114" i="5"/>
  <c r="AT114" i="5"/>
  <c r="AU114" i="5"/>
  <c r="AV114" i="5"/>
  <c r="AW114" i="5"/>
  <c r="AX114" i="5"/>
  <c r="AY114" i="5"/>
  <c r="AZ114" i="5"/>
  <c r="BA114" i="5"/>
  <c r="BB114" i="5"/>
  <c r="BC114" i="5"/>
  <c r="BD114" i="5"/>
  <c r="BE114" i="5"/>
  <c r="BF114" i="5"/>
  <c r="BG114" i="5"/>
  <c r="BH114" i="5"/>
  <c r="BI114" i="5"/>
  <c r="BJ114" i="5"/>
  <c r="BK114" i="5"/>
  <c r="BL114" i="5"/>
  <c r="BM114" i="5"/>
  <c r="BN114" i="5"/>
  <c r="BO114" i="5"/>
  <c r="BP114" i="5"/>
  <c r="BQ114" i="5"/>
  <c r="BR114" i="5"/>
  <c r="BS114" i="5"/>
  <c r="BT114" i="5"/>
  <c r="BU114" i="5"/>
  <c r="BV114" i="5"/>
  <c r="BW114" i="5"/>
  <c r="BX114" i="5"/>
  <c r="BY114" i="5"/>
  <c r="BZ114" i="5"/>
  <c r="CA114" i="5"/>
  <c r="CB114" i="5"/>
  <c r="CC114" i="5"/>
  <c r="CD114" i="5"/>
  <c r="CE114" i="5"/>
  <c r="CF114" i="5"/>
  <c r="CG114" i="5"/>
  <c r="CH114" i="5"/>
  <c r="CI114" i="5"/>
  <c r="CJ114" i="5"/>
  <c r="CK114" i="5"/>
  <c r="CL114" i="5"/>
  <c r="CM114" i="5"/>
  <c r="CN114" i="5"/>
  <c r="CO114" i="5"/>
  <c r="CP114" i="5"/>
  <c r="CQ114" i="5"/>
  <c r="CR114" i="5"/>
  <c r="CS114" i="5"/>
  <c r="CT114" i="5"/>
  <c r="CU114" i="5"/>
  <c r="CV114" i="5"/>
  <c r="CW114" i="5"/>
  <c r="CX114" i="5"/>
  <c r="CY114" i="5"/>
  <c r="CZ114" i="5"/>
  <c r="DA114" i="5"/>
  <c r="DB114" i="5"/>
  <c r="DC114" i="5"/>
  <c r="DD114" i="5"/>
  <c r="DE114" i="5"/>
  <c r="DF114" i="5"/>
  <c r="DG114" i="5"/>
  <c r="DH114" i="5"/>
  <c r="DI114" i="5"/>
  <c r="DJ114" i="5"/>
  <c r="DK114" i="5"/>
  <c r="DL114" i="5"/>
  <c r="DM114" i="5"/>
  <c r="DN114" i="5"/>
  <c r="DO114" i="5"/>
  <c r="DP114" i="5"/>
  <c r="DQ114" i="5"/>
  <c r="DR114" i="5"/>
  <c r="DS114" i="5"/>
  <c r="DT114" i="5"/>
  <c r="DU114" i="5"/>
  <c r="DV114" i="5"/>
  <c r="DW114" i="5"/>
  <c r="DX114" i="5"/>
  <c r="DY114" i="5"/>
  <c r="DZ114" i="5"/>
  <c r="EA114" i="5"/>
  <c r="EB114" i="5"/>
  <c r="EC114" i="5"/>
  <c r="ED114" i="5"/>
  <c r="EE114" i="5"/>
  <c r="EF114" i="5"/>
  <c r="EG114" i="5"/>
  <c r="EH114" i="5"/>
  <c r="EI114" i="5"/>
  <c r="EJ114" i="5"/>
  <c r="EK114" i="5"/>
  <c r="EL114" i="5"/>
  <c r="EM114" i="5"/>
  <c r="EN114" i="5"/>
  <c r="EO114" i="5"/>
  <c r="EP114" i="5"/>
  <c r="EQ114" i="5"/>
  <c r="ER114" i="5"/>
  <c r="ES114" i="5"/>
  <c r="ET114" i="5"/>
  <c r="EU114" i="5"/>
  <c r="EV114" i="5"/>
  <c r="EW114" i="5"/>
  <c r="EX114" i="5"/>
  <c r="EY114" i="5"/>
  <c r="EZ114" i="5"/>
  <c r="FA114" i="5"/>
  <c r="FB114" i="5"/>
  <c r="FC114" i="5"/>
  <c r="FD114" i="5"/>
  <c r="FE114" i="5"/>
  <c r="FF114" i="5"/>
  <c r="FG114" i="5"/>
  <c r="FH114" i="5"/>
  <c r="FI114" i="5"/>
  <c r="FJ114" i="5"/>
  <c r="FK114" i="5"/>
  <c r="FL114" i="5"/>
  <c r="FM114" i="5"/>
  <c r="FN114" i="5"/>
  <c r="FO114" i="5"/>
  <c r="FP114" i="5"/>
  <c r="FQ114" i="5"/>
  <c r="FR114" i="5"/>
  <c r="FS114" i="5"/>
  <c r="FT114" i="5"/>
  <c r="FU114" i="5"/>
  <c r="FV114" i="5"/>
  <c r="FW114" i="5"/>
  <c r="FX114" i="5"/>
  <c r="FY114" i="5"/>
  <c r="FZ114" i="5"/>
  <c r="GA114" i="5"/>
  <c r="GB114" i="5"/>
  <c r="GC114" i="5"/>
  <c r="GD114" i="5"/>
  <c r="GE114" i="5"/>
  <c r="GF114" i="5"/>
  <c r="GG114" i="5"/>
  <c r="GH114" i="5"/>
  <c r="GI114" i="5"/>
  <c r="GJ114" i="5"/>
  <c r="GK114" i="5"/>
  <c r="GL114" i="5"/>
  <c r="GM114" i="5"/>
  <c r="GN114" i="5"/>
  <c r="GO114" i="5"/>
  <c r="GP114" i="5"/>
  <c r="GQ114" i="5"/>
  <c r="GR114" i="5"/>
  <c r="GS114" i="5"/>
  <c r="GT114" i="5"/>
  <c r="GU114" i="5"/>
  <c r="GV114" i="5"/>
  <c r="GW114" i="5"/>
  <c r="GX114" i="5"/>
  <c r="GY114" i="5"/>
  <c r="GZ114" i="5"/>
  <c r="HA114" i="5"/>
  <c r="HB114" i="5"/>
  <c r="HC114" i="5"/>
  <c r="HD114" i="5"/>
  <c r="HE114" i="5"/>
  <c r="HF114" i="5"/>
  <c r="HG114" i="5"/>
  <c r="HH114" i="5"/>
  <c r="HI114" i="5"/>
  <c r="HJ114" i="5"/>
  <c r="HK114" i="5"/>
  <c r="HL114" i="5"/>
  <c r="HM114" i="5"/>
  <c r="HN114" i="5"/>
  <c r="HO114" i="5"/>
  <c r="HP114" i="5"/>
  <c r="HQ114" i="5"/>
  <c r="HR114" i="5"/>
  <c r="HS114" i="5"/>
  <c r="HT114" i="5"/>
  <c r="HU114" i="5"/>
  <c r="HV114" i="5"/>
  <c r="HW114" i="5"/>
  <c r="HX114" i="5"/>
  <c r="HY114" i="5"/>
  <c r="HZ114" i="5"/>
  <c r="IA114" i="5"/>
  <c r="IB114" i="5"/>
  <c r="IC114" i="5"/>
  <c r="ID114" i="5"/>
  <c r="IE114" i="5"/>
  <c r="IF114" i="5"/>
  <c r="IG114" i="5"/>
  <c r="IH114" i="5"/>
  <c r="II114" i="5"/>
  <c r="IJ114" i="5"/>
  <c r="IK114" i="5"/>
  <c r="IL114" i="5"/>
  <c r="IM114" i="5"/>
  <c r="IN114" i="5"/>
  <c r="IO114" i="5"/>
  <c r="IP114" i="5"/>
  <c r="IQ114" i="5"/>
  <c r="IR114" i="5"/>
  <c r="IS114" i="5"/>
  <c r="IT114" i="5"/>
  <c r="IU114" i="5"/>
  <c r="IV114" i="5"/>
  <c r="A113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Q113" i="5"/>
  <c r="AR113" i="5"/>
  <c r="AS113" i="5"/>
  <c r="AT113" i="5"/>
  <c r="AU113" i="5"/>
  <c r="AV113" i="5"/>
  <c r="AW113" i="5"/>
  <c r="AX113" i="5"/>
  <c r="AY113" i="5"/>
  <c r="AZ113" i="5"/>
  <c r="BA113" i="5"/>
  <c r="BB113" i="5"/>
  <c r="BC113" i="5"/>
  <c r="BD113" i="5"/>
  <c r="BE113" i="5"/>
  <c r="BF113" i="5"/>
  <c r="BG113" i="5"/>
  <c r="BH113" i="5"/>
  <c r="BI113" i="5"/>
  <c r="BJ113" i="5"/>
  <c r="BK113" i="5"/>
  <c r="BL113" i="5"/>
  <c r="BM113" i="5"/>
  <c r="BN113" i="5"/>
  <c r="BO113" i="5"/>
  <c r="BP113" i="5"/>
  <c r="BQ113" i="5"/>
  <c r="BR113" i="5"/>
  <c r="BS113" i="5"/>
  <c r="BT113" i="5"/>
  <c r="BU113" i="5"/>
  <c r="BV113" i="5"/>
  <c r="BW113" i="5"/>
  <c r="BX113" i="5"/>
  <c r="BY113" i="5"/>
  <c r="BZ113" i="5"/>
  <c r="CA113" i="5"/>
  <c r="CB113" i="5"/>
  <c r="CC113" i="5"/>
  <c r="CD113" i="5"/>
  <c r="CE113" i="5"/>
  <c r="CF113" i="5"/>
  <c r="CG113" i="5"/>
  <c r="CH113" i="5"/>
  <c r="CI113" i="5"/>
  <c r="CJ113" i="5"/>
  <c r="CK113" i="5"/>
  <c r="CL113" i="5"/>
  <c r="CM113" i="5"/>
  <c r="CN113" i="5"/>
  <c r="CO113" i="5"/>
  <c r="CP113" i="5"/>
  <c r="CQ113" i="5"/>
  <c r="CR113" i="5"/>
  <c r="CS113" i="5"/>
  <c r="CT113" i="5"/>
  <c r="CU113" i="5"/>
  <c r="CV113" i="5"/>
  <c r="CW113" i="5"/>
  <c r="CX113" i="5"/>
  <c r="CY113" i="5"/>
  <c r="CZ113" i="5"/>
  <c r="DA113" i="5"/>
  <c r="DB113" i="5"/>
  <c r="DC113" i="5"/>
  <c r="DD113" i="5"/>
  <c r="DE113" i="5"/>
  <c r="DF113" i="5"/>
  <c r="DG113" i="5"/>
  <c r="DH113" i="5"/>
  <c r="DI113" i="5"/>
  <c r="DJ113" i="5"/>
  <c r="DK113" i="5"/>
  <c r="DL113" i="5"/>
  <c r="DM113" i="5"/>
  <c r="DN113" i="5"/>
  <c r="DO113" i="5"/>
  <c r="DP113" i="5"/>
  <c r="DQ113" i="5"/>
  <c r="DR113" i="5"/>
  <c r="DS113" i="5"/>
  <c r="DT113" i="5"/>
  <c r="DU113" i="5"/>
  <c r="DV113" i="5"/>
  <c r="DW113" i="5"/>
  <c r="DX113" i="5"/>
  <c r="DY113" i="5"/>
  <c r="DZ113" i="5"/>
  <c r="EA113" i="5"/>
  <c r="EB113" i="5"/>
  <c r="EC113" i="5"/>
  <c r="ED113" i="5"/>
  <c r="EE113" i="5"/>
  <c r="EF113" i="5"/>
  <c r="EG113" i="5"/>
  <c r="EH113" i="5"/>
  <c r="EI113" i="5"/>
  <c r="EJ113" i="5"/>
  <c r="EK113" i="5"/>
  <c r="EL113" i="5"/>
  <c r="EM113" i="5"/>
  <c r="EN113" i="5"/>
  <c r="EO113" i="5"/>
  <c r="EP113" i="5"/>
  <c r="EQ113" i="5"/>
  <c r="ER113" i="5"/>
  <c r="ES113" i="5"/>
  <c r="ET113" i="5"/>
  <c r="EU113" i="5"/>
  <c r="EV113" i="5"/>
  <c r="EW113" i="5"/>
  <c r="EX113" i="5"/>
  <c r="EY113" i="5"/>
  <c r="EZ113" i="5"/>
  <c r="FA113" i="5"/>
  <c r="FB113" i="5"/>
  <c r="FC113" i="5"/>
  <c r="FD113" i="5"/>
  <c r="FE113" i="5"/>
  <c r="FF113" i="5"/>
  <c r="FG113" i="5"/>
  <c r="FH113" i="5"/>
  <c r="FI113" i="5"/>
  <c r="FJ113" i="5"/>
  <c r="FK113" i="5"/>
  <c r="FL113" i="5"/>
  <c r="FM113" i="5"/>
  <c r="FN113" i="5"/>
  <c r="FO113" i="5"/>
  <c r="FP113" i="5"/>
  <c r="FQ113" i="5"/>
  <c r="FR113" i="5"/>
  <c r="FS113" i="5"/>
  <c r="FT113" i="5"/>
  <c r="FU113" i="5"/>
  <c r="FV113" i="5"/>
  <c r="FW113" i="5"/>
  <c r="FX113" i="5"/>
  <c r="FY113" i="5"/>
  <c r="FZ113" i="5"/>
  <c r="GA113" i="5"/>
  <c r="GB113" i="5"/>
  <c r="GC113" i="5"/>
  <c r="GD113" i="5"/>
  <c r="GE113" i="5"/>
  <c r="GF113" i="5"/>
  <c r="GG113" i="5"/>
  <c r="GH113" i="5"/>
  <c r="GI113" i="5"/>
  <c r="GJ113" i="5"/>
  <c r="GK113" i="5"/>
  <c r="GL113" i="5"/>
  <c r="GM113" i="5"/>
  <c r="GN113" i="5"/>
  <c r="GO113" i="5"/>
  <c r="GP113" i="5"/>
  <c r="GQ113" i="5"/>
  <c r="GR113" i="5"/>
  <c r="GS113" i="5"/>
  <c r="GT113" i="5"/>
  <c r="GU113" i="5"/>
  <c r="GV113" i="5"/>
  <c r="GW113" i="5"/>
  <c r="GX113" i="5"/>
  <c r="GY113" i="5"/>
  <c r="GZ113" i="5"/>
  <c r="HA113" i="5"/>
  <c r="HB113" i="5"/>
  <c r="HC113" i="5"/>
  <c r="HD113" i="5"/>
  <c r="HE113" i="5"/>
  <c r="HF113" i="5"/>
  <c r="HG113" i="5"/>
  <c r="HH113" i="5"/>
  <c r="HI113" i="5"/>
  <c r="HJ113" i="5"/>
  <c r="HK113" i="5"/>
  <c r="HL113" i="5"/>
  <c r="HM113" i="5"/>
  <c r="HN113" i="5"/>
  <c r="HO113" i="5"/>
  <c r="HP113" i="5"/>
  <c r="HQ113" i="5"/>
  <c r="HR113" i="5"/>
  <c r="HS113" i="5"/>
  <c r="HT113" i="5"/>
  <c r="HU113" i="5"/>
  <c r="HV113" i="5"/>
  <c r="HW113" i="5"/>
  <c r="HX113" i="5"/>
  <c r="HY113" i="5"/>
  <c r="HZ113" i="5"/>
  <c r="IA113" i="5"/>
  <c r="IB113" i="5"/>
  <c r="IC113" i="5"/>
  <c r="ID113" i="5"/>
  <c r="IE113" i="5"/>
  <c r="IF113" i="5"/>
  <c r="IG113" i="5"/>
  <c r="IH113" i="5"/>
  <c r="II113" i="5"/>
  <c r="IJ113" i="5"/>
  <c r="IK113" i="5"/>
  <c r="IL113" i="5"/>
  <c r="IM113" i="5"/>
  <c r="IN113" i="5"/>
  <c r="IO113" i="5"/>
  <c r="IP113" i="5"/>
  <c r="IQ113" i="5"/>
  <c r="IR113" i="5"/>
  <c r="IS113" i="5"/>
  <c r="IT113" i="5"/>
  <c r="IU113" i="5"/>
  <c r="IV113" i="5"/>
  <c r="A112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Q112" i="5"/>
  <c r="AR112" i="5"/>
  <c r="AS112" i="5"/>
  <c r="AT112" i="5"/>
  <c r="AU112" i="5"/>
  <c r="AV112" i="5"/>
  <c r="AW112" i="5"/>
  <c r="AX112" i="5"/>
  <c r="AY112" i="5"/>
  <c r="AZ112" i="5"/>
  <c r="BA112" i="5"/>
  <c r="BB112" i="5"/>
  <c r="BC112" i="5"/>
  <c r="BD112" i="5"/>
  <c r="BE112" i="5"/>
  <c r="BF112" i="5"/>
  <c r="BG112" i="5"/>
  <c r="BH112" i="5"/>
  <c r="BI112" i="5"/>
  <c r="BJ112" i="5"/>
  <c r="BK112" i="5"/>
  <c r="BL112" i="5"/>
  <c r="BM112" i="5"/>
  <c r="BN112" i="5"/>
  <c r="BO112" i="5"/>
  <c r="BP112" i="5"/>
  <c r="BQ112" i="5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P112" i="5"/>
  <c r="CQ112" i="5"/>
  <c r="CR112" i="5"/>
  <c r="CS112" i="5"/>
  <c r="CT112" i="5"/>
  <c r="CU112" i="5"/>
  <c r="CV112" i="5"/>
  <c r="CW112" i="5"/>
  <c r="CX112" i="5"/>
  <c r="CY112" i="5"/>
  <c r="CZ112" i="5"/>
  <c r="DA112" i="5"/>
  <c r="DB112" i="5"/>
  <c r="DC112" i="5"/>
  <c r="DD112" i="5"/>
  <c r="DE112" i="5"/>
  <c r="DF112" i="5"/>
  <c r="DG112" i="5"/>
  <c r="DH112" i="5"/>
  <c r="DI112" i="5"/>
  <c r="DJ112" i="5"/>
  <c r="DK112" i="5"/>
  <c r="DL112" i="5"/>
  <c r="DM112" i="5"/>
  <c r="DN112" i="5"/>
  <c r="DO112" i="5"/>
  <c r="DP112" i="5"/>
  <c r="DQ112" i="5"/>
  <c r="DR112" i="5"/>
  <c r="DS112" i="5"/>
  <c r="DT112" i="5"/>
  <c r="DU112" i="5"/>
  <c r="DV112" i="5"/>
  <c r="DW112" i="5"/>
  <c r="DX112" i="5"/>
  <c r="DY112" i="5"/>
  <c r="DZ112" i="5"/>
  <c r="EA112" i="5"/>
  <c r="EB112" i="5"/>
  <c r="EC112" i="5"/>
  <c r="ED112" i="5"/>
  <c r="EE112" i="5"/>
  <c r="EF112" i="5"/>
  <c r="EG112" i="5"/>
  <c r="EH112" i="5"/>
  <c r="EI112" i="5"/>
  <c r="EJ112" i="5"/>
  <c r="EK112" i="5"/>
  <c r="EL112" i="5"/>
  <c r="EM112" i="5"/>
  <c r="EN112" i="5"/>
  <c r="EO112" i="5"/>
  <c r="EP112" i="5"/>
  <c r="EQ112" i="5"/>
  <c r="ER112" i="5"/>
  <c r="ES112" i="5"/>
  <c r="ET112" i="5"/>
  <c r="EU112" i="5"/>
  <c r="EV112" i="5"/>
  <c r="EW112" i="5"/>
  <c r="EX112" i="5"/>
  <c r="EY112" i="5"/>
  <c r="EZ112" i="5"/>
  <c r="FA112" i="5"/>
  <c r="FB112" i="5"/>
  <c r="FC112" i="5"/>
  <c r="FD112" i="5"/>
  <c r="FE112" i="5"/>
  <c r="FF112" i="5"/>
  <c r="FG112" i="5"/>
  <c r="FH112" i="5"/>
  <c r="FI112" i="5"/>
  <c r="FJ112" i="5"/>
  <c r="FK112" i="5"/>
  <c r="FL112" i="5"/>
  <c r="FM112" i="5"/>
  <c r="FN112" i="5"/>
  <c r="FO112" i="5"/>
  <c r="FP112" i="5"/>
  <c r="FQ112" i="5"/>
  <c r="FR112" i="5"/>
  <c r="FS112" i="5"/>
  <c r="FT112" i="5"/>
  <c r="FU112" i="5"/>
  <c r="FV112" i="5"/>
  <c r="FW112" i="5"/>
  <c r="FX112" i="5"/>
  <c r="FY112" i="5"/>
  <c r="FZ112" i="5"/>
  <c r="GA112" i="5"/>
  <c r="GB112" i="5"/>
  <c r="GC112" i="5"/>
  <c r="GD112" i="5"/>
  <c r="GE112" i="5"/>
  <c r="GF112" i="5"/>
  <c r="GG112" i="5"/>
  <c r="GH112" i="5"/>
  <c r="GI112" i="5"/>
  <c r="GJ112" i="5"/>
  <c r="GK112" i="5"/>
  <c r="GL112" i="5"/>
  <c r="GM112" i="5"/>
  <c r="GN112" i="5"/>
  <c r="GO112" i="5"/>
  <c r="GP112" i="5"/>
  <c r="GQ112" i="5"/>
  <c r="GR112" i="5"/>
  <c r="GS112" i="5"/>
  <c r="GT112" i="5"/>
  <c r="GU112" i="5"/>
  <c r="GV112" i="5"/>
  <c r="GW112" i="5"/>
  <c r="GX112" i="5"/>
  <c r="GY112" i="5"/>
  <c r="GZ112" i="5"/>
  <c r="HA112" i="5"/>
  <c r="HB112" i="5"/>
  <c r="HC112" i="5"/>
  <c r="HD112" i="5"/>
  <c r="HE112" i="5"/>
  <c r="HF112" i="5"/>
  <c r="HG112" i="5"/>
  <c r="HH112" i="5"/>
  <c r="HI112" i="5"/>
  <c r="HJ112" i="5"/>
  <c r="HK112" i="5"/>
  <c r="HL112" i="5"/>
  <c r="HM112" i="5"/>
  <c r="HN112" i="5"/>
  <c r="HO112" i="5"/>
  <c r="HP112" i="5"/>
  <c r="HQ112" i="5"/>
  <c r="HR112" i="5"/>
  <c r="HS112" i="5"/>
  <c r="HT112" i="5"/>
  <c r="HU112" i="5"/>
  <c r="HV112" i="5"/>
  <c r="HW112" i="5"/>
  <c r="HX112" i="5"/>
  <c r="HY112" i="5"/>
  <c r="HZ112" i="5"/>
  <c r="IA112" i="5"/>
  <c r="IB112" i="5"/>
  <c r="IC112" i="5"/>
  <c r="ID112" i="5"/>
  <c r="IE112" i="5"/>
  <c r="IF112" i="5"/>
  <c r="IG112" i="5"/>
  <c r="IH112" i="5"/>
  <c r="II112" i="5"/>
  <c r="IJ112" i="5"/>
  <c r="IK112" i="5"/>
  <c r="IL112" i="5"/>
  <c r="IM112" i="5"/>
  <c r="IN112" i="5"/>
  <c r="IO112" i="5"/>
  <c r="IP112" i="5"/>
  <c r="IQ112" i="5"/>
  <c r="IR112" i="5"/>
  <c r="IS112" i="5"/>
  <c r="IT112" i="5"/>
  <c r="IU112" i="5"/>
  <c r="IV112" i="5"/>
  <c r="A111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Q111" i="5"/>
  <c r="AR111" i="5"/>
  <c r="AS111" i="5"/>
  <c r="AT111" i="5"/>
  <c r="AU111" i="5"/>
  <c r="AV111" i="5"/>
  <c r="AW111" i="5"/>
  <c r="AX111" i="5"/>
  <c r="AY111" i="5"/>
  <c r="AZ111" i="5"/>
  <c r="BA111" i="5"/>
  <c r="BB111" i="5"/>
  <c r="BC111" i="5"/>
  <c r="BD111" i="5"/>
  <c r="BE111" i="5"/>
  <c r="BF111" i="5"/>
  <c r="BG111" i="5"/>
  <c r="BH111" i="5"/>
  <c r="BI111" i="5"/>
  <c r="BJ111" i="5"/>
  <c r="BK111" i="5"/>
  <c r="BL111" i="5"/>
  <c r="BM111" i="5"/>
  <c r="BN111" i="5"/>
  <c r="BO111" i="5"/>
  <c r="BP111" i="5"/>
  <c r="BQ111" i="5"/>
  <c r="BR111" i="5"/>
  <c r="BS111" i="5"/>
  <c r="BT111" i="5"/>
  <c r="BU111" i="5"/>
  <c r="BV111" i="5"/>
  <c r="BW111" i="5"/>
  <c r="BX111" i="5"/>
  <c r="BY111" i="5"/>
  <c r="BZ111" i="5"/>
  <c r="CA111" i="5"/>
  <c r="CB111" i="5"/>
  <c r="CC111" i="5"/>
  <c r="CD111" i="5"/>
  <c r="CE111" i="5"/>
  <c r="CF111" i="5"/>
  <c r="CG111" i="5"/>
  <c r="CH111" i="5"/>
  <c r="CI111" i="5"/>
  <c r="CJ111" i="5"/>
  <c r="CK111" i="5"/>
  <c r="CL111" i="5"/>
  <c r="CM111" i="5"/>
  <c r="CN111" i="5"/>
  <c r="CO111" i="5"/>
  <c r="CP111" i="5"/>
  <c r="CQ111" i="5"/>
  <c r="CR111" i="5"/>
  <c r="CS111" i="5"/>
  <c r="CT111" i="5"/>
  <c r="CU111" i="5"/>
  <c r="CV111" i="5"/>
  <c r="CW111" i="5"/>
  <c r="CX111" i="5"/>
  <c r="CY111" i="5"/>
  <c r="CZ111" i="5"/>
  <c r="DA111" i="5"/>
  <c r="DB111" i="5"/>
  <c r="DC111" i="5"/>
  <c r="DD111" i="5"/>
  <c r="DE111" i="5"/>
  <c r="DF111" i="5"/>
  <c r="DG111" i="5"/>
  <c r="DH111" i="5"/>
  <c r="DI111" i="5"/>
  <c r="DJ111" i="5"/>
  <c r="DK111" i="5"/>
  <c r="DL111" i="5"/>
  <c r="DM111" i="5"/>
  <c r="DN111" i="5"/>
  <c r="DO111" i="5"/>
  <c r="DP111" i="5"/>
  <c r="DQ111" i="5"/>
  <c r="DR111" i="5"/>
  <c r="DS111" i="5"/>
  <c r="DT111" i="5"/>
  <c r="DU111" i="5"/>
  <c r="DV111" i="5"/>
  <c r="DW111" i="5"/>
  <c r="DX111" i="5"/>
  <c r="DY111" i="5"/>
  <c r="DZ111" i="5"/>
  <c r="EA111" i="5"/>
  <c r="EB111" i="5"/>
  <c r="EC111" i="5"/>
  <c r="ED111" i="5"/>
  <c r="EE111" i="5"/>
  <c r="EF111" i="5"/>
  <c r="EG111" i="5"/>
  <c r="EH111" i="5"/>
  <c r="EI111" i="5"/>
  <c r="EJ111" i="5"/>
  <c r="EK111" i="5"/>
  <c r="EL111" i="5"/>
  <c r="EM111" i="5"/>
  <c r="EN111" i="5"/>
  <c r="EO111" i="5"/>
  <c r="EP111" i="5"/>
  <c r="EQ111" i="5"/>
  <c r="ER111" i="5"/>
  <c r="ES111" i="5"/>
  <c r="ET111" i="5"/>
  <c r="EU111" i="5"/>
  <c r="EV111" i="5"/>
  <c r="EW111" i="5"/>
  <c r="EX111" i="5"/>
  <c r="EY111" i="5"/>
  <c r="EZ111" i="5"/>
  <c r="FA111" i="5"/>
  <c r="FB111" i="5"/>
  <c r="FC111" i="5"/>
  <c r="FD111" i="5"/>
  <c r="FE111" i="5"/>
  <c r="FF111" i="5"/>
  <c r="FG111" i="5"/>
  <c r="FH111" i="5"/>
  <c r="FI111" i="5"/>
  <c r="FJ111" i="5"/>
  <c r="FK111" i="5"/>
  <c r="FL111" i="5"/>
  <c r="FM111" i="5"/>
  <c r="FN111" i="5"/>
  <c r="FO111" i="5"/>
  <c r="FP111" i="5"/>
  <c r="FQ111" i="5"/>
  <c r="FR111" i="5"/>
  <c r="FS111" i="5"/>
  <c r="FT111" i="5"/>
  <c r="FU111" i="5"/>
  <c r="FV111" i="5"/>
  <c r="FW111" i="5"/>
  <c r="FX111" i="5"/>
  <c r="FY111" i="5"/>
  <c r="FZ111" i="5"/>
  <c r="GA111" i="5"/>
  <c r="GB111" i="5"/>
  <c r="GC111" i="5"/>
  <c r="GD111" i="5"/>
  <c r="GE111" i="5"/>
  <c r="GF111" i="5"/>
  <c r="GG111" i="5"/>
  <c r="GH111" i="5"/>
  <c r="GI111" i="5"/>
  <c r="GJ111" i="5"/>
  <c r="GK111" i="5"/>
  <c r="GL111" i="5"/>
  <c r="GM111" i="5"/>
  <c r="GN111" i="5"/>
  <c r="GO111" i="5"/>
  <c r="GP111" i="5"/>
  <c r="GQ111" i="5"/>
  <c r="GR111" i="5"/>
  <c r="GS111" i="5"/>
  <c r="GT111" i="5"/>
  <c r="GU111" i="5"/>
  <c r="GV111" i="5"/>
  <c r="GW111" i="5"/>
  <c r="GX111" i="5"/>
  <c r="GY111" i="5"/>
  <c r="GZ111" i="5"/>
  <c r="HA111" i="5"/>
  <c r="HB111" i="5"/>
  <c r="HC111" i="5"/>
  <c r="HD111" i="5"/>
  <c r="HE111" i="5"/>
  <c r="HF111" i="5"/>
  <c r="HG111" i="5"/>
  <c r="HH111" i="5"/>
  <c r="HI111" i="5"/>
  <c r="HJ111" i="5"/>
  <c r="HK111" i="5"/>
  <c r="HL111" i="5"/>
  <c r="HM111" i="5"/>
  <c r="HN111" i="5"/>
  <c r="HO111" i="5"/>
  <c r="HP111" i="5"/>
  <c r="HQ111" i="5"/>
  <c r="HR111" i="5"/>
  <c r="HS111" i="5"/>
  <c r="HT111" i="5"/>
  <c r="HU111" i="5"/>
  <c r="HV111" i="5"/>
  <c r="HW111" i="5"/>
  <c r="HX111" i="5"/>
  <c r="HY111" i="5"/>
  <c r="HZ111" i="5"/>
  <c r="IA111" i="5"/>
  <c r="IB111" i="5"/>
  <c r="IC111" i="5"/>
  <c r="ID111" i="5"/>
  <c r="IE111" i="5"/>
  <c r="IF111" i="5"/>
  <c r="IG111" i="5"/>
  <c r="IH111" i="5"/>
  <c r="II111" i="5"/>
  <c r="IJ111" i="5"/>
  <c r="IK111" i="5"/>
  <c r="IL111" i="5"/>
  <c r="IM111" i="5"/>
  <c r="IN111" i="5"/>
  <c r="IO111" i="5"/>
  <c r="IP111" i="5"/>
  <c r="IQ111" i="5"/>
  <c r="IR111" i="5"/>
  <c r="IS111" i="5"/>
  <c r="IT111" i="5"/>
  <c r="IU111" i="5"/>
  <c r="IV111" i="5"/>
  <c r="A110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Q110" i="5"/>
  <c r="AR110" i="5"/>
  <c r="AS110" i="5"/>
  <c r="AT110" i="5"/>
  <c r="AU110" i="5"/>
  <c r="AV110" i="5"/>
  <c r="AW110" i="5"/>
  <c r="AX110" i="5"/>
  <c r="AY110" i="5"/>
  <c r="AZ110" i="5"/>
  <c r="BA110" i="5"/>
  <c r="BB110" i="5"/>
  <c r="BC110" i="5"/>
  <c r="BD110" i="5"/>
  <c r="BE110" i="5"/>
  <c r="BF110" i="5"/>
  <c r="BG110" i="5"/>
  <c r="BH110" i="5"/>
  <c r="BI110" i="5"/>
  <c r="BJ110" i="5"/>
  <c r="BK110" i="5"/>
  <c r="BL110" i="5"/>
  <c r="BM110" i="5"/>
  <c r="BN110" i="5"/>
  <c r="BO110" i="5"/>
  <c r="BP110" i="5"/>
  <c r="BQ110" i="5"/>
  <c r="BR110" i="5"/>
  <c r="BS110" i="5"/>
  <c r="BT110" i="5"/>
  <c r="BU110" i="5"/>
  <c r="BV110" i="5"/>
  <c r="BW110" i="5"/>
  <c r="BX110" i="5"/>
  <c r="BY110" i="5"/>
  <c r="BZ110" i="5"/>
  <c r="CA110" i="5"/>
  <c r="CB110" i="5"/>
  <c r="CC110" i="5"/>
  <c r="CD110" i="5"/>
  <c r="CE110" i="5"/>
  <c r="CF110" i="5"/>
  <c r="CG110" i="5"/>
  <c r="CH110" i="5"/>
  <c r="CI110" i="5"/>
  <c r="CJ110" i="5"/>
  <c r="CK110" i="5"/>
  <c r="CL110" i="5"/>
  <c r="CM110" i="5"/>
  <c r="CN110" i="5"/>
  <c r="CO110" i="5"/>
  <c r="CP110" i="5"/>
  <c r="CQ110" i="5"/>
  <c r="CR110" i="5"/>
  <c r="CS110" i="5"/>
  <c r="CT110" i="5"/>
  <c r="CU110" i="5"/>
  <c r="CV110" i="5"/>
  <c r="CW110" i="5"/>
  <c r="CX110" i="5"/>
  <c r="CY110" i="5"/>
  <c r="CZ110" i="5"/>
  <c r="DA110" i="5"/>
  <c r="DB110" i="5"/>
  <c r="DC110" i="5"/>
  <c r="DD110" i="5"/>
  <c r="DE110" i="5"/>
  <c r="DF110" i="5"/>
  <c r="DG110" i="5"/>
  <c r="DH110" i="5"/>
  <c r="DI110" i="5"/>
  <c r="DJ110" i="5"/>
  <c r="DK110" i="5"/>
  <c r="DL110" i="5"/>
  <c r="DM110" i="5"/>
  <c r="DN110" i="5"/>
  <c r="DO110" i="5"/>
  <c r="DP110" i="5"/>
  <c r="DQ110" i="5"/>
  <c r="DR110" i="5"/>
  <c r="DS110" i="5"/>
  <c r="DT110" i="5"/>
  <c r="DU110" i="5"/>
  <c r="DV110" i="5"/>
  <c r="DW110" i="5"/>
  <c r="DX110" i="5"/>
  <c r="DY110" i="5"/>
  <c r="DZ110" i="5"/>
  <c r="EA110" i="5"/>
  <c r="EB110" i="5"/>
  <c r="EC110" i="5"/>
  <c r="ED110" i="5"/>
  <c r="EE110" i="5"/>
  <c r="EF110" i="5"/>
  <c r="EG110" i="5"/>
  <c r="EH110" i="5"/>
  <c r="EI110" i="5"/>
  <c r="EJ110" i="5"/>
  <c r="EK110" i="5"/>
  <c r="EL110" i="5"/>
  <c r="EM110" i="5"/>
  <c r="EN110" i="5"/>
  <c r="EO110" i="5"/>
  <c r="EP110" i="5"/>
  <c r="EQ110" i="5"/>
  <c r="ER110" i="5"/>
  <c r="ES110" i="5"/>
  <c r="ET110" i="5"/>
  <c r="EU110" i="5"/>
  <c r="EV110" i="5"/>
  <c r="EW110" i="5"/>
  <c r="EX110" i="5"/>
  <c r="EY110" i="5"/>
  <c r="EZ110" i="5"/>
  <c r="FA110" i="5"/>
  <c r="FB110" i="5"/>
  <c r="FC110" i="5"/>
  <c r="FD110" i="5"/>
  <c r="FE110" i="5"/>
  <c r="FF110" i="5"/>
  <c r="FG110" i="5"/>
  <c r="FH110" i="5"/>
  <c r="FI110" i="5"/>
  <c r="FJ110" i="5"/>
  <c r="FK110" i="5"/>
  <c r="FL110" i="5"/>
  <c r="FM110" i="5"/>
  <c r="FN110" i="5"/>
  <c r="FO110" i="5"/>
  <c r="FP110" i="5"/>
  <c r="FQ110" i="5"/>
  <c r="FR110" i="5"/>
  <c r="FS110" i="5"/>
  <c r="FT110" i="5"/>
  <c r="FU110" i="5"/>
  <c r="FV110" i="5"/>
  <c r="FW110" i="5"/>
  <c r="FX110" i="5"/>
  <c r="FY110" i="5"/>
  <c r="FZ110" i="5"/>
  <c r="GA110" i="5"/>
  <c r="GB110" i="5"/>
  <c r="GC110" i="5"/>
  <c r="GD110" i="5"/>
  <c r="GE110" i="5"/>
  <c r="GF110" i="5"/>
  <c r="GG110" i="5"/>
  <c r="GH110" i="5"/>
  <c r="GI110" i="5"/>
  <c r="GJ110" i="5"/>
  <c r="GK110" i="5"/>
  <c r="GL110" i="5"/>
  <c r="GM110" i="5"/>
  <c r="GN110" i="5"/>
  <c r="GO110" i="5"/>
  <c r="GP110" i="5"/>
  <c r="GQ110" i="5"/>
  <c r="GR110" i="5"/>
  <c r="GS110" i="5"/>
  <c r="GT110" i="5"/>
  <c r="GU110" i="5"/>
  <c r="GV110" i="5"/>
  <c r="GW110" i="5"/>
  <c r="GX110" i="5"/>
  <c r="GY110" i="5"/>
  <c r="GZ110" i="5"/>
  <c r="HA110" i="5"/>
  <c r="HB110" i="5"/>
  <c r="HC110" i="5"/>
  <c r="HD110" i="5"/>
  <c r="HE110" i="5"/>
  <c r="HF110" i="5"/>
  <c r="HG110" i="5"/>
  <c r="HH110" i="5"/>
  <c r="HI110" i="5"/>
  <c r="HJ110" i="5"/>
  <c r="HK110" i="5"/>
  <c r="HL110" i="5"/>
  <c r="HM110" i="5"/>
  <c r="HN110" i="5"/>
  <c r="HO110" i="5"/>
  <c r="HP110" i="5"/>
  <c r="HQ110" i="5"/>
  <c r="HR110" i="5"/>
  <c r="HS110" i="5"/>
  <c r="HT110" i="5"/>
  <c r="HU110" i="5"/>
  <c r="HV110" i="5"/>
  <c r="HW110" i="5"/>
  <c r="HX110" i="5"/>
  <c r="HY110" i="5"/>
  <c r="HZ110" i="5"/>
  <c r="IA110" i="5"/>
  <c r="IB110" i="5"/>
  <c r="IC110" i="5"/>
  <c r="ID110" i="5"/>
  <c r="IE110" i="5"/>
  <c r="IF110" i="5"/>
  <c r="IG110" i="5"/>
  <c r="IH110" i="5"/>
  <c r="II110" i="5"/>
  <c r="IJ110" i="5"/>
  <c r="IK110" i="5"/>
  <c r="IL110" i="5"/>
  <c r="IM110" i="5"/>
  <c r="IN110" i="5"/>
  <c r="IO110" i="5"/>
  <c r="IP110" i="5"/>
  <c r="IQ110" i="5"/>
  <c r="IR110" i="5"/>
  <c r="IS110" i="5"/>
  <c r="IT110" i="5"/>
  <c r="IU110" i="5"/>
  <c r="IV110" i="5"/>
  <c r="A109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Q109" i="5"/>
  <c r="AR109" i="5"/>
  <c r="AS109" i="5"/>
  <c r="AT109" i="5"/>
  <c r="AU109" i="5"/>
  <c r="AV109" i="5"/>
  <c r="AW109" i="5"/>
  <c r="AX109" i="5"/>
  <c r="AY109" i="5"/>
  <c r="AZ109" i="5"/>
  <c r="BA109" i="5"/>
  <c r="BB109" i="5"/>
  <c r="BC109" i="5"/>
  <c r="BD109" i="5"/>
  <c r="BE109" i="5"/>
  <c r="BF109" i="5"/>
  <c r="BG109" i="5"/>
  <c r="BH109" i="5"/>
  <c r="BI109" i="5"/>
  <c r="BJ109" i="5"/>
  <c r="BK109" i="5"/>
  <c r="BL109" i="5"/>
  <c r="BM109" i="5"/>
  <c r="BN109" i="5"/>
  <c r="BO109" i="5"/>
  <c r="BP109" i="5"/>
  <c r="BQ109" i="5"/>
  <c r="BR109" i="5"/>
  <c r="BS109" i="5"/>
  <c r="BT109" i="5"/>
  <c r="BU109" i="5"/>
  <c r="BV109" i="5"/>
  <c r="BW109" i="5"/>
  <c r="BX109" i="5"/>
  <c r="BY109" i="5"/>
  <c r="BZ109" i="5"/>
  <c r="CA109" i="5"/>
  <c r="CB109" i="5"/>
  <c r="CC109" i="5"/>
  <c r="CD109" i="5"/>
  <c r="CE109" i="5"/>
  <c r="CF109" i="5"/>
  <c r="CG109" i="5"/>
  <c r="CH109" i="5"/>
  <c r="CI109" i="5"/>
  <c r="CJ109" i="5"/>
  <c r="CK109" i="5"/>
  <c r="CL109" i="5"/>
  <c r="CM109" i="5"/>
  <c r="CN109" i="5"/>
  <c r="CO109" i="5"/>
  <c r="CP109" i="5"/>
  <c r="CQ109" i="5"/>
  <c r="CR109" i="5"/>
  <c r="CS109" i="5"/>
  <c r="CT109" i="5"/>
  <c r="CU109" i="5"/>
  <c r="CV109" i="5"/>
  <c r="CW109" i="5"/>
  <c r="CX109" i="5"/>
  <c r="CY109" i="5"/>
  <c r="CZ109" i="5"/>
  <c r="DA109" i="5"/>
  <c r="DB109" i="5"/>
  <c r="DC109" i="5"/>
  <c r="DD109" i="5"/>
  <c r="DE109" i="5"/>
  <c r="DF109" i="5"/>
  <c r="DG109" i="5"/>
  <c r="DH109" i="5"/>
  <c r="DI109" i="5"/>
  <c r="DJ109" i="5"/>
  <c r="DK109" i="5"/>
  <c r="DL109" i="5"/>
  <c r="DM109" i="5"/>
  <c r="DN109" i="5"/>
  <c r="DO109" i="5"/>
  <c r="DP109" i="5"/>
  <c r="DQ109" i="5"/>
  <c r="DR109" i="5"/>
  <c r="DS109" i="5"/>
  <c r="DT109" i="5"/>
  <c r="DU109" i="5"/>
  <c r="DV109" i="5"/>
  <c r="DW109" i="5"/>
  <c r="DX109" i="5"/>
  <c r="DY109" i="5"/>
  <c r="DZ109" i="5"/>
  <c r="EA109" i="5"/>
  <c r="EB109" i="5"/>
  <c r="EC109" i="5"/>
  <c r="ED109" i="5"/>
  <c r="EE109" i="5"/>
  <c r="EF109" i="5"/>
  <c r="EG109" i="5"/>
  <c r="EH109" i="5"/>
  <c r="EI109" i="5"/>
  <c r="EJ109" i="5"/>
  <c r="EK109" i="5"/>
  <c r="EL109" i="5"/>
  <c r="EM109" i="5"/>
  <c r="EN109" i="5"/>
  <c r="EO109" i="5"/>
  <c r="EP109" i="5"/>
  <c r="EQ109" i="5"/>
  <c r="ER109" i="5"/>
  <c r="ES109" i="5"/>
  <c r="ET109" i="5"/>
  <c r="EU109" i="5"/>
  <c r="EV109" i="5"/>
  <c r="EW109" i="5"/>
  <c r="EX109" i="5"/>
  <c r="EY109" i="5"/>
  <c r="EZ109" i="5"/>
  <c r="FA109" i="5"/>
  <c r="FB109" i="5"/>
  <c r="FC109" i="5"/>
  <c r="FD109" i="5"/>
  <c r="FE109" i="5"/>
  <c r="FF109" i="5"/>
  <c r="FG109" i="5"/>
  <c r="FH109" i="5"/>
  <c r="FI109" i="5"/>
  <c r="FJ109" i="5"/>
  <c r="FK109" i="5"/>
  <c r="FL109" i="5"/>
  <c r="FM109" i="5"/>
  <c r="FN109" i="5"/>
  <c r="FO109" i="5"/>
  <c r="FP109" i="5"/>
  <c r="FQ109" i="5"/>
  <c r="FR109" i="5"/>
  <c r="FS109" i="5"/>
  <c r="FT109" i="5"/>
  <c r="FU109" i="5"/>
  <c r="FV109" i="5"/>
  <c r="FW109" i="5"/>
  <c r="FX109" i="5"/>
  <c r="FY109" i="5"/>
  <c r="FZ109" i="5"/>
  <c r="GA109" i="5"/>
  <c r="GB109" i="5"/>
  <c r="GC109" i="5"/>
  <c r="GD109" i="5"/>
  <c r="GE109" i="5"/>
  <c r="GF109" i="5"/>
  <c r="GG109" i="5"/>
  <c r="GH109" i="5"/>
  <c r="GI109" i="5"/>
  <c r="GJ109" i="5"/>
  <c r="GK109" i="5"/>
  <c r="GL109" i="5"/>
  <c r="GM109" i="5"/>
  <c r="GN109" i="5"/>
  <c r="GO109" i="5"/>
  <c r="GP109" i="5"/>
  <c r="GQ109" i="5"/>
  <c r="GR109" i="5"/>
  <c r="GS109" i="5"/>
  <c r="GT109" i="5"/>
  <c r="GU109" i="5"/>
  <c r="GV109" i="5"/>
  <c r="GW109" i="5"/>
  <c r="GX109" i="5"/>
  <c r="GY109" i="5"/>
  <c r="GZ109" i="5"/>
  <c r="HA109" i="5"/>
  <c r="HB109" i="5"/>
  <c r="HC109" i="5"/>
  <c r="HD109" i="5"/>
  <c r="HE109" i="5"/>
  <c r="HF109" i="5"/>
  <c r="HG109" i="5"/>
  <c r="HH109" i="5"/>
  <c r="HI109" i="5"/>
  <c r="HJ109" i="5"/>
  <c r="HK109" i="5"/>
  <c r="HL109" i="5"/>
  <c r="HM109" i="5"/>
  <c r="HN109" i="5"/>
  <c r="HO109" i="5"/>
  <c r="HP109" i="5"/>
  <c r="HQ109" i="5"/>
  <c r="HR109" i="5"/>
  <c r="HS109" i="5"/>
  <c r="HT109" i="5"/>
  <c r="HU109" i="5"/>
  <c r="HV109" i="5"/>
  <c r="HW109" i="5"/>
  <c r="HX109" i="5"/>
  <c r="HY109" i="5"/>
  <c r="HZ109" i="5"/>
  <c r="IA109" i="5"/>
  <c r="IB109" i="5"/>
  <c r="IC109" i="5"/>
  <c r="ID109" i="5"/>
  <c r="IE109" i="5"/>
  <c r="IF109" i="5"/>
  <c r="IG109" i="5"/>
  <c r="IH109" i="5"/>
  <c r="II109" i="5"/>
  <c r="IJ109" i="5"/>
  <c r="IK109" i="5"/>
  <c r="IL109" i="5"/>
  <c r="IM109" i="5"/>
  <c r="IN109" i="5"/>
  <c r="IO109" i="5"/>
  <c r="IP109" i="5"/>
  <c r="IQ109" i="5"/>
  <c r="IR109" i="5"/>
  <c r="IS109" i="5"/>
  <c r="IT109" i="5"/>
  <c r="IU109" i="5"/>
  <c r="IV109" i="5"/>
  <c r="A108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Q108" i="5"/>
  <c r="AR108" i="5"/>
  <c r="AS108" i="5"/>
  <c r="AT108" i="5"/>
  <c r="AU108" i="5"/>
  <c r="AV108" i="5"/>
  <c r="AW108" i="5"/>
  <c r="AX108" i="5"/>
  <c r="AY108" i="5"/>
  <c r="AZ108" i="5"/>
  <c r="BA108" i="5"/>
  <c r="BB108" i="5"/>
  <c r="BC108" i="5"/>
  <c r="BD108" i="5"/>
  <c r="BE108" i="5"/>
  <c r="BF108" i="5"/>
  <c r="BG108" i="5"/>
  <c r="BH108" i="5"/>
  <c r="BI108" i="5"/>
  <c r="BJ108" i="5"/>
  <c r="BK108" i="5"/>
  <c r="BL108" i="5"/>
  <c r="BM108" i="5"/>
  <c r="BN108" i="5"/>
  <c r="BO108" i="5"/>
  <c r="BP108" i="5"/>
  <c r="BQ108" i="5"/>
  <c r="BR108" i="5"/>
  <c r="BS108" i="5"/>
  <c r="BT108" i="5"/>
  <c r="BU108" i="5"/>
  <c r="BV108" i="5"/>
  <c r="BW108" i="5"/>
  <c r="BX108" i="5"/>
  <c r="BY108" i="5"/>
  <c r="BZ108" i="5"/>
  <c r="CA108" i="5"/>
  <c r="CB108" i="5"/>
  <c r="CC108" i="5"/>
  <c r="CD108" i="5"/>
  <c r="CE108" i="5"/>
  <c r="CF108" i="5"/>
  <c r="CG108" i="5"/>
  <c r="CH108" i="5"/>
  <c r="CI108" i="5"/>
  <c r="CJ108" i="5"/>
  <c r="CK108" i="5"/>
  <c r="CL108" i="5"/>
  <c r="CM108" i="5"/>
  <c r="CN108" i="5"/>
  <c r="CO108" i="5"/>
  <c r="CP108" i="5"/>
  <c r="CQ108" i="5"/>
  <c r="CR108" i="5"/>
  <c r="CS108" i="5"/>
  <c r="CT108" i="5"/>
  <c r="CU108" i="5"/>
  <c r="CV108" i="5"/>
  <c r="CW108" i="5"/>
  <c r="CX108" i="5"/>
  <c r="CY108" i="5"/>
  <c r="CZ108" i="5"/>
  <c r="DA108" i="5"/>
  <c r="DB108" i="5"/>
  <c r="DC108" i="5"/>
  <c r="DD108" i="5"/>
  <c r="DE108" i="5"/>
  <c r="DF108" i="5"/>
  <c r="DG108" i="5"/>
  <c r="DH108" i="5"/>
  <c r="DI108" i="5"/>
  <c r="DJ108" i="5"/>
  <c r="DK108" i="5"/>
  <c r="DL108" i="5"/>
  <c r="DM108" i="5"/>
  <c r="DN108" i="5"/>
  <c r="DO108" i="5"/>
  <c r="DP108" i="5"/>
  <c r="DQ108" i="5"/>
  <c r="DR108" i="5"/>
  <c r="DS108" i="5"/>
  <c r="DT108" i="5"/>
  <c r="DU108" i="5"/>
  <c r="DV108" i="5"/>
  <c r="DW108" i="5"/>
  <c r="DX108" i="5"/>
  <c r="DY108" i="5"/>
  <c r="DZ108" i="5"/>
  <c r="EA108" i="5"/>
  <c r="EB108" i="5"/>
  <c r="EC108" i="5"/>
  <c r="ED108" i="5"/>
  <c r="EE108" i="5"/>
  <c r="EF108" i="5"/>
  <c r="EG108" i="5"/>
  <c r="EH108" i="5"/>
  <c r="EI108" i="5"/>
  <c r="EJ108" i="5"/>
  <c r="EK108" i="5"/>
  <c r="EL108" i="5"/>
  <c r="EM108" i="5"/>
  <c r="EN108" i="5"/>
  <c r="EO108" i="5"/>
  <c r="EP108" i="5"/>
  <c r="EQ108" i="5"/>
  <c r="ER108" i="5"/>
  <c r="ES108" i="5"/>
  <c r="ET108" i="5"/>
  <c r="EU108" i="5"/>
  <c r="EV108" i="5"/>
  <c r="EW108" i="5"/>
  <c r="EX108" i="5"/>
  <c r="EY108" i="5"/>
  <c r="EZ108" i="5"/>
  <c r="FA108" i="5"/>
  <c r="FB108" i="5"/>
  <c r="FC108" i="5"/>
  <c r="FD108" i="5"/>
  <c r="FE108" i="5"/>
  <c r="FF108" i="5"/>
  <c r="FG108" i="5"/>
  <c r="FH108" i="5"/>
  <c r="FI108" i="5"/>
  <c r="FJ108" i="5"/>
  <c r="FK108" i="5"/>
  <c r="FL108" i="5"/>
  <c r="FM108" i="5"/>
  <c r="FN108" i="5"/>
  <c r="FO108" i="5"/>
  <c r="FP108" i="5"/>
  <c r="FQ108" i="5"/>
  <c r="FR108" i="5"/>
  <c r="FS108" i="5"/>
  <c r="FT108" i="5"/>
  <c r="FU108" i="5"/>
  <c r="FV108" i="5"/>
  <c r="FW108" i="5"/>
  <c r="FX108" i="5"/>
  <c r="FY108" i="5"/>
  <c r="FZ108" i="5"/>
  <c r="GA108" i="5"/>
  <c r="GB108" i="5"/>
  <c r="GC108" i="5"/>
  <c r="GD108" i="5"/>
  <c r="GE108" i="5"/>
  <c r="GF108" i="5"/>
  <c r="GG108" i="5"/>
  <c r="GH108" i="5"/>
  <c r="GI108" i="5"/>
  <c r="GJ108" i="5"/>
  <c r="GK108" i="5"/>
  <c r="GL108" i="5"/>
  <c r="GM108" i="5"/>
  <c r="GN108" i="5"/>
  <c r="GO108" i="5"/>
  <c r="GP108" i="5"/>
  <c r="GQ108" i="5"/>
  <c r="GR108" i="5"/>
  <c r="GS108" i="5"/>
  <c r="GT108" i="5"/>
  <c r="GU108" i="5"/>
  <c r="GV108" i="5"/>
  <c r="GW108" i="5"/>
  <c r="GX108" i="5"/>
  <c r="GY108" i="5"/>
  <c r="GZ108" i="5"/>
  <c r="HA108" i="5"/>
  <c r="HB108" i="5"/>
  <c r="HC108" i="5"/>
  <c r="HD108" i="5"/>
  <c r="HE108" i="5"/>
  <c r="HF108" i="5"/>
  <c r="HG108" i="5"/>
  <c r="HH108" i="5"/>
  <c r="HI108" i="5"/>
  <c r="HJ108" i="5"/>
  <c r="HK108" i="5"/>
  <c r="HL108" i="5"/>
  <c r="HM108" i="5"/>
  <c r="HN108" i="5"/>
  <c r="HO108" i="5"/>
  <c r="HP108" i="5"/>
  <c r="HQ108" i="5"/>
  <c r="HR108" i="5"/>
  <c r="HS108" i="5"/>
  <c r="HT108" i="5"/>
  <c r="HU108" i="5"/>
  <c r="HV108" i="5"/>
  <c r="HW108" i="5"/>
  <c r="HX108" i="5"/>
  <c r="HY108" i="5"/>
  <c r="HZ108" i="5"/>
  <c r="IA108" i="5"/>
  <c r="IB108" i="5"/>
  <c r="IC108" i="5"/>
  <c r="ID108" i="5"/>
  <c r="IE108" i="5"/>
  <c r="IF108" i="5"/>
  <c r="IG108" i="5"/>
  <c r="IH108" i="5"/>
  <c r="II108" i="5"/>
  <c r="IJ108" i="5"/>
  <c r="IK108" i="5"/>
  <c r="IL108" i="5"/>
  <c r="IM108" i="5"/>
  <c r="IN108" i="5"/>
  <c r="IO108" i="5"/>
  <c r="IP108" i="5"/>
  <c r="IQ108" i="5"/>
  <c r="IR108" i="5"/>
  <c r="IS108" i="5"/>
  <c r="IT108" i="5"/>
  <c r="IU108" i="5"/>
  <c r="IV108" i="5"/>
  <c r="A107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Q107" i="5"/>
  <c r="AR107" i="5"/>
  <c r="AS107" i="5"/>
  <c r="AT107" i="5"/>
  <c r="AU107" i="5"/>
  <c r="AV107" i="5"/>
  <c r="AW107" i="5"/>
  <c r="AX107" i="5"/>
  <c r="AY107" i="5"/>
  <c r="AZ107" i="5"/>
  <c r="BA107" i="5"/>
  <c r="BB107" i="5"/>
  <c r="BC107" i="5"/>
  <c r="BD107" i="5"/>
  <c r="BE107" i="5"/>
  <c r="BF107" i="5"/>
  <c r="BG107" i="5"/>
  <c r="BH107" i="5"/>
  <c r="BI107" i="5"/>
  <c r="BJ107" i="5"/>
  <c r="BK107" i="5"/>
  <c r="BL107" i="5"/>
  <c r="BM107" i="5"/>
  <c r="BN107" i="5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P107" i="5"/>
  <c r="CQ107" i="5"/>
  <c r="CR107" i="5"/>
  <c r="CS107" i="5"/>
  <c r="CT107" i="5"/>
  <c r="CU107" i="5"/>
  <c r="CV107" i="5"/>
  <c r="CW107" i="5"/>
  <c r="CX107" i="5"/>
  <c r="CY107" i="5"/>
  <c r="CZ107" i="5"/>
  <c r="DA107" i="5"/>
  <c r="DB107" i="5"/>
  <c r="DC107" i="5"/>
  <c r="DD107" i="5"/>
  <c r="DE107" i="5"/>
  <c r="DF107" i="5"/>
  <c r="DG107" i="5"/>
  <c r="DH107" i="5"/>
  <c r="DI107" i="5"/>
  <c r="DJ107" i="5"/>
  <c r="DK107" i="5"/>
  <c r="DL107" i="5"/>
  <c r="DM107" i="5"/>
  <c r="DN107" i="5"/>
  <c r="DO107" i="5"/>
  <c r="DP107" i="5"/>
  <c r="DQ107" i="5"/>
  <c r="DR107" i="5"/>
  <c r="DS107" i="5"/>
  <c r="DT107" i="5"/>
  <c r="DU107" i="5"/>
  <c r="DV107" i="5"/>
  <c r="DW107" i="5"/>
  <c r="DX107" i="5"/>
  <c r="DY107" i="5"/>
  <c r="DZ107" i="5"/>
  <c r="EA107" i="5"/>
  <c r="EB107" i="5"/>
  <c r="EC107" i="5"/>
  <c r="ED107" i="5"/>
  <c r="EE107" i="5"/>
  <c r="EF107" i="5"/>
  <c r="EG107" i="5"/>
  <c r="EH107" i="5"/>
  <c r="EI107" i="5"/>
  <c r="EJ107" i="5"/>
  <c r="EK107" i="5"/>
  <c r="EL107" i="5"/>
  <c r="EM107" i="5"/>
  <c r="EN107" i="5"/>
  <c r="EO107" i="5"/>
  <c r="EP107" i="5"/>
  <c r="EQ107" i="5"/>
  <c r="ER107" i="5"/>
  <c r="ES107" i="5"/>
  <c r="ET107" i="5"/>
  <c r="EU107" i="5"/>
  <c r="EV107" i="5"/>
  <c r="EW107" i="5"/>
  <c r="EX107" i="5"/>
  <c r="EY107" i="5"/>
  <c r="EZ107" i="5"/>
  <c r="FA107" i="5"/>
  <c r="FB107" i="5"/>
  <c r="FC107" i="5"/>
  <c r="FD107" i="5"/>
  <c r="FE107" i="5"/>
  <c r="FF107" i="5"/>
  <c r="FG107" i="5"/>
  <c r="FH107" i="5"/>
  <c r="FI107" i="5"/>
  <c r="FJ107" i="5"/>
  <c r="FK107" i="5"/>
  <c r="FL107" i="5"/>
  <c r="FM107" i="5"/>
  <c r="FN107" i="5"/>
  <c r="FO107" i="5"/>
  <c r="FP107" i="5"/>
  <c r="FQ107" i="5"/>
  <c r="FR107" i="5"/>
  <c r="FS107" i="5"/>
  <c r="FT107" i="5"/>
  <c r="FU107" i="5"/>
  <c r="FV107" i="5"/>
  <c r="FW107" i="5"/>
  <c r="FX107" i="5"/>
  <c r="FY107" i="5"/>
  <c r="FZ107" i="5"/>
  <c r="GA107" i="5"/>
  <c r="GB107" i="5"/>
  <c r="GC107" i="5"/>
  <c r="GD107" i="5"/>
  <c r="GE107" i="5"/>
  <c r="GF107" i="5"/>
  <c r="GG107" i="5"/>
  <c r="GH107" i="5"/>
  <c r="GI107" i="5"/>
  <c r="GJ107" i="5"/>
  <c r="GK107" i="5"/>
  <c r="GL107" i="5"/>
  <c r="GM107" i="5"/>
  <c r="GN107" i="5"/>
  <c r="GO107" i="5"/>
  <c r="GP107" i="5"/>
  <c r="GQ107" i="5"/>
  <c r="GR107" i="5"/>
  <c r="GS107" i="5"/>
  <c r="GT107" i="5"/>
  <c r="GU107" i="5"/>
  <c r="GV107" i="5"/>
  <c r="GW107" i="5"/>
  <c r="GX107" i="5"/>
  <c r="GY107" i="5"/>
  <c r="GZ107" i="5"/>
  <c r="HA107" i="5"/>
  <c r="HB107" i="5"/>
  <c r="HC107" i="5"/>
  <c r="HD107" i="5"/>
  <c r="HE107" i="5"/>
  <c r="HF107" i="5"/>
  <c r="HG107" i="5"/>
  <c r="HH107" i="5"/>
  <c r="HI107" i="5"/>
  <c r="HJ107" i="5"/>
  <c r="HK107" i="5"/>
  <c r="HL107" i="5"/>
  <c r="HM107" i="5"/>
  <c r="HN107" i="5"/>
  <c r="HO107" i="5"/>
  <c r="HP107" i="5"/>
  <c r="HQ107" i="5"/>
  <c r="HR107" i="5"/>
  <c r="HS107" i="5"/>
  <c r="HT107" i="5"/>
  <c r="HU107" i="5"/>
  <c r="HV107" i="5"/>
  <c r="HW107" i="5"/>
  <c r="HX107" i="5"/>
  <c r="HY107" i="5"/>
  <c r="HZ107" i="5"/>
  <c r="IA107" i="5"/>
  <c r="IB107" i="5"/>
  <c r="IC107" i="5"/>
  <c r="ID107" i="5"/>
  <c r="IE107" i="5"/>
  <c r="IF107" i="5"/>
  <c r="IG107" i="5"/>
  <c r="IH107" i="5"/>
  <c r="II107" i="5"/>
  <c r="IJ107" i="5"/>
  <c r="IK107" i="5"/>
  <c r="IL107" i="5"/>
  <c r="IM107" i="5"/>
  <c r="IN107" i="5"/>
  <c r="IO107" i="5"/>
  <c r="IP107" i="5"/>
  <c r="IQ107" i="5"/>
  <c r="IR107" i="5"/>
  <c r="IS107" i="5"/>
  <c r="IT107" i="5"/>
  <c r="IU107" i="5"/>
  <c r="IV107" i="5"/>
  <c r="A106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Q106" i="5"/>
  <c r="AR106" i="5"/>
  <c r="AS106" i="5"/>
  <c r="AT106" i="5"/>
  <c r="AU106" i="5"/>
  <c r="AV106" i="5"/>
  <c r="AW106" i="5"/>
  <c r="AX106" i="5"/>
  <c r="AY106" i="5"/>
  <c r="AZ106" i="5"/>
  <c r="BA106" i="5"/>
  <c r="BB106" i="5"/>
  <c r="BC106" i="5"/>
  <c r="BD106" i="5"/>
  <c r="BE106" i="5"/>
  <c r="BF106" i="5"/>
  <c r="BG106" i="5"/>
  <c r="BH106" i="5"/>
  <c r="BI106" i="5"/>
  <c r="BJ106" i="5"/>
  <c r="BK106" i="5"/>
  <c r="BL106" i="5"/>
  <c r="BM106" i="5"/>
  <c r="BN106" i="5"/>
  <c r="BO106" i="5"/>
  <c r="BP106" i="5"/>
  <c r="BQ106" i="5"/>
  <c r="BR106" i="5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P106" i="5"/>
  <c r="CQ106" i="5"/>
  <c r="CR106" i="5"/>
  <c r="CS106" i="5"/>
  <c r="CT106" i="5"/>
  <c r="CU106" i="5"/>
  <c r="CV106" i="5"/>
  <c r="CW106" i="5"/>
  <c r="CX106" i="5"/>
  <c r="CY106" i="5"/>
  <c r="CZ106" i="5"/>
  <c r="DA106" i="5"/>
  <c r="DB106" i="5"/>
  <c r="DC106" i="5"/>
  <c r="DD106" i="5"/>
  <c r="DE106" i="5"/>
  <c r="DF106" i="5"/>
  <c r="DG106" i="5"/>
  <c r="DH106" i="5"/>
  <c r="DI106" i="5"/>
  <c r="DJ106" i="5"/>
  <c r="DK106" i="5"/>
  <c r="DL106" i="5"/>
  <c r="DM106" i="5"/>
  <c r="DN106" i="5"/>
  <c r="DO106" i="5"/>
  <c r="DP106" i="5"/>
  <c r="DQ106" i="5"/>
  <c r="DR106" i="5"/>
  <c r="DS106" i="5"/>
  <c r="DT106" i="5"/>
  <c r="DU106" i="5"/>
  <c r="DV106" i="5"/>
  <c r="DW106" i="5"/>
  <c r="DX106" i="5"/>
  <c r="DY106" i="5"/>
  <c r="DZ106" i="5"/>
  <c r="EA106" i="5"/>
  <c r="EB106" i="5"/>
  <c r="EC106" i="5"/>
  <c r="ED106" i="5"/>
  <c r="EE106" i="5"/>
  <c r="EF106" i="5"/>
  <c r="EG106" i="5"/>
  <c r="EH106" i="5"/>
  <c r="EI106" i="5"/>
  <c r="EJ106" i="5"/>
  <c r="EK106" i="5"/>
  <c r="EL106" i="5"/>
  <c r="EM106" i="5"/>
  <c r="EN106" i="5"/>
  <c r="EO106" i="5"/>
  <c r="EP106" i="5"/>
  <c r="EQ106" i="5"/>
  <c r="ER106" i="5"/>
  <c r="ES106" i="5"/>
  <c r="ET106" i="5"/>
  <c r="EU106" i="5"/>
  <c r="EV106" i="5"/>
  <c r="EW106" i="5"/>
  <c r="EX106" i="5"/>
  <c r="EY106" i="5"/>
  <c r="EZ106" i="5"/>
  <c r="FA106" i="5"/>
  <c r="FB106" i="5"/>
  <c r="FC106" i="5"/>
  <c r="FD106" i="5"/>
  <c r="FE106" i="5"/>
  <c r="FF106" i="5"/>
  <c r="FG106" i="5"/>
  <c r="FH106" i="5"/>
  <c r="FI106" i="5"/>
  <c r="FJ106" i="5"/>
  <c r="FK106" i="5"/>
  <c r="FL106" i="5"/>
  <c r="FM106" i="5"/>
  <c r="FN106" i="5"/>
  <c r="FO106" i="5"/>
  <c r="FP106" i="5"/>
  <c r="FQ106" i="5"/>
  <c r="FR106" i="5"/>
  <c r="FS106" i="5"/>
  <c r="FT106" i="5"/>
  <c r="FU106" i="5"/>
  <c r="FV106" i="5"/>
  <c r="FW106" i="5"/>
  <c r="FX106" i="5"/>
  <c r="FY106" i="5"/>
  <c r="FZ106" i="5"/>
  <c r="GA106" i="5"/>
  <c r="GB106" i="5"/>
  <c r="GC106" i="5"/>
  <c r="GD106" i="5"/>
  <c r="GE106" i="5"/>
  <c r="GF106" i="5"/>
  <c r="GG106" i="5"/>
  <c r="GH106" i="5"/>
  <c r="GI106" i="5"/>
  <c r="GJ106" i="5"/>
  <c r="GK106" i="5"/>
  <c r="GL106" i="5"/>
  <c r="GM106" i="5"/>
  <c r="GN106" i="5"/>
  <c r="GO106" i="5"/>
  <c r="GP106" i="5"/>
  <c r="GQ106" i="5"/>
  <c r="GR106" i="5"/>
  <c r="GS106" i="5"/>
  <c r="GT106" i="5"/>
  <c r="GU106" i="5"/>
  <c r="GV106" i="5"/>
  <c r="GW106" i="5"/>
  <c r="GX106" i="5"/>
  <c r="GY106" i="5"/>
  <c r="GZ106" i="5"/>
  <c r="HA106" i="5"/>
  <c r="HB106" i="5"/>
  <c r="HC106" i="5"/>
  <c r="HD106" i="5"/>
  <c r="HE106" i="5"/>
  <c r="HF106" i="5"/>
  <c r="HG106" i="5"/>
  <c r="HH106" i="5"/>
  <c r="HI106" i="5"/>
  <c r="HJ106" i="5"/>
  <c r="HK106" i="5"/>
  <c r="HL106" i="5"/>
  <c r="HM106" i="5"/>
  <c r="HN106" i="5"/>
  <c r="HO106" i="5"/>
  <c r="HP106" i="5"/>
  <c r="HQ106" i="5"/>
  <c r="HR106" i="5"/>
  <c r="HS106" i="5"/>
  <c r="HT106" i="5"/>
  <c r="HU106" i="5"/>
  <c r="HV106" i="5"/>
  <c r="HW106" i="5"/>
  <c r="HX106" i="5"/>
  <c r="HY106" i="5"/>
  <c r="HZ106" i="5"/>
  <c r="IA106" i="5"/>
  <c r="IB106" i="5"/>
  <c r="IC106" i="5"/>
  <c r="ID106" i="5"/>
  <c r="IE106" i="5"/>
  <c r="IF106" i="5"/>
  <c r="IG106" i="5"/>
  <c r="IH106" i="5"/>
  <c r="II106" i="5"/>
  <c r="IJ106" i="5"/>
  <c r="IK106" i="5"/>
  <c r="IL106" i="5"/>
  <c r="IM106" i="5"/>
  <c r="IN106" i="5"/>
  <c r="IO106" i="5"/>
  <c r="IP106" i="5"/>
  <c r="IQ106" i="5"/>
  <c r="IR106" i="5"/>
  <c r="IS106" i="5"/>
  <c r="IT106" i="5"/>
  <c r="IU106" i="5"/>
  <c r="IV106" i="5"/>
  <c r="A105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Q105" i="5"/>
  <c r="AR105" i="5"/>
  <c r="AS105" i="5"/>
  <c r="AT105" i="5"/>
  <c r="AU105" i="5"/>
  <c r="AV105" i="5"/>
  <c r="AW105" i="5"/>
  <c r="AX105" i="5"/>
  <c r="AY105" i="5"/>
  <c r="AZ105" i="5"/>
  <c r="BA105" i="5"/>
  <c r="BB105" i="5"/>
  <c r="BC105" i="5"/>
  <c r="BD105" i="5"/>
  <c r="BE105" i="5"/>
  <c r="BF105" i="5"/>
  <c r="BG105" i="5"/>
  <c r="BH105" i="5"/>
  <c r="BI105" i="5"/>
  <c r="BJ105" i="5"/>
  <c r="BK105" i="5"/>
  <c r="BL105" i="5"/>
  <c r="BM105" i="5"/>
  <c r="BN105" i="5"/>
  <c r="BO105" i="5"/>
  <c r="BP105" i="5"/>
  <c r="BQ105" i="5"/>
  <c r="BR105" i="5"/>
  <c r="BS105" i="5"/>
  <c r="BT105" i="5"/>
  <c r="BU105" i="5"/>
  <c r="BV105" i="5"/>
  <c r="BW105" i="5"/>
  <c r="BX105" i="5"/>
  <c r="BY105" i="5"/>
  <c r="BZ105" i="5"/>
  <c r="CA105" i="5"/>
  <c r="CB105" i="5"/>
  <c r="CC105" i="5"/>
  <c r="CD105" i="5"/>
  <c r="CE105" i="5"/>
  <c r="CF105" i="5"/>
  <c r="CG105" i="5"/>
  <c r="CH105" i="5"/>
  <c r="CI105" i="5"/>
  <c r="CJ105" i="5"/>
  <c r="CK105" i="5"/>
  <c r="CL105" i="5"/>
  <c r="CM105" i="5"/>
  <c r="CN105" i="5"/>
  <c r="CO105" i="5"/>
  <c r="CP105" i="5"/>
  <c r="CQ105" i="5"/>
  <c r="CR105" i="5"/>
  <c r="CS105" i="5"/>
  <c r="CT105" i="5"/>
  <c r="CU105" i="5"/>
  <c r="CV105" i="5"/>
  <c r="CW105" i="5"/>
  <c r="CX105" i="5"/>
  <c r="CY105" i="5"/>
  <c r="CZ105" i="5"/>
  <c r="DA105" i="5"/>
  <c r="DB105" i="5"/>
  <c r="DC105" i="5"/>
  <c r="DD105" i="5"/>
  <c r="DE105" i="5"/>
  <c r="DF105" i="5"/>
  <c r="DG105" i="5"/>
  <c r="DH105" i="5"/>
  <c r="DI105" i="5"/>
  <c r="DJ105" i="5"/>
  <c r="DK105" i="5"/>
  <c r="DL105" i="5"/>
  <c r="DM105" i="5"/>
  <c r="DN105" i="5"/>
  <c r="DO105" i="5"/>
  <c r="DP105" i="5"/>
  <c r="DQ105" i="5"/>
  <c r="DR105" i="5"/>
  <c r="DS105" i="5"/>
  <c r="DT105" i="5"/>
  <c r="DU105" i="5"/>
  <c r="DV105" i="5"/>
  <c r="DW105" i="5"/>
  <c r="DX105" i="5"/>
  <c r="DY105" i="5"/>
  <c r="DZ105" i="5"/>
  <c r="EA105" i="5"/>
  <c r="EB105" i="5"/>
  <c r="EC105" i="5"/>
  <c r="ED105" i="5"/>
  <c r="EE105" i="5"/>
  <c r="EF105" i="5"/>
  <c r="EG105" i="5"/>
  <c r="EH105" i="5"/>
  <c r="EI105" i="5"/>
  <c r="EJ105" i="5"/>
  <c r="EK105" i="5"/>
  <c r="EL105" i="5"/>
  <c r="EM105" i="5"/>
  <c r="EN105" i="5"/>
  <c r="EO105" i="5"/>
  <c r="EP105" i="5"/>
  <c r="EQ105" i="5"/>
  <c r="ER105" i="5"/>
  <c r="ES105" i="5"/>
  <c r="ET105" i="5"/>
  <c r="EU105" i="5"/>
  <c r="EV105" i="5"/>
  <c r="EW105" i="5"/>
  <c r="EX105" i="5"/>
  <c r="EY105" i="5"/>
  <c r="EZ105" i="5"/>
  <c r="FA105" i="5"/>
  <c r="FB105" i="5"/>
  <c r="FC105" i="5"/>
  <c r="FD105" i="5"/>
  <c r="FE105" i="5"/>
  <c r="FF105" i="5"/>
  <c r="FG105" i="5"/>
  <c r="FH105" i="5"/>
  <c r="FI105" i="5"/>
  <c r="FJ105" i="5"/>
  <c r="FK105" i="5"/>
  <c r="FL105" i="5"/>
  <c r="FM105" i="5"/>
  <c r="FN105" i="5"/>
  <c r="FO105" i="5"/>
  <c r="FP105" i="5"/>
  <c r="FQ105" i="5"/>
  <c r="FR105" i="5"/>
  <c r="FS105" i="5"/>
  <c r="FT105" i="5"/>
  <c r="FU105" i="5"/>
  <c r="FV105" i="5"/>
  <c r="FW105" i="5"/>
  <c r="FX105" i="5"/>
  <c r="FY105" i="5"/>
  <c r="FZ105" i="5"/>
  <c r="GA105" i="5"/>
  <c r="GB105" i="5"/>
  <c r="GC105" i="5"/>
  <c r="GD105" i="5"/>
  <c r="GE105" i="5"/>
  <c r="GF105" i="5"/>
  <c r="GG105" i="5"/>
  <c r="GH105" i="5"/>
  <c r="GI105" i="5"/>
  <c r="GJ105" i="5"/>
  <c r="GK105" i="5"/>
  <c r="GL105" i="5"/>
  <c r="GM105" i="5"/>
  <c r="GN105" i="5"/>
  <c r="GO105" i="5"/>
  <c r="GP105" i="5"/>
  <c r="GQ105" i="5"/>
  <c r="GR105" i="5"/>
  <c r="GS105" i="5"/>
  <c r="GT105" i="5"/>
  <c r="GU105" i="5"/>
  <c r="GV105" i="5"/>
  <c r="GW105" i="5"/>
  <c r="GX105" i="5"/>
  <c r="GY105" i="5"/>
  <c r="GZ105" i="5"/>
  <c r="HA105" i="5"/>
  <c r="HB105" i="5"/>
  <c r="HC105" i="5"/>
  <c r="HD105" i="5"/>
  <c r="HE105" i="5"/>
  <c r="HF105" i="5"/>
  <c r="HG105" i="5"/>
  <c r="HH105" i="5"/>
  <c r="HI105" i="5"/>
  <c r="HJ105" i="5"/>
  <c r="HK105" i="5"/>
  <c r="HL105" i="5"/>
  <c r="HM105" i="5"/>
  <c r="HN105" i="5"/>
  <c r="HO105" i="5"/>
  <c r="HP105" i="5"/>
  <c r="HQ105" i="5"/>
  <c r="HR105" i="5"/>
  <c r="HS105" i="5"/>
  <c r="HT105" i="5"/>
  <c r="HU105" i="5"/>
  <c r="HV105" i="5"/>
  <c r="HW105" i="5"/>
  <c r="HX105" i="5"/>
  <c r="HY105" i="5"/>
  <c r="HZ105" i="5"/>
  <c r="IA105" i="5"/>
  <c r="IB105" i="5"/>
  <c r="IC105" i="5"/>
  <c r="ID105" i="5"/>
  <c r="IE105" i="5"/>
  <c r="IF105" i="5"/>
  <c r="IG105" i="5"/>
  <c r="IH105" i="5"/>
  <c r="II105" i="5"/>
  <c r="IJ105" i="5"/>
  <c r="IK105" i="5"/>
  <c r="IL105" i="5"/>
  <c r="IM105" i="5"/>
  <c r="IN105" i="5"/>
  <c r="IO105" i="5"/>
  <c r="IP105" i="5"/>
  <c r="IQ105" i="5"/>
  <c r="IR105" i="5"/>
  <c r="IS105" i="5"/>
  <c r="IT105" i="5"/>
  <c r="IU105" i="5"/>
  <c r="IV105" i="5"/>
  <c r="A104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Q104" i="5"/>
  <c r="AR104" i="5"/>
  <c r="AS104" i="5"/>
  <c r="AT104" i="5"/>
  <c r="AU104" i="5"/>
  <c r="AV104" i="5"/>
  <c r="AW104" i="5"/>
  <c r="AX104" i="5"/>
  <c r="AY104" i="5"/>
  <c r="AZ104" i="5"/>
  <c r="BA104" i="5"/>
  <c r="BB104" i="5"/>
  <c r="BC104" i="5"/>
  <c r="BD104" i="5"/>
  <c r="BE104" i="5"/>
  <c r="BF104" i="5"/>
  <c r="BG104" i="5"/>
  <c r="BH104" i="5"/>
  <c r="BI104" i="5"/>
  <c r="BJ104" i="5"/>
  <c r="BK104" i="5"/>
  <c r="BL104" i="5"/>
  <c r="BM104" i="5"/>
  <c r="BN104" i="5"/>
  <c r="BO104" i="5"/>
  <c r="BP104" i="5"/>
  <c r="BQ104" i="5"/>
  <c r="BR104" i="5"/>
  <c r="BS104" i="5"/>
  <c r="BT104" i="5"/>
  <c r="BU104" i="5"/>
  <c r="BV104" i="5"/>
  <c r="BW104" i="5"/>
  <c r="BX104" i="5"/>
  <c r="BY104" i="5"/>
  <c r="BZ104" i="5"/>
  <c r="CA104" i="5"/>
  <c r="CB104" i="5"/>
  <c r="CC104" i="5"/>
  <c r="CD104" i="5"/>
  <c r="CE104" i="5"/>
  <c r="CF104" i="5"/>
  <c r="CG104" i="5"/>
  <c r="CH104" i="5"/>
  <c r="CI104" i="5"/>
  <c r="CJ104" i="5"/>
  <c r="CK104" i="5"/>
  <c r="CL104" i="5"/>
  <c r="CM104" i="5"/>
  <c r="CN104" i="5"/>
  <c r="CO104" i="5"/>
  <c r="CP104" i="5"/>
  <c r="CQ104" i="5"/>
  <c r="CR104" i="5"/>
  <c r="CS104" i="5"/>
  <c r="CT104" i="5"/>
  <c r="CU104" i="5"/>
  <c r="CV104" i="5"/>
  <c r="CW104" i="5"/>
  <c r="CX104" i="5"/>
  <c r="CY104" i="5"/>
  <c r="CZ104" i="5"/>
  <c r="DA104" i="5"/>
  <c r="DB104" i="5"/>
  <c r="DC104" i="5"/>
  <c r="DD104" i="5"/>
  <c r="DE104" i="5"/>
  <c r="DF104" i="5"/>
  <c r="DG104" i="5"/>
  <c r="DH104" i="5"/>
  <c r="DI104" i="5"/>
  <c r="DJ104" i="5"/>
  <c r="DK104" i="5"/>
  <c r="DL104" i="5"/>
  <c r="DM104" i="5"/>
  <c r="DN104" i="5"/>
  <c r="DO104" i="5"/>
  <c r="DP104" i="5"/>
  <c r="DQ104" i="5"/>
  <c r="DR104" i="5"/>
  <c r="DS104" i="5"/>
  <c r="DT104" i="5"/>
  <c r="DU104" i="5"/>
  <c r="DV104" i="5"/>
  <c r="DW104" i="5"/>
  <c r="DX104" i="5"/>
  <c r="DY104" i="5"/>
  <c r="DZ104" i="5"/>
  <c r="EA104" i="5"/>
  <c r="EB104" i="5"/>
  <c r="EC104" i="5"/>
  <c r="ED104" i="5"/>
  <c r="EE104" i="5"/>
  <c r="EF104" i="5"/>
  <c r="EG104" i="5"/>
  <c r="EH104" i="5"/>
  <c r="EI104" i="5"/>
  <c r="EJ104" i="5"/>
  <c r="EK104" i="5"/>
  <c r="EL104" i="5"/>
  <c r="EM104" i="5"/>
  <c r="EN104" i="5"/>
  <c r="EO104" i="5"/>
  <c r="EP104" i="5"/>
  <c r="EQ104" i="5"/>
  <c r="ER104" i="5"/>
  <c r="ES104" i="5"/>
  <c r="ET104" i="5"/>
  <c r="EU104" i="5"/>
  <c r="EV104" i="5"/>
  <c r="EW104" i="5"/>
  <c r="EX104" i="5"/>
  <c r="EY104" i="5"/>
  <c r="EZ104" i="5"/>
  <c r="FA104" i="5"/>
  <c r="FB104" i="5"/>
  <c r="FC104" i="5"/>
  <c r="FD104" i="5"/>
  <c r="FE104" i="5"/>
  <c r="FF104" i="5"/>
  <c r="FG104" i="5"/>
  <c r="FH104" i="5"/>
  <c r="FI104" i="5"/>
  <c r="FJ104" i="5"/>
  <c r="FK104" i="5"/>
  <c r="FL104" i="5"/>
  <c r="FM104" i="5"/>
  <c r="FN104" i="5"/>
  <c r="FO104" i="5"/>
  <c r="FP104" i="5"/>
  <c r="FQ104" i="5"/>
  <c r="FR104" i="5"/>
  <c r="FS104" i="5"/>
  <c r="FT104" i="5"/>
  <c r="FU104" i="5"/>
  <c r="FV104" i="5"/>
  <c r="FW104" i="5"/>
  <c r="FX104" i="5"/>
  <c r="FY104" i="5"/>
  <c r="FZ104" i="5"/>
  <c r="GA104" i="5"/>
  <c r="GB104" i="5"/>
  <c r="GC104" i="5"/>
  <c r="GD104" i="5"/>
  <c r="GE104" i="5"/>
  <c r="GF104" i="5"/>
  <c r="GG104" i="5"/>
  <c r="GH104" i="5"/>
  <c r="GI104" i="5"/>
  <c r="GJ104" i="5"/>
  <c r="GK104" i="5"/>
  <c r="GL104" i="5"/>
  <c r="GM104" i="5"/>
  <c r="GN104" i="5"/>
  <c r="GO104" i="5"/>
  <c r="GP104" i="5"/>
  <c r="GQ104" i="5"/>
  <c r="GR104" i="5"/>
  <c r="GS104" i="5"/>
  <c r="GT104" i="5"/>
  <c r="GU104" i="5"/>
  <c r="GV104" i="5"/>
  <c r="GW104" i="5"/>
  <c r="GX104" i="5"/>
  <c r="GY104" i="5"/>
  <c r="GZ104" i="5"/>
  <c r="HA104" i="5"/>
  <c r="HB104" i="5"/>
  <c r="HC104" i="5"/>
  <c r="HD104" i="5"/>
  <c r="HE104" i="5"/>
  <c r="HF104" i="5"/>
  <c r="HG104" i="5"/>
  <c r="HH104" i="5"/>
  <c r="HI104" i="5"/>
  <c r="HJ104" i="5"/>
  <c r="HK104" i="5"/>
  <c r="HL104" i="5"/>
  <c r="HM104" i="5"/>
  <c r="HN104" i="5"/>
  <c r="HO104" i="5"/>
  <c r="HP104" i="5"/>
  <c r="HQ104" i="5"/>
  <c r="HR104" i="5"/>
  <c r="HS104" i="5"/>
  <c r="HT104" i="5"/>
  <c r="HU104" i="5"/>
  <c r="HV104" i="5"/>
  <c r="HW104" i="5"/>
  <c r="HX104" i="5"/>
  <c r="HY104" i="5"/>
  <c r="HZ104" i="5"/>
  <c r="IA104" i="5"/>
  <c r="IB104" i="5"/>
  <c r="IC104" i="5"/>
  <c r="ID104" i="5"/>
  <c r="IE104" i="5"/>
  <c r="IF104" i="5"/>
  <c r="IG104" i="5"/>
  <c r="IH104" i="5"/>
  <c r="II104" i="5"/>
  <c r="IJ104" i="5"/>
  <c r="IK104" i="5"/>
  <c r="IL104" i="5"/>
  <c r="IM104" i="5"/>
  <c r="IN104" i="5"/>
  <c r="IO104" i="5"/>
  <c r="IP104" i="5"/>
  <c r="IQ104" i="5"/>
  <c r="IR104" i="5"/>
  <c r="IS104" i="5"/>
  <c r="IT104" i="5"/>
  <c r="IU104" i="5"/>
  <c r="IV104" i="5"/>
  <c r="A103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Q103" i="5"/>
  <c r="AR103" i="5"/>
  <c r="AS103" i="5"/>
  <c r="AT103" i="5"/>
  <c r="AU103" i="5"/>
  <c r="AV103" i="5"/>
  <c r="AW103" i="5"/>
  <c r="AX103" i="5"/>
  <c r="AY103" i="5"/>
  <c r="AZ103" i="5"/>
  <c r="BA103" i="5"/>
  <c r="BB103" i="5"/>
  <c r="BC103" i="5"/>
  <c r="BD103" i="5"/>
  <c r="BE103" i="5"/>
  <c r="BF103" i="5"/>
  <c r="BG103" i="5"/>
  <c r="BH103" i="5"/>
  <c r="BI103" i="5"/>
  <c r="BJ103" i="5"/>
  <c r="BK103" i="5"/>
  <c r="BL103" i="5"/>
  <c r="BM103" i="5"/>
  <c r="BN103" i="5"/>
  <c r="BO103" i="5"/>
  <c r="BP103" i="5"/>
  <c r="BQ103" i="5"/>
  <c r="BR103" i="5"/>
  <c r="BS103" i="5"/>
  <c r="BT103" i="5"/>
  <c r="BU103" i="5"/>
  <c r="BV103" i="5"/>
  <c r="BW103" i="5"/>
  <c r="BX103" i="5"/>
  <c r="BY103" i="5"/>
  <c r="BZ103" i="5"/>
  <c r="CA103" i="5"/>
  <c r="CB103" i="5"/>
  <c r="CC103" i="5"/>
  <c r="CD103" i="5"/>
  <c r="CE103" i="5"/>
  <c r="CF103" i="5"/>
  <c r="CG103" i="5"/>
  <c r="CH103" i="5"/>
  <c r="CI103" i="5"/>
  <c r="CJ103" i="5"/>
  <c r="CK103" i="5"/>
  <c r="CL103" i="5"/>
  <c r="CM103" i="5"/>
  <c r="CN103" i="5"/>
  <c r="CO103" i="5"/>
  <c r="CP103" i="5"/>
  <c r="CQ103" i="5"/>
  <c r="CR103" i="5"/>
  <c r="CS103" i="5"/>
  <c r="CT103" i="5"/>
  <c r="CU103" i="5"/>
  <c r="CV103" i="5"/>
  <c r="CW103" i="5"/>
  <c r="CX103" i="5"/>
  <c r="CY103" i="5"/>
  <c r="CZ103" i="5"/>
  <c r="DA103" i="5"/>
  <c r="DB103" i="5"/>
  <c r="DC103" i="5"/>
  <c r="DD103" i="5"/>
  <c r="DE103" i="5"/>
  <c r="DF103" i="5"/>
  <c r="DG103" i="5"/>
  <c r="DH103" i="5"/>
  <c r="DI103" i="5"/>
  <c r="DJ103" i="5"/>
  <c r="DK103" i="5"/>
  <c r="DL103" i="5"/>
  <c r="DM103" i="5"/>
  <c r="DN103" i="5"/>
  <c r="DO103" i="5"/>
  <c r="DP103" i="5"/>
  <c r="DQ103" i="5"/>
  <c r="DR103" i="5"/>
  <c r="DS103" i="5"/>
  <c r="DT103" i="5"/>
  <c r="DU103" i="5"/>
  <c r="DV103" i="5"/>
  <c r="DW103" i="5"/>
  <c r="DX103" i="5"/>
  <c r="DY103" i="5"/>
  <c r="DZ103" i="5"/>
  <c r="EA103" i="5"/>
  <c r="EB103" i="5"/>
  <c r="EC103" i="5"/>
  <c r="ED103" i="5"/>
  <c r="EE103" i="5"/>
  <c r="EF103" i="5"/>
  <c r="EG103" i="5"/>
  <c r="EH103" i="5"/>
  <c r="EI103" i="5"/>
  <c r="EJ103" i="5"/>
  <c r="EK103" i="5"/>
  <c r="EL103" i="5"/>
  <c r="EM103" i="5"/>
  <c r="EN103" i="5"/>
  <c r="EO103" i="5"/>
  <c r="EP103" i="5"/>
  <c r="EQ103" i="5"/>
  <c r="ER103" i="5"/>
  <c r="ES103" i="5"/>
  <c r="ET103" i="5"/>
  <c r="EU103" i="5"/>
  <c r="EV103" i="5"/>
  <c r="EW103" i="5"/>
  <c r="EX103" i="5"/>
  <c r="EY103" i="5"/>
  <c r="EZ103" i="5"/>
  <c r="FA103" i="5"/>
  <c r="FB103" i="5"/>
  <c r="FC103" i="5"/>
  <c r="FD103" i="5"/>
  <c r="FE103" i="5"/>
  <c r="FF103" i="5"/>
  <c r="FG103" i="5"/>
  <c r="FH103" i="5"/>
  <c r="FI103" i="5"/>
  <c r="FJ103" i="5"/>
  <c r="FK103" i="5"/>
  <c r="FL103" i="5"/>
  <c r="FM103" i="5"/>
  <c r="FN103" i="5"/>
  <c r="FO103" i="5"/>
  <c r="FP103" i="5"/>
  <c r="FQ103" i="5"/>
  <c r="FR103" i="5"/>
  <c r="FS103" i="5"/>
  <c r="FT103" i="5"/>
  <c r="FU103" i="5"/>
  <c r="FV103" i="5"/>
  <c r="FW103" i="5"/>
  <c r="FX103" i="5"/>
  <c r="FY103" i="5"/>
  <c r="FZ103" i="5"/>
  <c r="GA103" i="5"/>
  <c r="GB103" i="5"/>
  <c r="GC103" i="5"/>
  <c r="GD103" i="5"/>
  <c r="GE103" i="5"/>
  <c r="GF103" i="5"/>
  <c r="GG103" i="5"/>
  <c r="GH103" i="5"/>
  <c r="GI103" i="5"/>
  <c r="GJ103" i="5"/>
  <c r="GK103" i="5"/>
  <c r="GL103" i="5"/>
  <c r="GM103" i="5"/>
  <c r="GN103" i="5"/>
  <c r="GO103" i="5"/>
  <c r="GP103" i="5"/>
  <c r="GQ103" i="5"/>
  <c r="GR103" i="5"/>
  <c r="GS103" i="5"/>
  <c r="GT103" i="5"/>
  <c r="GU103" i="5"/>
  <c r="GV103" i="5"/>
  <c r="GW103" i="5"/>
  <c r="GX103" i="5"/>
  <c r="GY103" i="5"/>
  <c r="GZ103" i="5"/>
  <c r="HA103" i="5"/>
  <c r="HB103" i="5"/>
  <c r="HC103" i="5"/>
  <c r="HD103" i="5"/>
  <c r="HE103" i="5"/>
  <c r="HF103" i="5"/>
  <c r="HG103" i="5"/>
  <c r="HH103" i="5"/>
  <c r="HI103" i="5"/>
  <c r="HJ103" i="5"/>
  <c r="HK103" i="5"/>
  <c r="HL103" i="5"/>
  <c r="HM103" i="5"/>
  <c r="HN103" i="5"/>
  <c r="HO103" i="5"/>
  <c r="HP103" i="5"/>
  <c r="HQ103" i="5"/>
  <c r="HR103" i="5"/>
  <c r="HS103" i="5"/>
  <c r="HT103" i="5"/>
  <c r="HU103" i="5"/>
  <c r="HV103" i="5"/>
  <c r="HW103" i="5"/>
  <c r="HX103" i="5"/>
  <c r="HY103" i="5"/>
  <c r="HZ103" i="5"/>
  <c r="IA103" i="5"/>
  <c r="IB103" i="5"/>
  <c r="IC103" i="5"/>
  <c r="ID103" i="5"/>
  <c r="IE103" i="5"/>
  <c r="IF103" i="5"/>
  <c r="IG103" i="5"/>
  <c r="IH103" i="5"/>
  <c r="II103" i="5"/>
  <c r="IJ103" i="5"/>
  <c r="IK103" i="5"/>
  <c r="IL103" i="5"/>
  <c r="IM103" i="5"/>
  <c r="IN103" i="5"/>
  <c r="IO103" i="5"/>
  <c r="IP103" i="5"/>
  <c r="IQ103" i="5"/>
  <c r="IR103" i="5"/>
  <c r="IS103" i="5"/>
  <c r="IT103" i="5"/>
  <c r="IU103" i="5"/>
  <c r="IV103" i="5"/>
  <c r="A102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Q102" i="5"/>
  <c r="AR102" i="5"/>
  <c r="AS102" i="5"/>
  <c r="AT102" i="5"/>
  <c r="AU102" i="5"/>
  <c r="AV102" i="5"/>
  <c r="AW102" i="5"/>
  <c r="AX102" i="5"/>
  <c r="AY102" i="5"/>
  <c r="AZ102" i="5"/>
  <c r="BA102" i="5"/>
  <c r="BB102" i="5"/>
  <c r="BC102" i="5"/>
  <c r="BD102" i="5"/>
  <c r="BE102" i="5"/>
  <c r="BF102" i="5"/>
  <c r="BG102" i="5"/>
  <c r="BH102" i="5"/>
  <c r="BI102" i="5"/>
  <c r="BJ102" i="5"/>
  <c r="BK102" i="5"/>
  <c r="BL102" i="5"/>
  <c r="BM102" i="5"/>
  <c r="BN102" i="5"/>
  <c r="BO102" i="5"/>
  <c r="BP102" i="5"/>
  <c r="BQ102" i="5"/>
  <c r="BR102" i="5"/>
  <c r="BS102" i="5"/>
  <c r="BT102" i="5"/>
  <c r="BU102" i="5"/>
  <c r="BV102" i="5"/>
  <c r="BW102" i="5"/>
  <c r="BX102" i="5"/>
  <c r="BY102" i="5"/>
  <c r="BZ102" i="5"/>
  <c r="CA102" i="5"/>
  <c r="CB102" i="5"/>
  <c r="CC102" i="5"/>
  <c r="CD102" i="5"/>
  <c r="CE102" i="5"/>
  <c r="CF102" i="5"/>
  <c r="CG102" i="5"/>
  <c r="CH102" i="5"/>
  <c r="CI102" i="5"/>
  <c r="CJ102" i="5"/>
  <c r="CK102" i="5"/>
  <c r="CL102" i="5"/>
  <c r="CM102" i="5"/>
  <c r="CN102" i="5"/>
  <c r="CO102" i="5"/>
  <c r="CP102" i="5"/>
  <c r="CQ102" i="5"/>
  <c r="CR102" i="5"/>
  <c r="CS102" i="5"/>
  <c r="CT102" i="5"/>
  <c r="CU102" i="5"/>
  <c r="CV102" i="5"/>
  <c r="CW102" i="5"/>
  <c r="CX102" i="5"/>
  <c r="CY102" i="5"/>
  <c r="CZ102" i="5"/>
  <c r="DA102" i="5"/>
  <c r="DB102" i="5"/>
  <c r="DC102" i="5"/>
  <c r="DD102" i="5"/>
  <c r="DE102" i="5"/>
  <c r="DF102" i="5"/>
  <c r="DG102" i="5"/>
  <c r="DH102" i="5"/>
  <c r="DI102" i="5"/>
  <c r="DJ102" i="5"/>
  <c r="DK102" i="5"/>
  <c r="DL102" i="5"/>
  <c r="DM102" i="5"/>
  <c r="DN102" i="5"/>
  <c r="DO102" i="5"/>
  <c r="DP102" i="5"/>
  <c r="DQ102" i="5"/>
  <c r="DR102" i="5"/>
  <c r="DS102" i="5"/>
  <c r="DT102" i="5"/>
  <c r="DU102" i="5"/>
  <c r="DV102" i="5"/>
  <c r="DW102" i="5"/>
  <c r="DX102" i="5"/>
  <c r="DY102" i="5"/>
  <c r="DZ102" i="5"/>
  <c r="EA102" i="5"/>
  <c r="EB102" i="5"/>
  <c r="EC102" i="5"/>
  <c r="ED102" i="5"/>
  <c r="EE102" i="5"/>
  <c r="EF102" i="5"/>
  <c r="EG102" i="5"/>
  <c r="EH102" i="5"/>
  <c r="EI102" i="5"/>
  <c r="EJ102" i="5"/>
  <c r="EK102" i="5"/>
  <c r="EL102" i="5"/>
  <c r="EM102" i="5"/>
  <c r="EN102" i="5"/>
  <c r="EO102" i="5"/>
  <c r="EP102" i="5"/>
  <c r="EQ102" i="5"/>
  <c r="ER102" i="5"/>
  <c r="ES102" i="5"/>
  <c r="ET102" i="5"/>
  <c r="EU102" i="5"/>
  <c r="EV102" i="5"/>
  <c r="EW102" i="5"/>
  <c r="EX102" i="5"/>
  <c r="EY102" i="5"/>
  <c r="EZ102" i="5"/>
  <c r="FA102" i="5"/>
  <c r="FB102" i="5"/>
  <c r="FC102" i="5"/>
  <c r="FD102" i="5"/>
  <c r="FE102" i="5"/>
  <c r="FF102" i="5"/>
  <c r="FG102" i="5"/>
  <c r="FH102" i="5"/>
  <c r="FI102" i="5"/>
  <c r="FJ102" i="5"/>
  <c r="FK102" i="5"/>
  <c r="FL102" i="5"/>
  <c r="FM102" i="5"/>
  <c r="FN102" i="5"/>
  <c r="FO102" i="5"/>
  <c r="FP102" i="5"/>
  <c r="FQ102" i="5"/>
  <c r="FR102" i="5"/>
  <c r="FS102" i="5"/>
  <c r="FT102" i="5"/>
  <c r="FU102" i="5"/>
  <c r="FV102" i="5"/>
  <c r="FW102" i="5"/>
  <c r="FX102" i="5"/>
  <c r="FY102" i="5"/>
  <c r="FZ102" i="5"/>
  <c r="GA102" i="5"/>
  <c r="GB102" i="5"/>
  <c r="GC102" i="5"/>
  <c r="GD102" i="5"/>
  <c r="GE102" i="5"/>
  <c r="GF102" i="5"/>
  <c r="GG102" i="5"/>
  <c r="GH102" i="5"/>
  <c r="GI102" i="5"/>
  <c r="GJ102" i="5"/>
  <c r="GK102" i="5"/>
  <c r="GL102" i="5"/>
  <c r="GM102" i="5"/>
  <c r="GN102" i="5"/>
  <c r="GO102" i="5"/>
  <c r="GP102" i="5"/>
  <c r="GQ102" i="5"/>
  <c r="GR102" i="5"/>
  <c r="GS102" i="5"/>
  <c r="GT102" i="5"/>
  <c r="GU102" i="5"/>
  <c r="GV102" i="5"/>
  <c r="GW102" i="5"/>
  <c r="GX102" i="5"/>
  <c r="GY102" i="5"/>
  <c r="GZ102" i="5"/>
  <c r="HA102" i="5"/>
  <c r="HB102" i="5"/>
  <c r="HC102" i="5"/>
  <c r="HD102" i="5"/>
  <c r="HE102" i="5"/>
  <c r="HF102" i="5"/>
  <c r="HG102" i="5"/>
  <c r="HH102" i="5"/>
  <c r="HI102" i="5"/>
  <c r="HJ102" i="5"/>
  <c r="HK102" i="5"/>
  <c r="HL102" i="5"/>
  <c r="HM102" i="5"/>
  <c r="HN102" i="5"/>
  <c r="HO102" i="5"/>
  <c r="HP102" i="5"/>
  <c r="HQ102" i="5"/>
  <c r="HR102" i="5"/>
  <c r="HS102" i="5"/>
  <c r="HT102" i="5"/>
  <c r="HU102" i="5"/>
  <c r="HV102" i="5"/>
  <c r="HW102" i="5"/>
  <c r="HX102" i="5"/>
  <c r="HY102" i="5"/>
  <c r="HZ102" i="5"/>
  <c r="IA102" i="5"/>
  <c r="IB102" i="5"/>
  <c r="IC102" i="5"/>
  <c r="ID102" i="5"/>
  <c r="IE102" i="5"/>
  <c r="IF102" i="5"/>
  <c r="IG102" i="5"/>
  <c r="IH102" i="5"/>
  <c r="II102" i="5"/>
  <c r="IJ102" i="5"/>
  <c r="IK102" i="5"/>
  <c r="IL102" i="5"/>
  <c r="IM102" i="5"/>
  <c r="IN102" i="5"/>
  <c r="IO102" i="5"/>
  <c r="IP102" i="5"/>
  <c r="IQ102" i="5"/>
  <c r="IR102" i="5"/>
  <c r="IS102" i="5"/>
  <c r="IT102" i="5"/>
  <c r="IU102" i="5"/>
  <c r="IV102" i="5"/>
  <c r="A101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Q101" i="5"/>
  <c r="AR101" i="5"/>
  <c r="AS101" i="5"/>
  <c r="AT101" i="5"/>
  <c r="AU101" i="5"/>
  <c r="AV101" i="5"/>
  <c r="AW101" i="5"/>
  <c r="AX101" i="5"/>
  <c r="AY101" i="5"/>
  <c r="AZ101" i="5"/>
  <c r="BA101" i="5"/>
  <c r="BB101" i="5"/>
  <c r="BC101" i="5"/>
  <c r="BD101" i="5"/>
  <c r="BE101" i="5"/>
  <c r="BF101" i="5"/>
  <c r="BG101" i="5"/>
  <c r="BH101" i="5"/>
  <c r="BI101" i="5"/>
  <c r="BJ101" i="5"/>
  <c r="BK101" i="5"/>
  <c r="BL101" i="5"/>
  <c r="BM101" i="5"/>
  <c r="BN101" i="5"/>
  <c r="BO101" i="5"/>
  <c r="BP101" i="5"/>
  <c r="BQ101" i="5"/>
  <c r="BR101" i="5"/>
  <c r="BS101" i="5"/>
  <c r="BT101" i="5"/>
  <c r="BU101" i="5"/>
  <c r="BV101" i="5"/>
  <c r="BW101" i="5"/>
  <c r="BX101" i="5"/>
  <c r="BY101" i="5"/>
  <c r="BZ101" i="5"/>
  <c r="CA101" i="5"/>
  <c r="CB101" i="5"/>
  <c r="CC101" i="5"/>
  <c r="CD101" i="5"/>
  <c r="CE101" i="5"/>
  <c r="CF101" i="5"/>
  <c r="CG101" i="5"/>
  <c r="CH101" i="5"/>
  <c r="CI101" i="5"/>
  <c r="CJ101" i="5"/>
  <c r="CK101" i="5"/>
  <c r="CL101" i="5"/>
  <c r="CM101" i="5"/>
  <c r="CN101" i="5"/>
  <c r="CO101" i="5"/>
  <c r="CP101" i="5"/>
  <c r="CQ101" i="5"/>
  <c r="CR101" i="5"/>
  <c r="CS101" i="5"/>
  <c r="CT101" i="5"/>
  <c r="CU101" i="5"/>
  <c r="CV101" i="5"/>
  <c r="CW101" i="5"/>
  <c r="CX101" i="5"/>
  <c r="CY101" i="5"/>
  <c r="CZ101" i="5"/>
  <c r="DA101" i="5"/>
  <c r="DB101" i="5"/>
  <c r="DC101" i="5"/>
  <c r="DD101" i="5"/>
  <c r="DE101" i="5"/>
  <c r="DF101" i="5"/>
  <c r="DG101" i="5"/>
  <c r="DH101" i="5"/>
  <c r="DI101" i="5"/>
  <c r="DJ101" i="5"/>
  <c r="DK101" i="5"/>
  <c r="DL101" i="5"/>
  <c r="DM101" i="5"/>
  <c r="DN101" i="5"/>
  <c r="DO101" i="5"/>
  <c r="DP101" i="5"/>
  <c r="DQ101" i="5"/>
  <c r="DR101" i="5"/>
  <c r="DS101" i="5"/>
  <c r="DT101" i="5"/>
  <c r="DU101" i="5"/>
  <c r="DV101" i="5"/>
  <c r="DW101" i="5"/>
  <c r="DX101" i="5"/>
  <c r="DY101" i="5"/>
  <c r="DZ101" i="5"/>
  <c r="EA101" i="5"/>
  <c r="EB101" i="5"/>
  <c r="EC101" i="5"/>
  <c r="ED101" i="5"/>
  <c r="EE101" i="5"/>
  <c r="EF101" i="5"/>
  <c r="EG101" i="5"/>
  <c r="EH101" i="5"/>
  <c r="EI101" i="5"/>
  <c r="EJ101" i="5"/>
  <c r="EK101" i="5"/>
  <c r="EL101" i="5"/>
  <c r="EM101" i="5"/>
  <c r="EN101" i="5"/>
  <c r="EO101" i="5"/>
  <c r="EP101" i="5"/>
  <c r="EQ101" i="5"/>
  <c r="ER101" i="5"/>
  <c r="ES101" i="5"/>
  <c r="ET101" i="5"/>
  <c r="EU101" i="5"/>
  <c r="EV101" i="5"/>
  <c r="EW101" i="5"/>
  <c r="EX101" i="5"/>
  <c r="EY101" i="5"/>
  <c r="EZ101" i="5"/>
  <c r="FA101" i="5"/>
  <c r="FB101" i="5"/>
  <c r="FC101" i="5"/>
  <c r="FD101" i="5"/>
  <c r="FE101" i="5"/>
  <c r="FF101" i="5"/>
  <c r="FG101" i="5"/>
  <c r="FH101" i="5"/>
  <c r="FI101" i="5"/>
  <c r="FJ101" i="5"/>
  <c r="FK101" i="5"/>
  <c r="FL101" i="5"/>
  <c r="FM101" i="5"/>
  <c r="FN101" i="5"/>
  <c r="FO101" i="5"/>
  <c r="FP101" i="5"/>
  <c r="FQ101" i="5"/>
  <c r="FR101" i="5"/>
  <c r="FS101" i="5"/>
  <c r="FT101" i="5"/>
  <c r="FU101" i="5"/>
  <c r="FV101" i="5"/>
  <c r="FW101" i="5"/>
  <c r="FX101" i="5"/>
  <c r="FY101" i="5"/>
  <c r="FZ101" i="5"/>
  <c r="GA101" i="5"/>
  <c r="GB101" i="5"/>
  <c r="GC101" i="5"/>
  <c r="GD101" i="5"/>
  <c r="GE101" i="5"/>
  <c r="GF101" i="5"/>
  <c r="GG101" i="5"/>
  <c r="GH101" i="5"/>
  <c r="GI101" i="5"/>
  <c r="GJ101" i="5"/>
  <c r="GK101" i="5"/>
  <c r="GL101" i="5"/>
  <c r="GM101" i="5"/>
  <c r="GN101" i="5"/>
  <c r="GO101" i="5"/>
  <c r="GP101" i="5"/>
  <c r="GQ101" i="5"/>
  <c r="GR101" i="5"/>
  <c r="GS101" i="5"/>
  <c r="GT101" i="5"/>
  <c r="GU101" i="5"/>
  <c r="GV101" i="5"/>
  <c r="GW101" i="5"/>
  <c r="GX101" i="5"/>
  <c r="GY101" i="5"/>
  <c r="GZ101" i="5"/>
  <c r="HA101" i="5"/>
  <c r="HB101" i="5"/>
  <c r="HC101" i="5"/>
  <c r="HD101" i="5"/>
  <c r="HE101" i="5"/>
  <c r="HF101" i="5"/>
  <c r="HG101" i="5"/>
  <c r="HH101" i="5"/>
  <c r="HI101" i="5"/>
  <c r="HJ101" i="5"/>
  <c r="HK101" i="5"/>
  <c r="HL101" i="5"/>
  <c r="HM101" i="5"/>
  <c r="HN101" i="5"/>
  <c r="HO101" i="5"/>
  <c r="HP101" i="5"/>
  <c r="HQ101" i="5"/>
  <c r="HR101" i="5"/>
  <c r="HS101" i="5"/>
  <c r="HT101" i="5"/>
  <c r="HU101" i="5"/>
  <c r="HV101" i="5"/>
  <c r="HW101" i="5"/>
  <c r="HX101" i="5"/>
  <c r="HY101" i="5"/>
  <c r="HZ101" i="5"/>
  <c r="IA101" i="5"/>
  <c r="IB101" i="5"/>
  <c r="IC101" i="5"/>
  <c r="ID101" i="5"/>
  <c r="IE101" i="5"/>
  <c r="IF101" i="5"/>
  <c r="IG101" i="5"/>
  <c r="IH101" i="5"/>
  <c r="II101" i="5"/>
  <c r="IJ101" i="5"/>
  <c r="IK101" i="5"/>
  <c r="IL101" i="5"/>
  <c r="IM101" i="5"/>
  <c r="IN101" i="5"/>
  <c r="IO101" i="5"/>
  <c r="IP101" i="5"/>
  <c r="IQ101" i="5"/>
  <c r="IR101" i="5"/>
  <c r="IS101" i="5"/>
  <c r="IT101" i="5"/>
  <c r="IU101" i="5"/>
  <c r="IV101" i="5"/>
  <c r="A100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Q100" i="5"/>
  <c r="AR100" i="5"/>
  <c r="AS100" i="5"/>
  <c r="AT100" i="5"/>
  <c r="AU100" i="5"/>
  <c r="AV100" i="5"/>
  <c r="AW100" i="5"/>
  <c r="AX100" i="5"/>
  <c r="AY100" i="5"/>
  <c r="AZ100" i="5"/>
  <c r="BA100" i="5"/>
  <c r="BB100" i="5"/>
  <c r="BC100" i="5"/>
  <c r="BD100" i="5"/>
  <c r="BE100" i="5"/>
  <c r="BF100" i="5"/>
  <c r="BG100" i="5"/>
  <c r="BH100" i="5"/>
  <c r="BI100" i="5"/>
  <c r="BJ100" i="5"/>
  <c r="BK100" i="5"/>
  <c r="BL100" i="5"/>
  <c r="BM100" i="5"/>
  <c r="BN100" i="5"/>
  <c r="BO100" i="5"/>
  <c r="BP100" i="5"/>
  <c r="BQ100" i="5"/>
  <c r="BR100" i="5"/>
  <c r="BS100" i="5"/>
  <c r="BT100" i="5"/>
  <c r="BU100" i="5"/>
  <c r="BV100" i="5"/>
  <c r="BW100" i="5"/>
  <c r="BX100" i="5"/>
  <c r="BY100" i="5"/>
  <c r="BZ100" i="5"/>
  <c r="CA100" i="5"/>
  <c r="CB100" i="5"/>
  <c r="CC100" i="5"/>
  <c r="CD100" i="5"/>
  <c r="CE100" i="5"/>
  <c r="CF100" i="5"/>
  <c r="CG100" i="5"/>
  <c r="CH100" i="5"/>
  <c r="CI100" i="5"/>
  <c r="CJ100" i="5"/>
  <c r="CK100" i="5"/>
  <c r="CL100" i="5"/>
  <c r="CM100" i="5"/>
  <c r="CN100" i="5"/>
  <c r="CO100" i="5"/>
  <c r="CP100" i="5"/>
  <c r="CQ100" i="5"/>
  <c r="CR100" i="5"/>
  <c r="CS100" i="5"/>
  <c r="CT100" i="5"/>
  <c r="CU100" i="5"/>
  <c r="CV100" i="5"/>
  <c r="CW100" i="5"/>
  <c r="CX100" i="5"/>
  <c r="CY100" i="5"/>
  <c r="CZ100" i="5"/>
  <c r="DA100" i="5"/>
  <c r="DB100" i="5"/>
  <c r="DC100" i="5"/>
  <c r="DD100" i="5"/>
  <c r="DE100" i="5"/>
  <c r="DF100" i="5"/>
  <c r="DG100" i="5"/>
  <c r="DH100" i="5"/>
  <c r="DI100" i="5"/>
  <c r="DJ100" i="5"/>
  <c r="DK100" i="5"/>
  <c r="DL100" i="5"/>
  <c r="DM100" i="5"/>
  <c r="DN100" i="5"/>
  <c r="DO100" i="5"/>
  <c r="DP100" i="5"/>
  <c r="DQ100" i="5"/>
  <c r="DR100" i="5"/>
  <c r="DS100" i="5"/>
  <c r="DT100" i="5"/>
  <c r="DU100" i="5"/>
  <c r="DV100" i="5"/>
  <c r="DW100" i="5"/>
  <c r="DX100" i="5"/>
  <c r="DY100" i="5"/>
  <c r="DZ100" i="5"/>
  <c r="EA100" i="5"/>
  <c r="EB100" i="5"/>
  <c r="EC100" i="5"/>
  <c r="ED100" i="5"/>
  <c r="EE100" i="5"/>
  <c r="EF100" i="5"/>
  <c r="EG100" i="5"/>
  <c r="EH100" i="5"/>
  <c r="EI100" i="5"/>
  <c r="EJ100" i="5"/>
  <c r="EK100" i="5"/>
  <c r="EL100" i="5"/>
  <c r="EM100" i="5"/>
  <c r="EN100" i="5"/>
  <c r="EO100" i="5"/>
  <c r="EP100" i="5"/>
  <c r="EQ100" i="5"/>
  <c r="ER100" i="5"/>
  <c r="ES100" i="5"/>
  <c r="ET100" i="5"/>
  <c r="EU100" i="5"/>
  <c r="EV100" i="5"/>
  <c r="EW100" i="5"/>
  <c r="EX100" i="5"/>
  <c r="EY100" i="5"/>
  <c r="EZ100" i="5"/>
  <c r="FA100" i="5"/>
  <c r="FB100" i="5"/>
  <c r="FC100" i="5"/>
  <c r="FD100" i="5"/>
  <c r="FE100" i="5"/>
  <c r="FF100" i="5"/>
  <c r="FG100" i="5"/>
  <c r="FH100" i="5"/>
  <c r="FI100" i="5"/>
  <c r="FJ100" i="5"/>
  <c r="FK100" i="5"/>
  <c r="FL100" i="5"/>
  <c r="FM100" i="5"/>
  <c r="FN100" i="5"/>
  <c r="FO100" i="5"/>
  <c r="FP100" i="5"/>
  <c r="FQ100" i="5"/>
  <c r="FR100" i="5"/>
  <c r="FS100" i="5"/>
  <c r="FT100" i="5"/>
  <c r="FU100" i="5"/>
  <c r="FV100" i="5"/>
  <c r="FW100" i="5"/>
  <c r="FX100" i="5"/>
  <c r="FY100" i="5"/>
  <c r="FZ100" i="5"/>
  <c r="GA100" i="5"/>
  <c r="GB100" i="5"/>
  <c r="GC100" i="5"/>
  <c r="GD100" i="5"/>
  <c r="GE100" i="5"/>
  <c r="GF100" i="5"/>
  <c r="GG100" i="5"/>
  <c r="GH100" i="5"/>
  <c r="GI100" i="5"/>
  <c r="GJ100" i="5"/>
  <c r="GK100" i="5"/>
  <c r="GL100" i="5"/>
  <c r="GM100" i="5"/>
  <c r="GN100" i="5"/>
  <c r="GO100" i="5"/>
  <c r="GP100" i="5"/>
  <c r="GQ100" i="5"/>
  <c r="GR100" i="5"/>
  <c r="GS100" i="5"/>
  <c r="GT100" i="5"/>
  <c r="GU100" i="5"/>
  <c r="GV100" i="5"/>
  <c r="GW100" i="5"/>
  <c r="GX100" i="5"/>
  <c r="GY100" i="5"/>
  <c r="GZ100" i="5"/>
  <c r="HA100" i="5"/>
  <c r="HB100" i="5"/>
  <c r="HC100" i="5"/>
  <c r="HD100" i="5"/>
  <c r="HE100" i="5"/>
  <c r="HF100" i="5"/>
  <c r="HG100" i="5"/>
  <c r="HH100" i="5"/>
  <c r="HI100" i="5"/>
  <c r="HJ100" i="5"/>
  <c r="HK100" i="5"/>
  <c r="HL100" i="5"/>
  <c r="HM100" i="5"/>
  <c r="HN100" i="5"/>
  <c r="HO100" i="5"/>
  <c r="HP100" i="5"/>
  <c r="HQ100" i="5"/>
  <c r="HR100" i="5"/>
  <c r="HS100" i="5"/>
  <c r="HT100" i="5"/>
  <c r="HU100" i="5"/>
  <c r="HV100" i="5"/>
  <c r="HW100" i="5"/>
  <c r="HX100" i="5"/>
  <c r="HY100" i="5"/>
  <c r="HZ100" i="5"/>
  <c r="IA100" i="5"/>
  <c r="IB100" i="5"/>
  <c r="IC100" i="5"/>
  <c r="ID100" i="5"/>
  <c r="IE100" i="5"/>
  <c r="IF100" i="5"/>
  <c r="IG100" i="5"/>
  <c r="IH100" i="5"/>
  <c r="II100" i="5"/>
  <c r="IJ100" i="5"/>
  <c r="IK100" i="5"/>
  <c r="IL100" i="5"/>
  <c r="IM100" i="5"/>
  <c r="IN100" i="5"/>
  <c r="IO100" i="5"/>
  <c r="IP100" i="5"/>
  <c r="IQ100" i="5"/>
  <c r="IR100" i="5"/>
  <c r="IS100" i="5"/>
  <c r="IT100" i="5"/>
  <c r="IU100" i="5"/>
  <c r="IV100" i="5"/>
  <c r="A99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Q99" i="5"/>
  <c r="AR99" i="5"/>
  <c r="AS99" i="5"/>
  <c r="AT99" i="5"/>
  <c r="AU99" i="5"/>
  <c r="AV99" i="5"/>
  <c r="AW99" i="5"/>
  <c r="AX99" i="5"/>
  <c r="AY99" i="5"/>
  <c r="AZ99" i="5"/>
  <c r="BA99" i="5"/>
  <c r="BB99" i="5"/>
  <c r="BC99" i="5"/>
  <c r="BD99" i="5"/>
  <c r="BE99" i="5"/>
  <c r="BF99" i="5"/>
  <c r="BG99" i="5"/>
  <c r="BH99" i="5"/>
  <c r="BI99" i="5"/>
  <c r="BJ99" i="5"/>
  <c r="BK99" i="5"/>
  <c r="BL99" i="5"/>
  <c r="BM99" i="5"/>
  <c r="BN99" i="5"/>
  <c r="BO99" i="5"/>
  <c r="BP99" i="5"/>
  <c r="BQ99" i="5"/>
  <c r="BR99" i="5"/>
  <c r="BS99" i="5"/>
  <c r="BT99" i="5"/>
  <c r="BU99" i="5"/>
  <c r="BV99" i="5"/>
  <c r="BW99" i="5"/>
  <c r="BX99" i="5"/>
  <c r="BY99" i="5"/>
  <c r="BZ99" i="5"/>
  <c r="CA99" i="5"/>
  <c r="CB99" i="5"/>
  <c r="CC99" i="5"/>
  <c r="CD99" i="5"/>
  <c r="CE99" i="5"/>
  <c r="CF99" i="5"/>
  <c r="CG99" i="5"/>
  <c r="CH99" i="5"/>
  <c r="CI99" i="5"/>
  <c r="CJ99" i="5"/>
  <c r="CK99" i="5"/>
  <c r="CL99" i="5"/>
  <c r="CM99" i="5"/>
  <c r="CN99" i="5"/>
  <c r="CO99" i="5"/>
  <c r="CP99" i="5"/>
  <c r="CQ99" i="5"/>
  <c r="CR99" i="5"/>
  <c r="CS99" i="5"/>
  <c r="CT99" i="5"/>
  <c r="CU99" i="5"/>
  <c r="CV99" i="5"/>
  <c r="CW99" i="5"/>
  <c r="CX99" i="5"/>
  <c r="CY99" i="5"/>
  <c r="CZ99" i="5"/>
  <c r="DA99" i="5"/>
  <c r="DB99" i="5"/>
  <c r="DC99" i="5"/>
  <c r="DD99" i="5"/>
  <c r="DE99" i="5"/>
  <c r="DF99" i="5"/>
  <c r="DG99" i="5"/>
  <c r="DH99" i="5"/>
  <c r="DI99" i="5"/>
  <c r="DJ99" i="5"/>
  <c r="DK99" i="5"/>
  <c r="DL99" i="5"/>
  <c r="DM99" i="5"/>
  <c r="DN99" i="5"/>
  <c r="DO99" i="5"/>
  <c r="DP99" i="5"/>
  <c r="DQ99" i="5"/>
  <c r="DR99" i="5"/>
  <c r="DS99" i="5"/>
  <c r="DT99" i="5"/>
  <c r="DU99" i="5"/>
  <c r="DV99" i="5"/>
  <c r="DW99" i="5"/>
  <c r="DX99" i="5"/>
  <c r="DY99" i="5"/>
  <c r="DZ99" i="5"/>
  <c r="EA99" i="5"/>
  <c r="EB99" i="5"/>
  <c r="EC99" i="5"/>
  <c r="ED99" i="5"/>
  <c r="EE99" i="5"/>
  <c r="EF99" i="5"/>
  <c r="EG99" i="5"/>
  <c r="EH99" i="5"/>
  <c r="EI99" i="5"/>
  <c r="EJ99" i="5"/>
  <c r="EK99" i="5"/>
  <c r="EL99" i="5"/>
  <c r="EM99" i="5"/>
  <c r="EN99" i="5"/>
  <c r="EO99" i="5"/>
  <c r="EP99" i="5"/>
  <c r="EQ99" i="5"/>
  <c r="ER99" i="5"/>
  <c r="ES99" i="5"/>
  <c r="ET99" i="5"/>
  <c r="EU99" i="5"/>
  <c r="EV99" i="5"/>
  <c r="EW99" i="5"/>
  <c r="EX99" i="5"/>
  <c r="EY99" i="5"/>
  <c r="EZ99" i="5"/>
  <c r="FA99" i="5"/>
  <c r="FB99" i="5"/>
  <c r="FC99" i="5"/>
  <c r="FD99" i="5"/>
  <c r="FE99" i="5"/>
  <c r="FF99" i="5"/>
  <c r="FG99" i="5"/>
  <c r="FH99" i="5"/>
  <c r="FI99" i="5"/>
  <c r="FJ99" i="5"/>
  <c r="FK99" i="5"/>
  <c r="FL99" i="5"/>
  <c r="FM99" i="5"/>
  <c r="FN99" i="5"/>
  <c r="FO99" i="5"/>
  <c r="FP99" i="5"/>
  <c r="FQ99" i="5"/>
  <c r="FR99" i="5"/>
  <c r="FS99" i="5"/>
  <c r="FT99" i="5"/>
  <c r="FU99" i="5"/>
  <c r="FV99" i="5"/>
  <c r="FW99" i="5"/>
  <c r="FX99" i="5"/>
  <c r="FY99" i="5"/>
  <c r="FZ99" i="5"/>
  <c r="GA99" i="5"/>
  <c r="GB99" i="5"/>
  <c r="GC99" i="5"/>
  <c r="GD99" i="5"/>
  <c r="GE99" i="5"/>
  <c r="GF99" i="5"/>
  <c r="GG99" i="5"/>
  <c r="GH99" i="5"/>
  <c r="GI99" i="5"/>
  <c r="GJ99" i="5"/>
  <c r="GK99" i="5"/>
  <c r="GL99" i="5"/>
  <c r="GM99" i="5"/>
  <c r="GN99" i="5"/>
  <c r="GO99" i="5"/>
  <c r="GP99" i="5"/>
  <c r="GQ99" i="5"/>
  <c r="GR99" i="5"/>
  <c r="GS99" i="5"/>
  <c r="GT99" i="5"/>
  <c r="GU99" i="5"/>
  <c r="GV99" i="5"/>
  <c r="GW99" i="5"/>
  <c r="GX99" i="5"/>
  <c r="GY99" i="5"/>
  <c r="GZ99" i="5"/>
  <c r="HA99" i="5"/>
  <c r="HB99" i="5"/>
  <c r="HC99" i="5"/>
  <c r="HD99" i="5"/>
  <c r="HE99" i="5"/>
  <c r="HF99" i="5"/>
  <c r="HG99" i="5"/>
  <c r="HH99" i="5"/>
  <c r="HI99" i="5"/>
  <c r="HJ99" i="5"/>
  <c r="HK99" i="5"/>
  <c r="HL99" i="5"/>
  <c r="HM99" i="5"/>
  <c r="HN99" i="5"/>
  <c r="HO99" i="5"/>
  <c r="HP99" i="5"/>
  <c r="HQ99" i="5"/>
  <c r="HR99" i="5"/>
  <c r="HS99" i="5"/>
  <c r="HT99" i="5"/>
  <c r="HU99" i="5"/>
  <c r="HV99" i="5"/>
  <c r="HW99" i="5"/>
  <c r="HX99" i="5"/>
  <c r="HY99" i="5"/>
  <c r="HZ99" i="5"/>
  <c r="IA99" i="5"/>
  <c r="IB99" i="5"/>
  <c r="IC99" i="5"/>
  <c r="ID99" i="5"/>
  <c r="IE99" i="5"/>
  <c r="IF99" i="5"/>
  <c r="IG99" i="5"/>
  <c r="IH99" i="5"/>
  <c r="II99" i="5"/>
  <c r="IJ99" i="5"/>
  <c r="IK99" i="5"/>
  <c r="IL99" i="5"/>
  <c r="IM99" i="5"/>
  <c r="IN99" i="5"/>
  <c r="IO99" i="5"/>
  <c r="IP99" i="5"/>
  <c r="IQ99" i="5"/>
  <c r="IR99" i="5"/>
  <c r="IS99" i="5"/>
  <c r="IT99" i="5"/>
  <c r="IU99" i="5"/>
  <c r="IV99" i="5"/>
  <c r="A98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Q98" i="5"/>
  <c r="AR98" i="5"/>
  <c r="AS98" i="5"/>
  <c r="AT98" i="5"/>
  <c r="AU98" i="5"/>
  <c r="AV98" i="5"/>
  <c r="AW98" i="5"/>
  <c r="AX98" i="5"/>
  <c r="AY98" i="5"/>
  <c r="AZ98" i="5"/>
  <c r="BA98" i="5"/>
  <c r="BB98" i="5"/>
  <c r="BC98" i="5"/>
  <c r="BD98" i="5"/>
  <c r="BE98" i="5"/>
  <c r="BF98" i="5"/>
  <c r="BG98" i="5"/>
  <c r="BH98" i="5"/>
  <c r="BI98" i="5"/>
  <c r="BJ98" i="5"/>
  <c r="BK98" i="5"/>
  <c r="BL98" i="5"/>
  <c r="BM98" i="5"/>
  <c r="BN98" i="5"/>
  <c r="BO98" i="5"/>
  <c r="BP98" i="5"/>
  <c r="BQ98" i="5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P98" i="5"/>
  <c r="CQ98" i="5"/>
  <c r="CR98" i="5"/>
  <c r="CS98" i="5"/>
  <c r="CT98" i="5"/>
  <c r="CU98" i="5"/>
  <c r="CV98" i="5"/>
  <c r="CW98" i="5"/>
  <c r="CX98" i="5"/>
  <c r="CY98" i="5"/>
  <c r="CZ98" i="5"/>
  <c r="DA98" i="5"/>
  <c r="DB98" i="5"/>
  <c r="DC98" i="5"/>
  <c r="DD98" i="5"/>
  <c r="DE98" i="5"/>
  <c r="DF98" i="5"/>
  <c r="DG98" i="5"/>
  <c r="DH98" i="5"/>
  <c r="DI98" i="5"/>
  <c r="DJ98" i="5"/>
  <c r="DK98" i="5"/>
  <c r="DL98" i="5"/>
  <c r="DM98" i="5"/>
  <c r="DN98" i="5"/>
  <c r="DO98" i="5"/>
  <c r="DP98" i="5"/>
  <c r="DQ98" i="5"/>
  <c r="DR98" i="5"/>
  <c r="DS98" i="5"/>
  <c r="DT98" i="5"/>
  <c r="DU98" i="5"/>
  <c r="DV98" i="5"/>
  <c r="DW98" i="5"/>
  <c r="DX98" i="5"/>
  <c r="DY98" i="5"/>
  <c r="DZ98" i="5"/>
  <c r="EA98" i="5"/>
  <c r="EB98" i="5"/>
  <c r="EC98" i="5"/>
  <c r="ED98" i="5"/>
  <c r="EE98" i="5"/>
  <c r="EF98" i="5"/>
  <c r="EG98" i="5"/>
  <c r="EH98" i="5"/>
  <c r="EI98" i="5"/>
  <c r="EJ98" i="5"/>
  <c r="EK98" i="5"/>
  <c r="EL98" i="5"/>
  <c r="EM98" i="5"/>
  <c r="EN98" i="5"/>
  <c r="EO98" i="5"/>
  <c r="EP98" i="5"/>
  <c r="EQ98" i="5"/>
  <c r="ER98" i="5"/>
  <c r="ES98" i="5"/>
  <c r="ET98" i="5"/>
  <c r="EU98" i="5"/>
  <c r="EV98" i="5"/>
  <c r="EW98" i="5"/>
  <c r="EX98" i="5"/>
  <c r="EY98" i="5"/>
  <c r="EZ98" i="5"/>
  <c r="FA98" i="5"/>
  <c r="FB98" i="5"/>
  <c r="FC98" i="5"/>
  <c r="FD98" i="5"/>
  <c r="FE98" i="5"/>
  <c r="FF98" i="5"/>
  <c r="FG98" i="5"/>
  <c r="FH98" i="5"/>
  <c r="FI98" i="5"/>
  <c r="FJ98" i="5"/>
  <c r="FK98" i="5"/>
  <c r="FL98" i="5"/>
  <c r="FM98" i="5"/>
  <c r="FN98" i="5"/>
  <c r="FO98" i="5"/>
  <c r="FP98" i="5"/>
  <c r="FQ98" i="5"/>
  <c r="FR98" i="5"/>
  <c r="FS98" i="5"/>
  <c r="FT98" i="5"/>
  <c r="FU98" i="5"/>
  <c r="FV98" i="5"/>
  <c r="FW98" i="5"/>
  <c r="FX98" i="5"/>
  <c r="FY98" i="5"/>
  <c r="FZ98" i="5"/>
  <c r="GA98" i="5"/>
  <c r="GB98" i="5"/>
  <c r="GC98" i="5"/>
  <c r="GD98" i="5"/>
  <c r="GE98" i="5"/>
  <c r="GF98" i="5"/>
  <c r="GG98" i="5"/>
  <c r="GH98" i="5"/>
  <c r="GI98" i="5"/>
  <c r="GJ98" i="5"/>
  <c r="GK98" i="5"/>
  <c r="GL98" i="5"/>
  <c r="GM98" i="5"/>
  <c r="GN98" i="5"/>
  <c r="GO98" i="5"/>
  <c r="GP98" i="5"/>
  <c r="GQ98" i="5"/>
  <c r="GR98" i="5"/>
  <c r="GS98" i="5"/>
  <c r="GT98" i="5"/>
  <c r="GU98" i="5"/>
  <c r="GV98" i="5"/>
  <c r="GW98" i="5"/>
  <c r="GX98" i="5"/>
  <c r="GY98" i="5"/>
  <c r="GZ98" i="5"/>
  <c r="HA98" i="5"/>
  <c r="HB98" i="5"/>
  <c r="HC98" i="5"/>
  <c r="HD98" i="5"/>
  <c r="HE98" i="5"/>
  <c r="HF98" i="5"/>
  <c r="HG98" i="5"/>
  <c r="HH98" i="5"/>
  <c r="HI98" i="5"/>
  <c r="HJ98" i="5"/>
  <c r="HK98" i="5"/>
  <c r="HL98" i="5"/>
  <c r="HM98" i="5"/>
  <c r="HN98" i="5"/>
  <c r="HO98" i="5"/>
  <c r="HP98" i="5"/>
  <c r="HQ98" i="5"/>
  <c r="HR98" i="5"/>
  <c r="HS98" i="5"/>
  <c r="HT98" i="5"/>
  <c r="HU98" i="5"/>
  <c r="HV98" i="5"/>
  <c r="HW98" i="5"/>
  <c r="HX98" i="5"/>
  <c r="HY98" i="5"/>
  <c r="HZ98" i="5"/>
  <c r="IA98" i="5"/>
  <c r="IB98" i="5"/>
  <c r="IC98" i="5"/>
  <c r="ID98" i="5"/>
  <c r="IE98" i="5"/>
  <c r="IF98" i="5"/>
  <c r="IG98" i="5"/>
  <c r="IH98" i="5"/>
  <c r="II98" i="5"/>
  <c r="IJ98" i="5"/>
  <c r="IK98" i="5"/>
  <c r="IL98" i="5"/>
  <c r="IM98" i="5"/>
  <c r="IN98" i="5"/>
  <c r="IO98" i="5"/>
  <c r="IP98" i="5"/>
  <c r="IQ98" i="5"/>
  <c r="IR98" i="5"/>
  <c r="IS98" i="5"/>
  <c r="IT98" i="5"/>
  <c r="IU98" i="5"/>
  <c r="IV98" i="5"/>
  <c r="A97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Q97" i="5"/>
  <c r="AR97" i="5"/>
  <c r="AS97" i="5"/>
  <c r="AT97" i="5"/>
  <c r="AU97" i="5"/>
  <c r="AV97" i="5"/>
  <c r="AW97" i="5"/>
  <c r="AX97" i="5"/>
  <c r="AY97" i="5"/>
  <c r="AZ97" i="5"/>
  <c r="BA97" i="5"/>
  <c r="BB97" i="5"/>
  <c r="BC97" i="5"/>
  <c r="BD97" i="5"/>
  <c r="BE97" i="5"/>
  <c r="BF97" i="5"/>
  <c r="BG97" i="5"/>
  <c r="BH97" i="5"/>
  <c r="BI97" i="5"/>
  <c r="BJ97" i="5"/>
  <c r="BK97" i="5"/>
  <c r="BL97" i="5"/>
  <c r="BM97" i="5"/>
  <c r="BN97" i="5"/>
  <c r="BO97" i="5"/>
  <c r="BP97" i="5"/>
  <c r="BQ97" i="5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CP97" i="5"/>
  <c r="CQ97" i="5"/>
  <c r="CR97" i="5"/>
  <c r="CS97" i="5"/>
  <c r="CT97" i="5"/>
  <c r="CU97" i="5"/>
  <c r="CV97" i="5"/>
  <c r="CW97" i="5"/>
  <c r="CX97" i="5"/>
  <c r="CY97" i="5"/>
  <c r="CZ97" i="5"/>
  <c r="DA97" i="5"/>
  <c r="DB97" i="5"/>
  <c r="DC97" i="5"/>
  <c r="DD97" i="5"/>
  <c r="DE97" i="5"/>
  <c r="DF97" i="5"/>
  <c r="DG97" i="5"/>
  <c r="DH97" i="5"/>
  <c r="DI97" i="5"/>
  <c r="DJ97" i="5"/>
  <c r="DK97" i="5"/>
  <c r="DL97" i="5"/>
  <c r="DM97" i="5"/>
  <c r="DN97" i="5"/>
  <c r="DO97" i="5"/>
  <c r="DP97" i="5"/>
  <c r="DQ97" i="5"/>
  <c r="DR97" i="5"/>
  <c r="DS97" i="5"/>
  <c r="DT97" i="5"/>
  <c r="DU97" i="5"/>
  <c r="DV97" i="5"/>
  <c r="DW97" i="5"/>
  <c r="DX97" i="5"/>
  <c r="DY97" i="5"/>
  <c r="DZ97" i="5"/>
  <c r="EA97" i="5"/>
  <c r="EB97" i="5"/>
  <c r="EC97" i="5"/>
  <c r="ED97" i="5"/>
  <c r="EE97" i="5"/>
  <c r="EF97" i="5"/>
  <c r="EG97" i="5"/>
  <c r="EH97" i="5"/>
  <c r="EI97" i="5"/>
  <c r="EJ97" i="5"/>
  <c r="EK97" i="5"/>
  <c r="EL97" i="5"/>
  <c r="EM97" i="5"/>
  <c r="EN97" i="5"/>
  <c r="EO97" i="5"/>
  <c r="EP97" i="5"/>
  <c r="EQ97" i="5"/>
  <c r="ER97" i="5"/>
  <c r="ES97" i="5"/>
  <c r="ET97" i="5"/>
  <c r="EU97" i="5"/>
  <c r="EV97" i="5"/>
  <c r="EW97" i="5"/>
  <c r="EX97" i="5"/>
  <c r="EY97" i="5"/>
  <c r="EZ97" i="5"/>
  <c r="FA97" i="5"/>
  <c r="FB97" i="5"/>
  <c r="FC97" i="5"/>
  <c r="FD97" i="5"/>
  <c r="FE97" i="5"/>
  <c r="FF97" i="5"/>
  <c r="FG97" i="5"/>
  <c r="FH97" i="5"/>
  <c r="FI97" i="5"/>
  <c r="FJ97" i="5"/>
  <c r="FK97" i="5"/>
  <c r="FL97" i="5"/>
  <c r="FM97" i="5"/>
  <c r="FN97" i="5"/>
  <c r="FO97" i="5"/>
  <c r="FP97" i="5"/>
  <c r="FQ97" i="5"/>
  <c r="FR97" i="5"/>
  <c r="FS97" i="5"/>
  <c r="FT97" i="5"/>
  <c r="FU97" i="5"/>
  <c r="FV97" i="5"/>
  <c r="FW97" i="5"/>
  <c r="FX97" i="5"/>
  <c r="FY97" i="5"/>
  <c r="FZ97" i="5"/>
  <c r="GA97" i="5"/>
  <c r="GB97" i="5"/>
  <c r="GC97" i="5"/>
  <c r="GD97" i="5"/>
  <c r="GE97" i="5"/>
  <c r="GF97" i="5"/>
  <c r="GG97" i="5"/>
  <c r="GH97" i="5"/>
  <c r="GI97" i="5"/>
  <c r="GJ97" i="5"/>
  <c r="GK97" i="5"/>
  <c r="GL97" i="5"/>
  <c r="GM97" i="5"/>
  <c r="GN97" i="5"/>
  <c r="GO97" i="5"/>
  <c r="GP97" i="5"/>
  <c r="GQ97" i="5"/>
  <c r="GR97" i="5"/>
  <c r="GS97" i="5"/>
  <c r="GT97" i="5"/>
  <c r="GU97" i="5"/>
  <c r="GV97" i="5"/>
  <c r="GW97" i="5"/>
  <c r="GX97" i="5"/>
  <c r="GY97" i="5"/>
  <c r="GZ97" i="5"/>
  <c r="HA97" i="5"/>
  <c r="HB97" i="5"/>
  <c r="HC97" i="5"/>
  <c r="HD97" i="5"/>
  <c r="HE97" i="5"/>
  <c r="HF97" i="5"/>
  <c r="HG97" i="5"/>
  <c r="HH97" i="5"/>
  <c r="HI97" i="5"/>
  <c r="HJ97" i="5"/>
  <c r="HK97" i="5"/>
  <c r="HL97" i="5"/>
  <c r="HM97" i="5"/>
  <c r="HN97" i="5"/>
  <c r="HO97" i="5"/>
  <c r="HP97" i="5"/>
  <c r="HQ97" i="5"/>
  <c r="HR97" i="5"/>
  <c r="HS97" i="5"/>
  <c r="HT97" i="5"/>
  <c r="HU97" i="5"/>
  <c r="HV97" i="5"/>
  <c r="HW97" i="5"/>
  <c r="HX97" i="5"/>
  <c r="HY97" i="5"/>
  <c r="HZ97" i="5"/>
  <c r="IA97" i="5"/>
  <c r="IB97" i="5"/>
  <c r="IC97" i="5"/>
  <c r="ID97" i="5"/>
  <c r="IE97" i="5"/>
  <c r="IF97" i="5"/>
  <c r="IG97" i="5"/>
  <c r="IH97" i="5"/>
  <c r="II97" i="5"/>
  <c r="IJ97" i="5"/>
  <c r="IK97" i="5"/>
  <c r="IL97" i="5"/>
  <c r="IM97" i="5"/>
  <c r="IN97" i="5"/>
  <c r="IO97" i="5"/>
  <c r="IP97" i="5"/>
  <c r="IQ97" i="5"/>
  <c r="IR97" i="5"/>
  <c r="IS97" i="5"/>
  <c r="IT97" i="5"/>
  <c r="IU97" i="5"/>
  <c r="IV97" i="5"/>
  <c r="A96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Q96" i="5"/>
  <c r="AR96" i="5"/>
  <c r="AS96" i="5"/>
  <c r="AT96" i="5"/>
  <c r="AU96" i="5"/>
  <c r="AV96" i="5"/>
  <c r="AW96" i="5"/>
  <c r="AX96" i="5"/>
  <c r="AY96" i="5"/>
  <c r="AZ96" i="5"/>
  <c r="BA96" i="5"/>
  <c r="BB96" i="5"/>
  <c r="BC96" i="5"/>
  <c r="BD96" i="5"/>
  <c r="BE96" i="5"/>
  <c r="BF96" i="5"/>
  <c r="BG96" i="5"/>
  <c r="BH96" i="5"/>
  <c r="BI96" i="5"/>
  <c r="BJ96" i="5"/>
  <c r="BK96" i="5"/>
  <c r="BL96" i="5"/>
  <c r="BM96" i="5"/>
  <c r="BN96" i="5"/>
  <c r="BO96" i="5"/>
  <c r="BP96" i="5"/>
  <c r="BQ96" i="5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CP96" i="5"/>
  <c r="CQ96" i="5"/>
  <c r="CR96" i="5"/>
  <c r="CS96" i="5"/>
  <c r="CT96" i="5"/>
  <c r="CU96" i="5"/>
  <c r="CV96" i="5"/>
  <c r="CW96" i="5"/>
  <c r="CX96" i="5"/>
  <c r="CY96" i="5"/>
  <c r="CZ96" i="5"/>
  <c r="DA96" i="5"/>
  <c r="DB96" i="5"/>
  <c r="DC96" i="5"/>
  <c r="DD96" i="5"/>
  <c r="DE96" i="5"/>
  <c r="DF96" i="5"/>
  <c r="DG96" i="5"/>
  <c r="DH96" i="5"/>
  <c r="DI96" i="5"/>
  <c r="DJ96" i="5"/>
  <c r="DK96" i="5"/>
  <c r="DL96" i="5"/>
  <c r="DM96" i="5"/>
  <c r="DN96" i="5"/>
  <c r="DO96" i="5"/>
  <c r="DP96" i="5"/>
  <c r="DQ96" i="5"/>
  <c r="DR96" i="5"/>
  <c r="DS96" i="5"/>
  <c r="DT96" i="5"/>
  <c r="DU96" i="5"/>
  <c r="DV96" i="5"/>
  <c r="DW96" i="5"/>
  <c r="DX96" i="5"/>
  <c r="DY96" i="5"/>
  <c r="DZ96" i="5"/>
  <c r="EA96" i="5"/>
  <c r="EB96" i="5"/>
  <c r="EC96" i="5"/>
  <c r="ED96" i="5"/>
  <c r="EE96" i="5"/>
  <c r="EF96" i="5"/>
  <c r="EG96" i="5"/>
  <c r="EH96" i="5"/>
  <c r="EI96" i="5"/>
  <c r="EJ96" i="5"/>
  <c r="EK96" i="5"/>
  <c r="EL96" i="5"/>
  <c r="EM96" i="5"/>
  <c r="EN96" i="5"/>
  <c r="EO96" i="5"/>
  <c r="EP96" i="5"/>
  <c r="EQ96" i="5"/>
  <c r="ER96" i="5"/>
  <c r="ES96" i="5"/>
  <c r="ET96" i="5"/>
  <c r="EU96" i="5"/>
  <c r="EV96" i="5"/>
  <c r="EW96" i="5"/>
  <c r="EX96" i="5"/>
  <c r="EY96" i="5"/>
  <c r="EZ96" i="5"/>
  <c r="FA96" i="5"/>
  <c r="FB96" i="5"/>
  <c r="FC96" i="5"/>
  <c r="FD96" i="5"/>
  <c r="FE96" i="5"/>
  <c r="FF96" i="5"/>
  <c r="FG96" i="5"/>
  <c r="FH96" i="5"/>
  <c r="FI96" i="5"/>
  <c r="FJ96" i="5"/>
  <c r="FK96" i="5"/>
  <c r="FL96" i="5"/>
  <c r="FM96" i="5"/>
  <c r="FN96" i="5"/>
  <c r="FO96" i="5"/>
  <c r="FP96" i="5"/>
  <c r="FQ96" i="5"/>
  <c r="FR96" i="5"/>
  <c r="FS96" i="5"/>
  <c r="FT96" i="5"/>
  <c r="FU96" i="5"/>
  <c r="FV96" i="5"/>
  <c r="FW96" i="5"/>
  <c r="FX96" i="5"/>
  <c r="FY96" i="5"/>
  <c r="FZ96" i="5"/>
  <c r="GA96" i="5"/>
  <c r="GB96" i="5"/>
  <c r="GC96" i="5"/>
  <c r="GD96" i="5"/>
  <c r="GE96" i="5"/>
  <c r="GF96" i="5"/>
  <c r="GG96" i="5"/>
  <c r="GH96" i="5"/>
  <c r="GI96" i="5"/>
  <c r="GJ96" i="5"/>
  <c r="GK96" i="5"/>
  <c r="GL96" i="5"/>
  <c r="GM96" i="5"/>
  <c r="GN96" i="5"/>
  <c r="GO96" i="5"/>
  <c r="GP96" i="5"/>
  <c r="GQ96" i="5"/>
  <c r="GR96" i="5"/>
  <c r="GS96" i="5"/>
  <c r="GT96" i="5"/>
  <c r="GU96" i="5"/>
  <c r="GV96" i="5"/>
  <c r="GW96" i="5"/>
  <c r="GX96" i="5"/>
  <c r="GY96" i="5"/>
  <c r="GZ96" i="5"/>
  <c r="HA96" i="5"/>
  <c r="HB96" i="5"/>
  <c r="HC96" i="5"/>
  <c r="HD96" i="5"/>
  <c r="HE96" i="5"/>
  <c r="HF96" i="5"/>
  <c r="HG96" i="5"/>
  <c r="HH96" i="5"/>
  <c r="HI96" i="5"/>
  <c r="HJ96" i="5"/>
  <c r="HK96" i="5"/>
  <c r="HL96" i="5"/>
  <c r="HM96" i="5"/>
  <c r="HN96" i="5"/>
  <c r="HO96" i="5"/>
  <c r="HP96" i="5"/>
  <c r="HQ96" i="5"/>
  <c r="HR96" i="5"/>
  <c r="HS96" i="5"/>
  <c r="HT96" i="5"/>
  <c r="HU96" i="5"/>
  <c r="HV96" i="5"/>
  <c r="HW96" i="5"/>
  <c r="HX96" i="5"/>
  <c r="HY96" i="5"/>
  <c r="HZ96" i="5"/>
  <c r="IA96" i="5"/>
  <c r="IB96" i="5"/>
  <c r="IC96" i="5"/>
  <c r="ID96" i="5"/>
  <c r="IE96" i="5"/>
  <c r="IF96" i="5"/>
  <c r="IG96" i="5"/>
  <c r="IH96" i="5"/>
  <c r="II96" i="5"/>
  <c r="IJ96" i="5"/>
  <c r="IK96" i="5"/>
  <c r="IL96" i="5"/>
  <c r="IM96" i="5"/>
  <c r="IN96" i="5"/>
  <c r="IO96" i="5"/>
  <c r="IP96" i="5"/>
  <c r="IQ96" i="5"/>
  <c r="IR96" i="5"/>
  <c r="IS96" i="5"/>
  <c r="IT96" i="5"/>
  <c r="IU96" i="5"/>
  <c r="IV96" i="5"/>
  <c r="A95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BL95" i="5"/>
  <c r="BM95" i="5"/>
  <c r="BN95" i="5"/>
  <c r="BO95" i="5"/>
  <c r="BP95" i="5"/>
  <c r="BQ95" i="5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P95" i="5"/>
  <c r="CQ95" i="5"/>
  <c r="CR95" i="5"/>
  <c r="CS95" i="5"/>
  <c r="CT95" i="5"/>
  <c r="CU95" i="5"/>
  <c r="CV95" i="5"/>
  <c r="CW95" i="5"/>
  <c r="CX95" i="5"/>
  <c r="CY95" i="5"/>
  <c r="CZ95" i="5"/>
  <c r="DA95" i="5"/>
  <c r="DB95" i="5"/>
  <c r="DC95" i="5"/>
  <c r="DD95" i="5"/>
  <c r="DE95" i="5"/>
  <c r="DF95" i="5"/>
  <c r="DG95" i="5"/>
  <c r="DH95" i="5"/>
  <c r="DI95" i="5"/>
  <c r="DJ95" i="5"/>
  <c r="DK95" i="5"/>
  <c r="DL95" i="5"/>
  <c r="DM95" i="5"/>
  <c r="DN95" i="5"/>
  <c r="DO95" i="5"/>
  <c r="DP95" i="5"/>
  <c r="DQ95" i="5"/>
  <c r="DR95" i="5"/>
  <c r="DS95" i="5"/>
  <c r="DT95" i="5"/>
  <c r="DU95" i="5"/>
  <c r="DV95" i="5"/>
  <c r="DW95" i="5"/>
  <c r="DX95" i="5"/>
  <c r="DY95" i="5"/>
  <c r="DZ95" i="5"/>
  <c r="EA95" i="5"/>
  <c r="EB95" i="5"/>
  <c r="EC95" i="5"/>
  <c r="ED95" i="5"/>
  <c r="EE95" i="5"/>
  <c r="EF95" i="5"/>
  <c r="EG95" i="5"/>
  <c r="EH95" i="5"/>
  <c r="EI95" i="5"/>
  <c r="EJ95" i="5"/>
  <c r="EK95" i="5"/>
  <c r="EL95" i="5"/>
  <c r="EM95" i="5"/>
  <c r="EN95" i="5"/>
  <c r="EO95" i="5"/>
  <c r="EP95" i="5"/>
  <c r="EQ95" i="5"/>
  <c r="ER95" i="5"/>
  <c r="ES95" i="5"/>
  <c r="ET95" i="5"/>
  <c r="EU95" i="5"/>
  <c r="EV95" i="5"/>
  <c r="EW95" i="5"/>
  <c r="EX95" i="5"/>
  <c r="EY95" i="5"/>
  <c r="EZ95" i="5"/>
  <c r="FA95" i="5"/>
  <c r="FB95" i="5"/>
  <c r="FC95" i="5"/>
  <c r="FD95" i="5"/>
  <c r="FE95" i="5"/>
  <c r="FF95" i="5"/>
  <c r="FG95" i="5"/>
  <c r="FH95" i="5"/>
  <c r="FI95" i="5"/>
  <c r="FJ95" i="5"/>
  <c r="FK95" i="5"/>
  <c r="FL95" i="5"/>
  <c r="FM95" i="5"/>
  <c r="FN95" i="5"/>
  <c r="FO95" i="5"/>
  <c r="FP95" i="5"/>
  <c r="FQ95" i="5"/>
  <c r="FR95" i="5"/>
  <c r="FS95" i="5"/>
  <c r="FT95" i="5"/>
  <c r="FU95" i="5"/>
  <c r="FV95" i="5"/>
  <c r="FW95" i="5"/>
  <c r="FX95" i="5"/>
  <c r="FY95" i="5"/>
  <c r="FZ95" i="5"/>
  <c r="GA95" i="5"/>
  <c r="GB95" i="5"/>
  <c r="GC95" i="5"/>
  <c r="GD95" i="5"/>
  <c r="GE95" i="5"/>
  <c r="GF95" i="5"/>
  <c r="GG95" i="5"/>
  <c r="GH95" i="5"/>
  <c r="GI95" i="5"/>
  <c r="GJ95" i="5"/>
  <c r="GK95" i="5"/>
  <c r="GL95" i="5"/>
  <c r="GM95" i="5"/>
  <c r="GN95" i="5"/>
  <c r="GO95" i="5"/>
  <c r="GP95" i="5"/>
  <c r="GQ95" i="5"/>
  <c r="GR95" i="5"/>
  <c r="GS95" i="5"/>
  <c r="GT95" i="5"/>
  <c r="GU95" i="5"/>
  <c r="GV95" i="5"/>
  <c r="GW95" i="5"/>
  <c r="GX95" i="5"/>
  <c r="GY95" i="5"/>
  <c r="GZ95" i="5"/>
  <c r="HA95" i="5"/>
  <c r="HB95" i="5"/>
  <c r="HC95" i="5"/>
  <c r="HD95" i="5"/>
  <c r="HE95" i="5"/>
  <c r="HF95" i="5"/>
  <c r="HG95" i="5"/>
  <c r="HH95" i="5"/>
  <c r="HI95" i="5"/>
  <c r="HJ95" i="5"/>
  <c r="HK95" i="5"/>
  <c r="HL95" i="5"/>
  <c r="HM95" i="5"/>
  <c r="HN95" i="5"/>
  <c r="HO95" i="5"/>
  <c r="HP95" i="5"/>
  <c r="HQ95" i="5"/>
  <c r="HR95" i="5"/>
  <c r="HS95" i="5"/>
  <c r="HT95" i="5"/>
  <c r="HU95" i="5"/>
  <c r="HV95" i="5"/>
  <c r="HW95" i="5"/>
  <c r="HX95" i="5"/>
  <c r="HY95" i="5"/>
  <c r="HZ95" i="5"/>
  <c r="IA95" i="5"/>
  <c r="IB95" i="5"/>
  <c r="IC95" i="5"/>
  <c r="ID95" i="5"/>
  <c r="IE95" i="5"/>
  <c r="IF95" i="5"/>
  <c r="IG95" i="5"/>
  <c r="IH95" i="5"/>
  <c r="II95" i="5"/>
  <c r="IJ95" i="5"/>
  <c r="IK95" i="5"/>
  <c r="IL95" i="5"/>
  <c r="IM95" i="5"/>
  <c r="IN95" i="5"/>
  <c r="IO95" i="5"/>
  <c r="IP95" i="5"/>
  <c r="IQ95" i="5"/>
  <c r="IR95" i="5"/>
  <c r="IS95" i="5"/>
  <c r="IT95" i="5"/>
  <c r="IU95" i="5"/>
  <c r="IV95" i="5"/>
  <c r="A94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Q94" i="5"/>
  <c r="AR94" i="5"/>
  <c r="AS94" i="5"/>
  <c r="AT94" i="5"/>
  <c r="AU94" i="5"/>
  <c r="AV94" i="5"/>
  <c r="AW94" i="5"/>
  <c r="AX94" i="5"/>
  <c r="AY94" i="5"/>
  <c r="AZ94" i="5"/>
  <c r="BA94" i="5"/>
  <c r="BB94" i="5"/>
  <c r="BC94" i="5"/>
  <c r="BD94" i="5"/>
  <c r="BE94" i="5"/>
  <c r="BF94" i="5"/>
  <c r="BG94" i="5"/>
  <c r="BH94" i="5"/>
  <c r="BI94" i="5"/>
  <c r="BJ94" i="5"/>
  <c r="BK94" i="5"/>
  <c r="BL94" i="5"/>
  <c r="BM94" i="5"/>
  <c r="BN94" i="5"/>
  <c r="BO94" i="5"/>
  <c r="BP94" i="5"/>
  <c r="BQ94" i="5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CP94" i="5"/>
  <c r="CQ94" i="5"/>
  <c r="CR94" i="5"/>
  <c r="CS94" i="5"/>
  <c r="CT94" i="5"/>
  <c r="CU94" i="5"/>
  <c r="CV94" i="5"/>
  <c r="CW94" i="5"/>
  <c r="CX94" i="5"/>
  <c r="CY94" i="5"/>
  <c r="CZ94" i="5"/>
  <c r="DA94" i="5"/>
  <c r="DB94" i="5"/>
  <c r="DC94" i="5"/>
  <c r="DD94" i="5"/>
  <c r="DE94" i="5"/>
  <c r="DF94" i="5"/>
  <c r="DG94" i="5"/>
  <c r="DH94" i="5"/>
  <c r="DI94" i="5"/>
  <c r="DJ94" i="5"/>
  <c r="DK94" i="5"/>
  <c r="DL94" i="5"/>
  <c r="DM94" i="5"/>
  <c r="DN94" i="5"/>
  <c r="DO94" i="5"/>
  <c r="DP94" i="5"/>
  <c r="DQ94" i="5"/>
  <c r="DR94" i="5"/>
  <c r="DS94" i="5"/>
  <c r="DT94" i="5"/>
  <c r="DU94" i="5"/>
  <c r="DV94" i="5"/>
  <c r="DW94" i="5"/>
  <c r="DX94" i="5"/>
  <c r="DY94" i="5"/>
  <c r="DZ94" i="5"/>
  <c r="EA94" i="5"/>
  <c r="EB94" i="5"/>
  <c r="EC94" i="5"/>
  <c r="ED94" i="5"/>
  <c r="EE94" i="5"/>
  <c r="EF94" i="5"/>
  <c r="EG94" i="5"/>
  <c r="EH94" i="5"/>
  <c r="EI94" i="5"/>
  <c r="EJ94" i="5"/>
  <c r="EK94" i="5"/>
  <c r="EL94" i="5"/>
  <c r="EM94" i="5"/>
  <c r="EN94" i="5"/>
  <c r="EO94" i="5"/>
  <c r="EP94" i="5"/>
  <c r="EQ94" i="5"/>
  <c r="ER94" i="5"/>
  <c r="ES94" i="5"/>
  <c r="ET94" i="5"/>
  <c r="EU94" i="5"/>
  <c r="EV94" i="5"/>
  <c r="EW94" i="5"/>
  <c r="EX94" i="5"/>
  <c r="EY94" i="5"/>
  <c r="EZ94" i="5"/>
  <c r="FA94" i="5"/>
  <c r="FB94" i="5"/>
  <c r="FC94" i="5"/>
  <c r="FD94" i="5"/>
  <c r="FE94" i="5"/>
  <c r="FF94" i="5"/>
  <c r="FG94" i="5"/>
  <c r="FH94" i="5"/>
  <c r="FI94" i="5"/>
  <c r="FJ94" i="5"/>
  <c r="FK94" i="5"/>
  <c r="FL94" i="5"/>
  <c r="FM94" i="5"/>
  <c r="FN94" i="5"/>
  <c r="FO94" i="5"/>
  <c r="FP94" i="5"/>
  <c r="FQ94" i="5"/>
  <c r="FR94" i="5"/>
  <c r="FS94" i="5"/>
  <c r="FT94" i="5"/>
  <c r="FU94" i="5"/>
  <c r="FV94" i="5"/>
  <c r="FW94" i="5"/>
  <c r="FX94" i="5"/>
  <c r="FY94" i="5"/>
  <c r="FZ94" i="5"/>
  <c r="GA94" i="5"/>
  <c r="GB94" i="5"/>
  <c r="GC94" i="5"/>
  <c r="GD94" i="5"/>
  <c r="GE94" i="5"/>
  <c r="GF94" i="5"/>
  <c r="GG94" i="5"/>
  <c r="GH94" i="5"/>
  <c r="GI94" i="5"/>
  <c r="GJ94" i="5"/>
  <c r="GK94" i="5"/>
  <c r="GL94" i="5"/>
  <c r="GM94" i="5"/>
  <c r="GN94" i="5"/>
  <c r="GO94" i="5"/>
  <c r="GP94" i="5"/>
  <c r="GQ94" i="5"/>
  <c r="GR94" i="5"/>
  <c r="GS94" i="5"/>
  <c r="GT94" i="5"/>
  <c r="GU94" i="5"/>
  <c r="GV94" i="5"/>
  <c r="GW94" i="5"/>
  <c r="GX94" i="5"/>
  <c r="GY94" i="5"/>
  <c r="GZ94" i="5"/>
  <c r="HA94" i="5"/>
  <c r="HB94" i="5"/>
  <c r="HC94" i="5"/>
  <c r="HD94" i="5"/>
  <c r="HE94" i="5"/>
  <c r="HF94" i="5"/>
  <c r="HG94" i="5"/>
  <c r="HH94" i="5"/>
  <c r="HI94" i="5"/>
  <c r="HJ94" i="5"/>
  <c r="HK94" i="5"/>
  <c r="HL94" i="5"/>
  <c r="HM94" i="5"/>
  <c r="HN94" i="5"/>
  <c r="HO94" i="5"/>
  <c r="HP94" i="5"/>
  <c r="HQ94" i="5"/>
  <c r="HR94" i="5"/>
  <c r="HS94" i="5"/>
  <c r="HT94" i="5"/>
  <c r="HU94" i="5"/>
  <c r="HV94" i="5"/>
  <c r="HW94" i="5"/>
  <c r="HX94" i="5"/>
  <c r="HY94" i="5"/>
  <c r="HZ94" i="5"/>
  <c r="IA94" i="5"/>
  <c r="IB94" i="5"/>
  <c r="IC94" i="5"/>
  <c r="ID94" i="5"/>
  <c r="IE94" i="5"/>
  <c r="IF94" i="5"/>
  <c r="IG94" i="5"/>
  <c r="IH94" i="5"/>
  <c r="II94" i="5"/>
  <c r="IJ94" i="5"/>
  <c r="IK94" i="5"/>
  <c r="IL94" i="5"/>
  <c r="IM94" i="5"/>
  <c r="IN94" i="5"/>
  <c r="IO94" i="5"/>
  <c r="IP94" i="5"/>
  <c r="IQ94" i="5"/>
  <c r="IR94" i="5"/>
  <c r="IS94" i="5"/>
  <c r="IT94" i="5"/>
  <c r="IU94" i="5"/>
  <c r="IV94" i="5"/>
  <c r="A93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Q93" i="5"/>
  <c r="AR93" i="5"/>
  <c r="AS93" i="5"/>
  <c r="AT93" i="5"/>
  <c r="AU93" i="5"/>
  <c r="AV93" i="5"/>
  <c r="AW93" i="5"/>
  <c r="AX93" i="5"/>
  <c r="AY93" i="5"/>
  <c r="AZ93" i="5"/>
  <c r="BA93" i="5"/>
  <c r="BB93" i="5"/>
  <c r="BC93" i="5"/>
  <c r="BD93" i="5"/>
  <c r="BE93" i="5"/>
  <c r="BF93" i="5"/>
  <c r="BG93" i="5"/>
  <c r="BH93" i="5"/>
  <c r="BI93" i="5"/>
  <c r="BJ93" i="5"/>
  <c r="BK93" i="5"/>
  <c r="BL93" i="5"/>
  <c r="BM93" i="5"/>
  <c r="BN93" i="5"/>
  <c r="BO93" i="5"/>
  <c r="BP93" i="5"/>
  <c r="BQ93" i="5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CP93" i="5"/>
  <c r="CQ93" i="5"/>
  <c r="CR93" i="5"/>
  <c r="CS93" i="5"/>
  <c r="CT93" i="5"/>
  <c r="CU93" i="5"/>
  <c r="CV93" i="5"/>
  <c r="CW93" i="5"/>
  <c r="CX93" i="5"/>
  <c r="CY93" i="5"/>
  <c r="CZ93" i="5"/>
  <c r="DA93" i="5"/>
  <c r="DB93" i="5"/>
  <c r="DC93" i="5"/>
  <c r="DD93" i="5"/>
  <c r="DE93" i="5"/>
  <c r="DF93" i="5"/>
  <c r="DG93" i="5"/>
  <c r="DH93" i="5"/>
  <c r="DI93" i="5"/>
  <c r="DJ93" i="5"/>
  <c r="DK93" i="5"/>
  <c r="DL93" i="5"/>
  <c r="DM93" i="5"/>
  <c r="DN93" i="5"/>
  <c r="DO93" i="5"/>
  <c r="DP93" i="5"/>
  <c r="DQ93" i="5"/>
  <c r="DR93" i="5"/>
  <c r="DS93" i="5"/>
  <c r="DT93" i="5"/>
  <c r="DU93" i="5"/>
  <c r="DV93" i="5"/>
  <c r="DW93" i="5"/>
  <c r="DX93" i="5"/>
  <c r="DY93" i="5"/>
  <c r="DZ93" i="5"/>
  <c r="EA93" i="5"/>
  <c r="EB93" i="5"/>
  <c r="EC93" i="5"/>
  <c r="ED93" i="5"/>
  <c r="EE93" i="5"/>
  <c r="EF93" i="5"/>
  <c r="EG93" i="5"/>
  <c r="EH93" i="5"/>
  <c r="EI93" i="5"/>
  <c r="EJ93" i="5"/>
  <c r="EK93" i="5"/>
  <c r="EL93" i="5"/>
  <c r="EM93" i="5"/>
  <c r="EN93" i="5"/>
  <c r="EO93" i="5"/>
  <c r="EP93" i="5"/>
  <c r="EQ93" i="5"/>
  <c r="ER93" i="5"/>
  <c r="ES93" i="5"/>
  <c r="ET93" i="5"/>
  <c r="EU93" i="5"/>
  <c r="EV93" i="5"/>
  <c r="EW93" i="5"/>
  <c r="EX93" i="5"/>
  <c r="EY93" i="5"/>
  <c r="EZ93" i="5"/>
  <c r="FA93" i="5"/>
  <c r="FB93" i="5"/>
  <c r="FC93" i="5"/>
  <c r="FD93" i="5"/>
  <c r="FE93" i="5"/>
  <c r="FF93" i="5"/>
  <c r="FG93" i="5"/>
  <c r="FH93" i="5"/>
  <c r="FI93" i="5"/>
  <c r="FJ93" i="5"/>
  <c r="FK93" i="5"/>
  <c r="FL93" i="5"/>
  <c r="FM93" i="5"/>
  <c r="FN93" i="5"/>
  <c r="FO93" i="5"/>
  <c r="FP93" i="5"/>
  <c r="FQ93" i="5"/>
  <c r="FR93" i="5"/>
  <c r="FS93" i="5"/>
  <c r="FT93" i="5"/>
  <c r="FU93" i="5"/>
  <c r="FV93" i="5"/>
  <c r="FW93" i="5"/>
  <c r="FX93" i="5"/>
  <c r="FY93" i="5"/>
  <c r="FZ93" i="5"/>
  <c r="GA93" i="5"/>
  <c r="GB93" i="5"/>
  <c r="GC93" i="5"/>
  <c r="GD93" i="5"/>
  <c r="GE93" i="5"/>
  <c r="GF93" i="5"/>
  <c r="GG93" i="5"/>
  <c r="GH93" i="5"/>
  <c r="GI93" i="5"/>
  <c r="GJ93" i="5"/>
  <c r="GK93" i="5"/>
  <c r="GL93" i="5"/>
  <c r="GM93" i="5"/>
  <c r="GN93" i="5"/>
  <c r="GO93" i="5"/>
  <c r="GP93" i="5"/>
  <c r="GQ93" i="5"/>
  <c r="GR93" i="5"/>
  <c r="GS93" i="5"/>
  <c r="GT93" i="5"/>
  <c r="GU93" i="5"/>
  <c r="GV93" i="5"/>
  <c r="GW93" i="5"/>
  <c r="GX93" i="5"/>
  <c r="GY93" i="5"/>
  <c r="GZ93" i="5"/>
  <c r="HA93" i="5"/>
  <c r="HB93" i="5"/>
  <c r="HC93" i="5"/>
  <c r="HD93" i="5"/>
  <c r="HE93" i="5"/>
  <c r="HF93" i="5"/>
  <c r="HG93" i="5"/>
  <c r="HH93" i="5"/>
  <c r="HI93" i="5"/>
  <c r="HJ93" i="5"/>
  <c r="HK93" i="5"/>
  <c r="HL93" i="5"/>
  <c r="HM93" i="5"/>
  <c r="HN93" i="5"/>
  <c r="HO93" i="5"/>
  <c r="HP93" i="5"/>
  <c r="HQ93" i="5"/>
  <c r="HR93" i="5"/>
  <c r="HS93" i="5"/>
  <c r="HT93" i="5"/>
  <c r="HU93" i="5"/>
  <c r="HV93" i="5"/>
  <c r="HW93" i="5"/>
  <c r="HX93" i="5"/>
  <c r="HY93" i="5"/>
  <c r="HZ93" i="5"/>
  <c r="IA93" i="5"/>
  <c r="IB93" i="5"/>
  <c r="IC93" i="5"/>
  <c r="ID93" i="5"/>
  <c r="IE93" i="5"/>
  <c r="IF93" i="5"/>
  <c r="IG93" i="5"/>
  <c r="IH93" i="5"/>
  <c r="II93" i="5"/>
  <c r="IJ93" i="5"/>
  <c r="IK93" i="5"/>
  <c r="IL93" i="5"/>
  <c r="IM93" i="5"/>
  <c r="IN93" i="5"/>
  <c r="IO93" i="5"/>
  <c r="IP93" i="5"/>
  <c r="IQ93" i="5"/>
  <c r="IR93" i="5"/>
  <c r="IS93" i="5"/>
  <c r="IT93" i="5"/>
  <c r="IU93" i="5"/>
  <c r="IV93" i="5"/>
  <c r="A92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Q92" i="5"/>
  <c r="AR92" i="5"/>
  <c r="AS92" i="5"/>
  <c r="AT92" i="5"/>
  <c r="AU92" i="5"/>
  <c r="AV92" i="5"/>
  <c r="AW92" i="5"/>
  <c r="AX92" i="5"/>
  <c r="AY92" i="5"/>
  <c r="AZ92" i="5"/>
  <c r="BA92" i="5"/>
  <c r="BB92" i="5"/>
  <c r="BC92" i="5"/>
  <c r="BD92" i="5"/>
  <c r="BE92" i="5"/>
  <c r="BF92" i="5"/>
  <c r="BG92" i="5"/>
  <c r="BH92" i="5"/>
  <c r="BI92" i="5"/>
  <c r="BJ92" i="5"/>
  <c r="BK92" i="5"/>
  <c r="BL92" i="5"/>
  <c r="BM92" i="5"/>
  <c r="BN92" i="5"/>
  <c r="BO92" i="5"/>
  <c r="BP92" i="5"/>
  <c r="BQ92" i="5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P92" i="5"/>
  <c r="CQ92" i="5"/>
  <c r="CR92" i="5"/>
  <c r="CS92" i="5"/>
  <c r="CT92" i="5"/>
  <c r="CU92" i="5"/>
  <c r="CV92" i="5"/>
  <c r="CW92" i="5"/>
  <c r="CX92" i="5"/>
  <c r="CY92" i="5"/>
  <c r="CZ92" i="5"/>
  <c r="DA92" i="5"/>
  <c r="DB92" i="5"/>
  <c r="DC92" i="5"/>
  <c r="DD92" i="5"/>
  <c r="DE92" i="5"/>
  <c r="DF92" i="5"/>
  <c r="DG92" i="5"/>
  <c r="DH92" i="5"/>
  <c r="DI92" i="5"/>
  <c r="DJ92" i="5"/>
  <c r="DK92" i="5"/>
  <c r="DL92" i="5"/>
  <c r="DM92" i="5"/>
  <c r="DN92" i="5"/>
  <c r="DO92" i="5"/>
  <c r="DP92" i="5"/>
  <c r="DQ92" i="5"/>
  <c r="DR92" i="5"/>
  <c r="DS92" i="5"/>
  <c r="DT92" i="5"/>
  <c r="DU92" i="5"/>
  <c r="DV92" i="5"/>
  <c r="DW92" i="5"/>
  <c r="DX92" i="5"/>
  <c r="DY92" i="5"/>
  <c r="DZ92" i="5"/>
  <c r="EA92" i="5"/>
  <c r="EB92" i="5"/>
  <c r="EC92" i="5"/>
  <c r="ED92" i="5"/>
  <c r="EE92" i="5"/>
  <c r="EF92" i="5"/>
  <c r="EG92" i="5"/>
  <c r="EH92" i="5"/>
  <c r="EI92" i="5"/>
  <c r="EJ92" i="5"/>
  <c r="EK92" i="5"/>
  <c r="EL92" i="5"/>
  <c r="EM92" i="5"/>
  <c r="EN92" i="5"/>
  <c r="EO92" i="5"/>
  <c r="EP92" i="5"/>
  <c r="EQ92" i="5"/>
  <c r="ER92" i="5"/>
  <c r="ES92" i="5"/>
  <c r="ET92" i="5"/>
  <c r="EU92" i="5"/>
  <c r="EV92" i="5"/>
  <c r="EW92" i="5"/>
  <c r="EX92" i="5"/>
  <c r="EY92" i="5"/>
  <c r="EZ92" i="5"/>
  <c r="FA92" i="5"/>
  <c r="FB92" i="5"/>
  <c r="FC92" i="5"/>
  <c r="FD92" i="5"/>
  <c r="FE92" i="5"/>
  <c r="FF92" i="5"/>
  <c r="FG92" i="5"/>
  <c r="FH92" i="5"/>
  <c r="FI92" i="5"/>
  <c r="FJ92" i="5"/>
  <c r="FK92" i="5"/>
  <c r="FL92" i="5"/>
  <c r="FM92" i="5"/>
  <c r="FN92" i="5"/>
  <c r="FO92" i="5"/>
  <c r="FP92" i="5"/>
  <c r="FQ92" i="5"/>
  <c r="FR92" i="5"/>
  <c r="FS92" i="5"/>
  <c r="FT92" i="5"/>
  <c r="FU92" i="5"/>
  <c r="FV92" i="5"/>
  <c r="FW92" i="5"/>
  <c r="FX92" i="5"/>
  <c r="FY92" i="5"/>
  <c r="FZ92" i="5"/>
  <c r="GA92" i="5"/>
  <c r="GB92" i="5"/>
  <c r="GC92" i="5"/>
  <c r="GD92" i="5"/>
  <c r="GE92" i="5"/>
  <c r="GF92" i="5"/>
  <c r="GG92" i="5"/>
  <c r="GH92" i="5"/>
  <c r="GI92" i="5"/>
  <c r="GJ92" i="5"/>
  <c r="GK92" i="5"/>
  <c r="GL92" i="5"/>
  <c r="GM92" i="5"/>
  <c r="GN92" i="5"/>
  <c r="GO92" i="5"/>
  <c r="GP92" i="5"/>
  <c r="GQ92" i="5"/>
  <c r="GR92" i="5"/>
  <c r="GS92" i="5"/>
  <c r="GT92" i="5"/>
  <c r="GU92" i="5"/>
  <c r="GV92" i="5"/>
  <c r="GW92" i="5"/>
  <c r="GX92" i="5"/>
  <c r="GY92" i="5"/>
  <c r="GZ92" i="5"/>
  <c r="HA92" i="5"/>
  <c r="HB92" i="5"/>
  <c r="HC92" i="5"/>
  <c r="HD92" i="5"/>
  <c r="HE92" i="5"/>
  <c r="HF92" i="5"/>
  <c r="HG92" i="5"/>
  <c r="HH92" i="5"/>
  <c r="HI92" i="5"/>
  <c r="HJ92" i="5"/>
  <c r="HK92" i="5"/>
  <c r="HL92" i="5"/>
  <c r="HM92" i="5"/>
  <c r="HN92" i="5"/>
  <c r="HO92" i="5"/>
  <c r="HP92" i="5"/>
  <c r="HQ92" i="5"/>
  <c r="HR92" i="5"/>
  <c r="HS92" i="5"/>
  <c r="HT92" i="5"/>
  <c r="HU92" i="5"/>
  <c r="HV92" i="5"/>
  <c r="HW92" i="5"/>
  <c r="HX92" i="5"/>
  <c r="HY92" i="5"/>
  <c r="HZ92" i="5"/>
  <c r="IA92" i="5"/>
  <c r="IB92" i="5"/>
  <c r="IC92" i="5"/>
  <c r="ID92" i="5"/>
  <c r="IE92" i="5"/>
  <c r="IF92" i="5"/>
  <c r="IG92" i="5"/>
  <c r="IH92" i="5"/>
  <c r="II92" i="5"/>
  <c r="IJ92" i="5"/>
  <c r="IK92" i="5"/>
  <c r="IL92" i="5"/>
  <c r="IM92" i="5"/>
  <c r="IN92" i="5"/>
  <c r="IO92" i="5"/>
  <c r="IP92" i="5"/>
  <c r="IQ92" i="5"/>
  <c r="IR92" i="5"/>
  <c r="IS92" i="5"/>
  <c r="IT92" i="5"/>
  <c r="IU92" i="5"/>
  <c r="IV92" i="5"/>
  <c r="A91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Q91" i="5"/>
  <c r="AR91" i="5"/>
  <c r="AS91" i="5"/>
  <c r="AT91" i="5"/>
  <c r="AU91" i="5"/>
  <c r="AV91" i="5"/>
  <c r="AW91" i="5"/>
  <c r="AX91" i="5"/>
  <c r="AY91" i="5"/>
  <c r="AZ91" i="5"/>
  <c r="BA91" i="5"/>
  <c r="BB91" i="5"/>
  <c r="BC91" i="5"/>
  <c r="BD91" i="5"/>
  <c r="BE91" i="5"/>
  <c r="BF91" i="5"/>
  <c r="BG91" i="5"/>
  <c r="BH91" i="5"/>
  <c r="BI91" i="5"/>
  <c r="BJ91" i="5"/>
  <c r="BK91" i="5"/>
  <c r="BL91" i="5"/>
  <c r="BM91" i="5"/>
  <c r="BN91" i="5"/>
  <c r="BO91" i="5"/>
  <c r="BP91" i="5"/>
  <c r="BQ91" i="5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CP91" i="5"/>
  <c r="CQ91" i="5"/>
  <c r="CR91" i="5"/>
  <c r="CS91" i="5"/>
  <c r="CT91" i="5"/>
  <c r="CU91" i="5"/>
  <c r="CV91" i="5"/>
  <c r="CW91" i="5"/>
  <c r="CX91" i="5"/>
  <c r="CY91" i="5"/>
  <c r="CZ91" i="5"/>
  <c r="DA91" i="5"/>
  <c r="DB91" i="5"/>
  <c r="DC91" i="5"/>
  <c r="DD91" i="5"/>
  <c r="DE91" i="5"/>
  <c r="DF91" i="5"/>
  <c r="DG91" i="5"/>
  <c r="DH91" i="5"/>
  <c r="DI91" i="5"/>
  <c r="DJ91" i="5"/>
  <c r="DK91" i="5"/>
  <c r="DL91" i="5"/>
  <c r="DM91" i="5"/>
  <c r="DN91" i="5"/>
  <c r="DO91" i="5"/>
  <c r="DP91" i="5"/>
  <c r="DQ91" i="5"/>
  <c r="DR91" i="5"/>
  <c r="DS91" i="5"/>
  <c r="DT91" i="5"/>
  <c r="DU91" i="5"/>
  <c r="DV91" i="5"/>
  <c r="DW91" i="5"/>
  <c r="DX91" i="5"/>
  <c r="DY91" i="5"/>
  <c r="DZ91" i="5"/>
  <c r="EA91" i="5"/>
  <c r="EB91" i="5"/>
  <c r="EC91" i="5"/>
  <c r="ED91" i="5"/>
  <c r="EE91" i="5"/>
  <c r="EF91" i="5"/>
  <c r="EG91" i="5"/>
  <c r="EH91" i="5"/>
  <c r="EI91" i="5"/>
  <c r="EJ91" i="5"/>
  <c r="EK91" i="5"/>
  <c r="EL91" i="5"/>
  <c r="EM91" i="5"/>
  <c r="EN91" i="5"/>
  <c r="EO91" i="5"/>
  <c r="EP91" i="5"/>
  <c r="EQ91" i="5"/>
  <c r="ER91" i="5"/>
  <c r="ES91" i="5"/>
  <c r="ET91" i="5"/>
  <c r="EU91" i="5"/>
  <c r="EV91" i="5"/>
  <c r="EW91" i="5"/>
  <c r="EX91" i="5"/>
  <c r="EY91" i="5"/>
  <c r="EZ91" i="5"/>
  <c r="FA91" i="5"/>
  <c r="FB91" i="5"/>
  <c r="FC91" i="5"/>
  <c r="FD91" i="5"/>
  <c r="FE91" i="5"/>
  <c r="FF91" i="5"/>
  <c r="FG91" i="5"/>
  <c r="FH91" i="5"/>
  <c r="FI91" i="5"/>
  <c r="FJ91" i="5"/>
  <c r="FK91" i="5"/>
  <c r="FL91" i="5"/>
  <c r="FM91" i="5"/>
  <c r="FN91" i="5"/>
  <c r="FO91" i="5"/>
  <c r="FP91" i="5"/>
  <c r="FQ91" i="5"/>
  <c r="FR91" i="5"/>
  <c r="FS91" i="5"/>
  <c r="FT91" i="5"/>
  <c r="FU91" i="5"/>
  <c r="FV91" i="5"/>
  <c r="FW91" i="5"/>
  <c r="FX91" i="5"/>
  <c r="FY91" i="5"/>
  <c r="FZ91" i="5"/>
  <c r="GA91" i="5"/>
  <c r="GB91" i="5"/>
  <c r="GC91" i="5"/>
  <c r="GD91" i="5"/>
  <c r="GE91" i="5"/>
  <c r="GF91" i="5"/>
  <c r="GG91" i="5"/>
  <c r="GH91" i="5"/>
  <c r="GI91" i="5"/>
  <c r="GJ91" i="5"/>
  <c r="GK91" i="5"/>
  <c r="GL91" i="5"/>
  <c r="GM91" i="5"/>
  <c r="GN91" i="5"/>
  <c r="GO91" i="5"/>
  <c r="GP91" i="5"/>
  <c r="GQ91" i="5"/>
  <c r="GR91" i="5"/>
  <c r="GS91" i="5"/>
  <c r="GT91" i="5"/>
  <c r="GU91" i="5"/>
  <c r="GV91" i="5"/>
  <c r="GW91" i="5"/>
  <c r="GX91" i="5"/>
  <c r="GY91" i="5"/>
  <c r="GZ91" i="5"/>
  <c r="HA91" i="5"/>
  <c r="HB91" i="5"/>
  <c r="HC91" i="5"/>
  <c r="HD91" i="5"/>
  <c r="HE91" i="5"/>
  <c r="HF91" i="5"/>
  <c r="HG91" i="5"/>
  <c r="HH91" i="5"/>
  <c r="HI91" i="5"/>
  <c r="HJ91" i="5"/>
  <c r="HK91" i="5"/>
  <c r="HL91" i="5"/>
  <c r="HM91" i="5"/>
  <c r="HN91" i="5"/>
  <c r="HO91" i="5"/>
  <c r="HP91" i="5"/>
  <c r="HQ91" i="5"/>
  <c r="HR91" i="5"/>
  <c r="HS91" i="5"/>
  <c r="HT91" i="5"/>
  <c r="HU91" i="5"/>
  <c r="HV91" i="5"/>
  <c r="HW91" i="5"/>
  <c r="HX91" i="5"/>
  <c r="HY91" i="5"/>
  <c r="HZ91" i="5"/>
  <c r="IA91" i="5"/>
  <c r="IB91" i="5"/>
  <c r="IC91" i="5"/>
  <c r="ID91" i="5"/>
  <c r="IE91" i="5"/>
  <c r="IF91" i="5"/>
  <c r="IG91" i="5"/>
  <c r="IH91" i="5"/>
  <c r="II91" i="5"/>
  <c r="IJ91" i="5"/>
  <c r="IK91" i="5"/>
  <c r="IL91" i="5"/>
  <c r="IM91" i="5"/>
  <c r="IN91" i="5"/>
  <c r="IO91" i="5"/>
  <c r="IP91" i="5"/>
  <c r="IQ91" i="5"/>
  <c r="IR91" i="5"/>
  <c r="IS91" i="5"/>
  <c r="IT91" i="5"/>
  <c r="IU91" i="5"/>
  <c r="IV91" i="5"/>
  <c r="A90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BL90" i="5"/>
  <c r="BM90" i="5"/>
  <c r="BN90" i="5"/>
  <c r="BO90" i="5"/>
  <c r="BP90" i="5"/>
  <c r="BQ90" i="5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CP90" i="5"/>
  <c r="CQ90" i="5"/>
  <c r="CR90" i="5"/>
  <c r="CS90" i="5"/>
  <c r="CT90" i="5"/>
  <c r="CU90" i="5"/>
  <c r="CV90" i="5"/>
  <c r="CW90" i="5"/>
  <c r="CX90" i="5"/>
  <c r="CY90" i="5"/>
  <c r="CZ90" i="5"/>
  <c r="DA90" i="5"/>
  <c r="DB90" i="5"/>
  <c r="DC90" i="5"/>
  <c r="DD90" i="5"/>
  <c r="DE90" i="5"/>
  <c r="DF90" i="5"/>
  <c r="DG90" i="5"/>
  <c r="DH90" i="5"/>
  <c r="DI90" i="5"/>
  <c r="DJ90" i="5"/>
  <c r="DK90" i="5"/>
  <c r="DL90" i="5"/>
  <c r="DM90" i="5"/>
  <c r="DN90" i="5"/>
  <c r="DO90" i="5"/>
  <c r="DP90" i="5"/>
  <c r="DQ90" i="5"/>
  <c r="DR90" i="5"/>
  <c r="DS90" i="5"/>
  <c r="DT90" i="5"/>
  <c r="DU90" i="5"/>
  <c r="DV90" i="5"/>
  <c r="DW90" i="5"/>
  <c r="DX90" i="5"/>
  <c r="DY90" i="5"/>
  <c r="DZ90" i="5"/>
  <c r="EA90" i="5"/>
  <c r="EB90" i="5"/>
  <c r="EC90" i="5"/>
  <c r="ED90" i="5"/>
  <c r="EE90" i="5"/>
  <c r="EF90" i="5"/>
  <c r="EG90" i="5"/>
  <c r="EH90" i="5"/>
  <c r="EI90" i="5"/>
  <c r="EJ90" i="5"/>
  <c r="EK90" i="5"/>
  <c r="EL90" i="5"/>
  <c r="EM90" i="5"/>
  <c r="EN90" i="5"/>
  <c r="EO90" i="5"/>
  <c r="EP90" i="5"/>
  <c r="EQ90" i="5"/>
  <c r="ER90" i="5"/>
  <c r="ES90" i="5"/>
  <c r="ET90" i="5"/>
  <c r="EU90" i="5"/>
  <c r="EV90" i="5"/>
  <c r="EW90" i="5"/>
  <c r="EX90" i="5"/>
  <c r="EY90" i="5"/>
  <c r="EZ90" i="5"/>
  <c r="FA90" i="5"/>
  <c r="FB90" i="5"/>
  <c r="FC90" i="5"/>
  <c r="FD90" i="5"/>
  <c r="FE90" i="5"/>
  <c r="FF90" i="5"/>
  <c r="FG90" i="5"/>
  <c r="FH90" i="5"/>
  <c r="FI90" i="5"/>
  <c r="FJ90" i="5"/>
  <c r="FK90" i="5"/>
  <c r="FL90" i="5"/>
  <c r="FM90" i="5"/>
  <c r="FN90" i="5"/>
  <c r="FO90" i="5"/>
  <c r="FP90" i="5"/>
  <c r="FQ90" i="5"/>
  <c r="FR90" i="5"/>
  <c r="FS90" i="5"/>
  <c r="FT90" i="5"/>
  <c r="FU90" i="5"/>
  <c r="FV90" i="5"/>
  <c r="FW90" i="5"/>
  <c r="FX90" i="5"/>
  <c r="FY90" i="5"/>
  <c r="FZ90" i="5"/>
  <c r="GA90" i="5"/>
  <c r="GB90" i="5"/>
  <c r="GC90" i="5"/>
  <c r="GD90" i="5"/>
  <c r="GE90" i="5"/>
  <c r="GF90" i="5"/>
  <c r="GG90" i="5"/>
  <c r="GH90" i="5"/>
  <c r="GI90" i="5"/>
  <c r="GJ90" i="5"/>
  <c r="GK90" i="5"/>
  <c r="GL90" i="5"/>
  <c r="GM90" i="5"/>
  <c r="GN90" i="5"/>
  <c r="GO90" i="5"/>
  <c r="GP90" i="5"/>
  <c r="GQ90" i="5"/>
  <c r="GR90" i="5"/>
  <c r="GS90" i="5"/>
  <c r="GT90" i="5"/>
  <c r="GU90" i="5"/>
  <c r="GV90" i="5"/>
  <c r="GW90" i="5"/>
  <c r="GX90" i="5"/>
  <c r="GY90" i="5"/>
  <c r="GZ90" i="5"/>
  <c r="HA90" i="5"/>
  <c r="HB90" i="5"/>
  <c r="HC90" i="5"/>
  <c r="HD90" i="5"/>
  <c r="HE90" i="5"/>
  <c r="HF90" i="5"/>
  <c r="HG90" i="5"/>
  <c r="HH90" i="5"/>
  <c r="HI90" i="5"/>
  <c r="HJ90" i="5"/>
  <c r="HK90" i="5"/>
  <c r="HL90" i="5"/>
  <c r="HM90" i="5"/>
  <c r="HN90" i="5"/>
  <c r="HO90" i="5"/>
  <c r="HP90" i="5"/>
  <c r="HQ90" i="5"/>
  <c r="HR90" i="5"/>
  <c r="HS90" i="5"/>
  <c r="HT90" i="5"/>
  <c r="HU90" i="5"/>
  <c r="HV90" i="5"/>
  <c r="HW90" i="5"/>
  <c r="HX90" i="5"/>
  <c r="HY90" i="5"/>
  <c r="HZ90" i="5"/>
  <c r="IA90" i="5"/>
  <c r="IB90" i="5"/>
  <c r="IC90" i="5"/>
  <c r="ID90" i="5"/>
  <c r="IE90" i="5"/>
  <c r="IF90" i="5"/>
  <c r="IG90" i="5"/>
  <c r="IH90" i="5"/>
  <c r="II90" i="5"/>
  <c r="IJ90" i="5"/>
  <c r="IK90" i="5"/>
  <c r="IL90" i="5"/>
  <c r="IM90" i="5"/>
  <c r="IN90" i="5"/>
  <c r="IO90" i="5"/>
  <c r="IP90" i="5"/>
  <c r="IQ90" i="5"/>
  <c r="IR90" i="5"/>
  <c r="IS90" i="5"/>
  <c r="IT90" i="5"/>
  <c r="IU90" i="5"/>
  <c r="IV90" i="5"/>
  <c r="A89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Q89" i="5"/>
  <c r="AR89" i="5"/>
  <c r="AS89" i="5"/>
  <c r="AT89" i="5"/>
  <c r="AU89" i="5"/>
  <c r="AV89" i="5"/>
  <c r="AW89" i="5"/>
  <c r="AX89" i="5"/>
  <c r="AY89" i="5"/>
  <c r="AZ89" i="5"/>
  <c r="BA89" i="5"/>
  <c r="BB89" i="5"/>
  <c r="BC89" i="5"/>
  <c r="BD89" i="5"/>
  <c r="BE89" i="5"/>
  <c r="BF89" i="5"/>
  <c r="BG89" i="5"/>
  <c r="BH89" i="5"/>
  <c r="BI89" i="5"/>
  <c r="BJ89" i="5"/>
  <c r="BK89" i="5"/>
  <c r="BL89" i="5"/>
  <c r="BM89" i="5"/>
  <c r="BN89" i="5"/>
  <c r="BO89" i="5"/>
  <c r="BP89" i="5"/>
  <c r="BQ89" i="5"/>
  <c r="BR89" i="5"/>
  <c r="BS89" i="5"/>
  <c r="BT89" i="5"/>
  <c r="BU89" i="5"/>
  <c r="BV89" i="5"/>
  <c r="BW89" i="5"/>
  <c r="BX89" i="5"/>
  <c r="BY89" i="5"/>
  <c r="BZ89" i="5"/>
  <c r="CA89" i="5"/>
  <c r="CB89" i="5"/>
  <c r="CC89" i="5"/>
  <c r="CD89" i="5"/>
  <c r="CE89" i="5"/>
  <c r="CF89" i="5"/>
  <c r="CG89" i="5"/>
  <c r="CH89" i="5"/>
  <c r="CI89" i="5"/>
  <c r="CJ89" i="5"/>
  <c r="CK89" i="5"/>
  <c r="CL89" i="5"/>
  <c r="CM89" i="5"/>
  <c r="CN89" i="5"/>
  <c r="CO89" i="5"/>
  <c r="CP89" i="5"/>
  <c r="CQ89" i="5"/>
  <c r="CR89" i="5"/>
  <c r="CS89" i="5"/>
  <c r="CT89" i="5"/>
  <c r="CU89" i="5"/>
  <c r="CV89" i="5"/>
  <c r="CW89" i="5"/>
  <c r="CX89" i="5"/>
  <c r="CY89" i="5"/>
  <c r="CZ89" i="5"/>
  <c r="DA89" i="5"/>
  <c r="DB89" i="5"/>
  <c r="DC89" i="5"/>
  <c r="DD89" i="5"/>
  <c r="DE89" i="5"/>
  <c r="DF89" i="5"/>
  <c r="DG89" i="5"/>
  <c r="DH89" i="5"/>
  <c r="DI89" i="5"/>
  <c r="DJ89" i="5"/>
  <c r="DK89" i="5"/>
  <c r="DL89" i="5"/>
  <c r="DM89" i="5"/>
  <c r="DN89" i="5"/>
  <c r="DO89" i="5"/>
  <c r="DP89" i="5"/>
  <c r="DQ89" i="5"/>
  <c r="DR89" i="5"/>
  <c r="DS89" i="5"/>
  <c r="DT89" i="5"/>
  <c r="DU89" i="5"/>
  <c r="DV89" i="5"/>
  <c r="DW89" i="5"/>
  <c r="DX89" i="5"/>
  <c r="DY89" i="5"/>
  <c r="DZ89" i="5"/>
  <c r="EA89" i="5"/>
  <c r="EB89" i="5"/>
  <c r="EC89" i="5"/>
  <c r="ED89" i="5"/>
  <c r="EE89" i="5"/>
  <c r="EF89" i="5"/>
  <c r="EG89" i="5"/>
  <c r="EH89" i="5"/>
  <c r="EI89" i="5"/>
  <c r="EJ89" i="5"/>
  <c r="EK89" i="5"/>
  <c r="EL89" i="5"/>
  <c r="EM89" i="5"/>
  <c r="EN89" i="5"/>
  <c r="EO89" i="5"/>
  <c r="EP89" i="5"/>
  <c r="EQ89" i="5"/>
  <c r="ER89" i="5"/>
  <c r="ES89" i="5"/>
  <c r="ET89" i="5"/>
  <c r="EU89" i="5"/>
  <c r="EV89" i="5"/>
  <c r="EW89" i="5"/>
  <c r="EX89" i="5"/>
  <c r="EY89" i="5"/>
  <c r="EZ89" i="5"/>
  <c r="FA89" i="5"/>
  <c r="FB89" i="5"/>
  <c r="FC89" i="5"/>
  <c r="FD89" i="5"/>
  <c r="FE89" i="5"/>
  <c r="FF89" i="5"/>
  <c r="FG89" i="5"/>
  <c r="FH89" i="5"/>
  <c r="FI89" i="5"/>
  <c r="FJ89" i="5"/>
  <c r="FK89" i="5"/>
  <c r="FL89" i="5"/>
  <c r="FM89" i="5"/>
  <c r="FN89" i="5"/>
  <c r="FO89" i="5"/>
  <c r="FP89" i="5"/>
  <c r="FQ89" i="5"/>
  <c r="FR89" i="5"/>
  <c r="FS89" i="5"/>
  <c r="FT89" i="5"/>
  <c r="FU89" i="5"/>
  <c r="FV89" i="5"/>
  <c r="FW89" i="5"/>
  <c r="FX89" i="5"/>
  <c r="FY89" i="5"/>
  <c r="FZ89" i="5"/>
  <c r="GA89" i="5"/>
  <c r="GB89" i="5"/>
  <c r="GC89" i="5"/>
  <c r="GD89" i="5"/>
  <c r="GE89" i="5"/>
  <c r="GF89" i="5"/>
  <c r="GG89" i="5"/>
  <c r="GH89" i="5"/>
  <c r="GI89" i="5"/>
  <c r="GJ89" i="5"/>
  <c r="GK89" i="5"/>
  <c r="GL89" i="5"/>
  <c r="GM89" i="5"/>
  <c r="GN89" i="5"/>
  <c r="GO89" i="5"/>
  <c r="GP89" i="5"/>
  <c r="GQ89" i="5"/>
  <c r="GR89" i="5"/>
  <c r="GS89" i="5"/>
  <c r="GT89" i="5"/>
  <c r="GU89" i="5"/>
  <c r="GV89" i="5"/>
  <c r="GW89" i="5"/>
  <c r="GX89" i="5"/>
  <c r="GY89" i="5"/>
  <c r="GZ89" i="5"/>
  <c r="HA89" i="5"/>
  <c r="HB89" i="5"/>
  <c r="HC89" i="5"/>
  <c r="HD89" i="5"/>
  <c r="HE89" i="5"/>
  <c r="HF89" i="5"/>
  <c r="HG89" i="5"/>
  <c r="HH89" i="5"/>
  <c r="HI89" i="5"/>
  <c r="HJ89" i="5"/>
  <c r="HK89" i="5"/>
  <c r="HL89" i="5"/>
  <c r="HM89" i="5"/>
  <c r="HN89" i="5"/>
  <c r="HO89" i="5"/>
  <c r="HP89" i="5"/>
  <c r="HQ89" i="5"/>
  <c r="HR89" i="5"/>
  <c r="HS89" i="5"/>
  <c r="HT89" i="5"/>
  <c r="HU89" i="5"/>
  <c r="HV89" i="5"/>
  <c r="HW89" i="5"/>
  <c r="HX89" i="5"/>
  <c r="HY89" i="5"/>
  <c r="HZ89" i="5"/>
  <c r="IA89" i="5"/>
  <c r="IB89" i="5"/>
  <c r="IC89" i="5"/>
  <c r="ID89" i="5"/>
  <c r="IE89" i="5"/>
  <c r="IF89" i="5"/>
  <c r="IG89" i="5"/>
  <c r="IH89" i="5"/>
  <c r="II89" i="5"/>
  <c r="IJ89" i="5"/>
  <c r="IK89" i="5"/>
  <c r="IL89" i="5"/>
  <c r="IM89" i="5"/>
  <c r="IN89" i="5"/>
  <c r="IO89" i="5"/>
  <c r="IP89" i="5"/>
  <c r="IQ89" i="5"/>
  <c r="IR89" i="5"/>
  <c r="IS89" i="5"/>
  <c r="IT89" i="5"/>
  <c r="IU89" i="5"/>
  <c r="IV89" i="5"/>
  <c r="A88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AS88" i="5"/>
  <c r="AT88" i="5"/>
  <c r="AU88" i="5"/>
  <c r="AV88" i="5"/>
  <c r="AW88" i="5"/>
  <c r="AX88" i="5"/>
  <c r="AY88" i="5"/>
  <c r="AZ88" i="5"/>
  <c r="BA88" i="5"/>
  <c r="BB88" i="5"/>
  <c r="BC88" i="5"/>
  <c r="BD88" i="5"/>
  <c r="BE88" i="5"/>
  <c r="BF88" i="5"/>
  <c r="BG88" i="5"/>
  <c r="BH88" i="5"/>
  <c r="BI88" i="5"/>
  <c r="BJ88" i="5"/>
  <c r="BK88" i="5"/>
  <c r="BL88" i="5"/>
  <c r="BM88" i="5"/>
  <c r="BN88" i="5"/>
  <c r="BO88" i="5"/>
  <c r="BP88" i="5"/>
  <c r="BQ88" i="5"/>
  <c r="BR88" i="5"/>
  <c r="BS88" i="5"/>
  <c r="BT88" i="5"/>
  <c r="BU88" i="5"/>
  <c r="BV88" i="5"/>
  <c r="BW88" i="5"/>
  <c r="BX88" i="5"/>
  <c r="BY88" i="5"/>
  <c r="BZ88" i="5"/>
  <c r="CA88" i="5"/>
  <c r="CB88" i="5"/>
  <c r="CC88" i="5"/>
  <c r="CD88" i="5"/>
  <c r="CE88" i="5"/>
  <c r="CF88" i="5"/>
  <c r="CG88" i="5"/>
  <c r="CH88" i="5"/>
  <c r="CI88" i="5"/>
  <c r="CJ88" i="5"/>
  <c r="CK88" i="5"/>
  <c r="CL88" i="5"/>
  <c r="CM88" i="5"/>
  <c r="CN88" i="5"/>
  <c r="CO88" i="5"/>
  <c r="CP88" i="5"/>
  <c r="CQ88" i="5"/>
  <c r="CR88" i="5"/>
  <c r="CS88" i="5"/>
  <c r="CT88" i="5"/>
  <c r="CU88" i="5"/>
  <c r="CV88" i="5"/>
  <c r="CW88" i="5"/>
  <c r="CX88" i="5"/>
  <c r="CY88" i="5"/>
  <c r="CZ88" i="5"/>
  <c r="DA88" i="5"/>
  <c r="DB88" i="5"/>
  <c r="DC88" i="5"/>
  <c r="DD88" i="5"/>
  <c r="DE88" i="5"/>
  <c r="DF88" i="5"/>
  <c r="DG88" i="5"/>
  <c r="DH88" i="5"/>
  <c r="DI88" i="5"/>
  <c r="DJ88" i="5"/>
  <c r="DK88" i="5"/>
  <c r="DL88" i="5"/>
  <c r="DM88" i="5"/>
  <c r="DN88" i="5"/>
  <c r="DO88" i="5"/>
  <c r="DP88" i="5"/>
  <c r="DQ88" i="5"/>
  <c r="DR88" i="5"/>
  <c r="DS88" i="5"/>
  <c r="DT88" i="5"/>
  <c r="DU88" i="5"/>
  <c r="DV88" i="5"/>
  <c r="DW88" i="5"/>
  <c r="DX88" i="5"/>
  <c r="DY88" i="5"/>
  <c r="DZ88" i="5"/>
  <c r="EA88" i="5"/>
  <c r="EB88" i="5"/>
  <c r="EC88" i="5"/>
  <c r="ED88" i="5"/>
  <c r="EE88" i="5"/>
  <c r="EF88" i="5"/>
  <c r="EG88" i="5"/>
  <c r="EH88" i="5"/>
  <c r="EI88" i="5"/>
  <c r="EJ88" i="5"/>
  <c r="EK88" i="5"/>
  <c r="EL88" i="5"/>
  <c r="EM88" i="5"/>
  <c r="EN88" i="5"/>
  <c r="EO88" i="5"/>
  <c r="EP88" i="5"/>
  <c r="EQ88" i="5"/>
  <c r="ER88" i="5"/>
  <c r="ES88" i="5"/>
  <c r="ET88" i="5"/>
  <c r="EU88" i="5"/>
  <c r="EV88" i="5"/>
  <c r="EW88" i="5"/>
  <c r="EX88" i="5"/>
  <c r="EY88" i="5"/>
  <c r="EZ88" i="5"/>
  <c r="FA88" i="5"/>
  <c r="FB88" i="5"/>
  <c r="FC88" i="5"/>
  <c r="FD88" i="5"/>
  <c r="FE88" i="5"/>
  <c r="FF88" i="5"/>
  <c r="FG88" i="5"/>
  <c r="FH88" i="5"/>
  <c r="FI88" i="5"/>
  <c r="FJ88" i="5"/>
  <c r="FK88" i="5"/>
  <c r="FL88" i="5"/>
  <c r="FM88" i="5"/>
  <c r="FN88" i="5"/>
  <c r="FO88" i="5"/>
  <c r="FP88" i="5"/>
  <c r="FQ88" i="5"/>
  <c r="FR88" i="5"/>
  <c r="FS88" i="5"/>
  <c r="FT88" i="5"/>
  <c r="FU88" i="5"/>
  <c r="FV88" i="5"/>
  <c r="FW88" i="5"/>
  <c r="FX88" i="5"/>
  <c r="FY88" i="5"/>
  <c r="FZ88" i="5"/>
  <c r="GA88" i="5"/>
  <c r="GB88" i="5"/>
  <c r="GC88" i="5"/>
  <c r="GD88" i="5"/>
  <c r="GE88" i="5"/>
  <c r="GF88" i="5"/>
  <c r="GG88" i="5"/>
  <c r="GH88" i="5"/>
  <c r="GI88" i="5"/>
  <c r="GJ88" i="5"/>
  <c r="GK88" i="5"/>
  <c r="GL88" i="5"/>
  <c r="GM88" i="5"/>
  <c r="GN88" i="5"/>
  <c r="GO88" i="5"/>
  <c r="GP88" i="5"/>
  <c r="GQ88" i="5"/>
  <c r="GR88" i="5"/>
  <c r="GS88" i="5"/>
  <c r="GT88" i="5"/>
  <c r="GU88" i="5"/>
  <c r="GV88" i="5"/>
  <c r="GW88" i="5"/>
  <c r="GX88" i="5"/>
  <c r="GY88" i="5"/>
  <c r="GZ88" i="5"/>
  <c r="HA88" i="5"/>
  <c r="HB88" i="5"/>
  <c r="HC88" i="5"/>
  <c r="HD88" i="5"/>
  <c r="HE88" i="5"/>
  <c r="HF88" i="5"/>
  <c r="HG88" i="5"/>
  <c r="HH88" i="5"/>
  <c r="HI88" i="5"/>
  <c r="HJ88" i="5"/>
  <c r="HK88" i="5"/>
  <c r="HL88" i="5"/>
  <c r="HM88" i="5"/>
  <c r="HN88" i="5"/>
  <c r="HO88" i="5"/>
  <c r="HP88" i="5"/>
  <c r="HQ88" i="5"/>
  <c r="HR88" i="5"/>
  <c r="HS88" i="5"/>
  <c r="HT88" i="5"/>
  <c r="HU88" i="5"/>
  <c r="HV88" i="5"/>
  <c r="HW88" i="5"/>
  <c r="HX88" i="5"/>
  <c r="HY88" i="5"/>
  <c r="HZ88" i="5"/>
  <c r="IA88" i="5"/>
  <c r="IB88" i="5"/>
  <c r="IC88" i="5"/>
  <c r="ID88" i="5"/>
  <c r="IE88" i="5"/>
  <c r="IF88" i="5"/>
  <c r="IG88" i="5"/>
  <c r="IH88" i="5"/>
  <c r="II88" i="5"/>
  <c r="IJ88" i="5"/>
  <c r="IK88" i="5"/>
  <c r="IL88" i="5"/>
  <c r="IM88" i="5"/>
  <c r="IN88" i="5"/>
  <c r="IO88" i="5"/>
  <c r="IP88" i="5"/>
  <c r="IQ88" i="5"/>
  <c r="IR88" i="5"/>
  <c r="IS88" i="5"/>
  <c r="IT88" i="5"/>
  <c r="IU88" i="5"/>
  <c r="IV88" i="5"/>
  <c r="A87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BL87" i="5"/>
  <c r="BM87" i="5"/>
  <c r="BN87" i="5"/>
  <c r="BO87" i="5"/>
  <c r="BP87" i="5"/>
  <c r="BQ87" i="5"/>
  <c r="BR87" i="5"/>
  <c r="BS87" i="5"/>
  <c r="BT87" i="5"/>
  <c r="BU87" i="5"/>
  <c r="BV87" i="5"/>
  <c r="BW87" i="5"/>
  <c r="BX87" i="5"/>
  <c r="BY87" i="5"/>
  <c r="BZ87" i="5"/>
  <c r="CA87" i="5"/>
  <c r="CB87" i="5"/>
  <c r="CC87" i="5"/>
  <c r="CD87" i="5"/>
  <c r="CE87" i="5"/>
  <c r="CF87" i="5"/>
  <c r="CG87" i="5"/>
  <c r="CH87" i="5"/>
  <c r="CI87" i="5"/>
  <c r="CJ87" i="5"/>
  <c r="CK87" i="5"/>
  <c r="CL87" i="5"/>
  <c r="CM87" i="5"/>
  <c r="CN87" i="5"/>
  <c r="CO87" i="5"/>
  <c r="CP87" i="5"/>
  <c r="CQ87" i="5"/>
  <c r="CR87" i="5"/>
  <c r="CS87" i="5"/>
  <c r="CT87" i="5"/>
  <c r="CU87" i="5"/>
  <c r="CV87" i="5"/>
  <c r="CW87" i="5"/>
  <c r="CX87" i="5"/>
  <c r="CY87" i="5"/>
  <c r="CZ87" i="5"/>
  <c r="DA87" i="5"/>
  <c r="DB87" i="5"/>
  <c r="DC87" i="5"/>
  <c r="DD87" i="5"/>
  <c r="DE87" i="5"/>
  <c r="DF87" i="5"/>
  <c r="DG87" i="5"/>
  <c r="DH87" i="5"/>
  <c r="DI87" i="5"/>
  <c r="DJ87" i="5"/>
  <c r="DK87" i="5"/>
  <c r="DL87" i="5"/>
  <c r="DM87" i="5"/>
  <c r="DN87" i="5"/>
  <c r="DO87" i="5"/>
  <c r="DP87" i="5"/>
  <c r="DQ87" i="5"/>
  <c r="DR87" i="5"/>
  <c r="DS87" i="5"/>
  <c r="DT87" i="5"/>
  <c r="DU87" i="5"/>
  <c r="DV87" i="5"/>
  <c r="DW87" i="5"/>
  <c r="DX87" i="5"/>
  <c r="DY87" i="5"/>
  <c r="DZ87" i="5"/>
  <c r="EA87" i="5"/>
  <c r="EB87" i="5"/>
  <c r="EC87" i="5"/>
  <c r="ED87" i="5"/>
  <c r="EE87" i="5"/>
  <c r="EF87" i="5"/>
  <c r="EG87" i="5"/>
  <c r="EH87" i="5"/>
  <c r="EI87" i="5"/>
  <c r="EJ87" i="5"/>
  <c r="EK87" i="5"/>
  <c r="EL87" i="5"/>
  <c r="EM87" i="5"/>
  <c r="EN87" i="5"/>
  <c r="EO87" i="5"/>
  <c r="EP87" i="5"/>
  <c r="EQ87" i="5"/>
  <c r="ER87" i="5"/>
  <c r="ES87" i="5"/>
  <c r="ET87" i="5"/>
  <c r="EU87" i="5"/>
  <c r="EV87" i="5"/>
  <c r="EW87" i="5"/>
  <c r="EX87" i="5"/>
  <c r="EY87" i="5"/>
  <c r="EZ87" i="5"/>
  <c r="FA87" i="5"/>
  <c r="FB87" i="5"/>
  <c r="FC87" i="5"/>
  <c r="FD87" i="5"/>
  <c r="FE87" i="5"/>
  <c r="FF87" i="5"/>
  <c r="FG87" i="5"/>
  <c r="FH87" i="5"/>
  <c r="FI87" i="5"/>
  <c r="FJ87" i="5"/>
  <c r="FK87" i="5"/>
  <c r="FL87" i="5"/>
  <c r="FM87" i="5"/>
  <c r="FN87" i="5"/>
  <c r="FO87" i="5"/>
  <c r="FP87" i="5"/>
  <c r="FQ87" i="5"/>
  <c r="FR87" i="5"/>
  <c r="FS87" i="5"/>
  <c r="FT87" i="5"/>
  <c r="FU87" i="5"/>
  <c r="FV87" i="5"/>
  <c r="FW87" i="5"/>
  <c r="FX87" i="5"/>
  <c r="FY87" i="5"/>
  <c r="FZ87" i="5"/>
  <c r="GA87" i="5"/>
  <c r="GB87" i="5"/>
  <c r="GC87" i="5"/>
  <c r="GD87" i="5"/>
  <c r="GE87" i="5"/>
  <c r="GF87" i="5"/>
  <c r="GG87" i="5"/>
  <c r="GH87" i="5"/>
  <c r="GI87" i="5"/>
  <c r="GJ87" i="5"/>
  <c r="GK87" i="5"/>
  <c r="GL87" i="5"/>
  <c r="GM87" i="5"/>
  <c r="GN87" i="5"/>
  <c r="GO87" i="5"/>
  <c r="GP87" i="5"/>
  <c r="GQ87" i="5"/>
  <c r="GR87" i="5"/>
  <c r="GS87" i="5"/>
  <c r="GT87" i="5"/>
  <c r="GU87" i="5"/>
  <c r="GV87" i="5"/>
  <c r="GW87" i="5"/>
  <c r="GX87" i="5"/>
  <c r="GY87" i="5"/>
  <c r="GZ87" i="5"/>
  <c r="HA87" i="5"/>
  <c r="HB87" i="5"/>
  <c r="HC87" i="5"/>
  <c r="HD87" i="5"/>
  <c r="HE87" i="5"/>
  <c r="HF87" i="5"/>
  <c r="HG87" i="5"/>
  <c r="HH87" i="5"/>
  <c r="HI87" i="5"/>
  <c r="HJ87" i="5"/>
  <c r="HK87" i="5"/>
  <c r="HL87" i="5"/>
  <c r="HM87" i="5"/>
  <c r="HN87" i="5"/>
  <c r="HO87" i="5"/>
  <c r="HP87" i="5"/>
  <c r="HQ87" i="5"/>
  <c r="HR87" i="5"/>
  <c r="HS87" i="5"/>
  <c r="HT87" i="5"/>
  <c r="HU87" i="5"/>
  <c r="HV87" i="5"/>
  <c r="HW87" i="5"/>
  <c r="HX87" i="5"/>
  <c r="HY87" i="5"/>
  <c r="HZ87" i="5"/>
  <c r="IA87" i="5"/>
  <c r="IB87" i="5"/>
  <c r="IC87" i="5"/>
  <c r="ID87" i="5"/>
  <c r="IE87" i="5"/>
  <c r="IF87" i="5"/>
  <c r="IG87" i="5"/>
  <c r="IH87" i="5"/>
  <c r="II87" i="5"/>
  <c r="IJ87" i="5"/>
  <c r="IK87" i="5"/>
  <c r="IL87" i="5"/>
  <c r="IM87" i="5"/>
  <c r="IN87" i="5"/>
  <c r="IO87" i="5"/>
  <c r="IP87" i="5"/>
  <c r="IQ87" i="5"/>
  <c r="IR87" i="5"/>
  <c r="IS87" i="5"/>
  <c r="IT87" i="5"/>
  <c r="IU87" i="5"/>
  <c r="IV87" i="5"/>
  <c r="A86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Q86" i="5"/>
  <c r="AR86" i="5"/>
  <c r="AS86" i="5"/>
  <c r="AT86" i="5"/>
  <c r="AU86" i="5"/>
  <c r="AV86" i="5"/>
  <c r="AW86" i="5"/>
  <c r="AX86" i="5"/>
  <c r="AY86" i="5"/>
  <c r="AZ86" i="5"/>
  <c r="BA86" i="5"/>
  <c r="BB86" i="5"/>
  <c r="BC86" i="5"/>
  <c r="BD86" i="5"/>
  <c r="BE86" i="5"/>
  <c r="BF86" i="5"/>
  <c r="BG86" i="5"/>
  <c r="BH86" i="5"/>
  <c r="BI86" i="5"/>
  <c r="BJ86" i="5"/>
  <c r="BK86" i="5"/>
  <c r="BL86" i="5"/>
  <c r="BM86" i="5"/>
  <c r="BN86" i="5"/>
  <c r="BO86" i="5"/>
  <c r="BP86" i="5"/>
  <c r="BQ86" i="5"/>
  <c r="BR86" i="5"/>
  <c r="BS86" i="5"/>
  <c r="BT86" i="5"/>
  <c r="BU86" i="5"/>
  <c r="BV86" i="5"/>
  <c r="BW86" i="5"/>
  <c r="BX86" i="5"/>
  <c r="BY86" i="5"/>
  <c r="BZ86" i="5"/>
  <c r="CA86" i="5"/>
  <c r="CB86" i="5"/>
  <c r="CC86" i="5"/>
  <c r="CD86" i="5"/>
  <c r="CE86" i="5"/>
  <c r="CF86" i="5"/>
  <c r="CG86" i="5"/>
  <c r="CH86" i="5"/>
  <c r="CI86" i="5"/>
  <c r="CJ86" i="5"/>
  <c r="CK86" i="5"/>
  <c r="CL86" i="5"/>
  <c r="CM86" i="5"/>
  <c r="CN86" i="5"/>
  <c r="CO86" i="5"/>
  <c r="CP86" i="5"/>
  <c r="CQ86" i="5"/>
  <c r="CR86" i="5"/>
  <c r="CS86" i="5"/>
  <c r="CT86" i="5"/>
  <c r="CU86" i="5"/>
  <c r="CV86" i="5"/>
  <c r="CW86" i="5"/>
  <c r="CX86" i="5"/>
  <c r="CY86" i="5"/>
  <c r="CZ86" i="5"/>
  <c r="DA86" i="5"/>
  <c r="DB86" i="5"/>
  <c r="DC86" i="5"/>
  <c r="DD86" i="5"/>
  <c r="DE86" i="5"/>
  <c r="DF86" i="5"/>
  <c r="DG86" i="5"/>
  <c r="DH86" i="5"/>
  <c r="DI86" i="5"/>
  <c r="DJ86" i="5"/>
  <c r="DK86" i="5"/>
  <c r="DL86" i="5"/>
  <c r="DM86" i="5"/>
  <c r="DN86" i="5"/>
  <c r="DO86" i="5"/>
  <c r="DP86" i="5"/>
  <c r="DQ86" i="5"/>
  <c r="DR86" i="5"/>
  <c r="DS86" i="5"/>
  <c r="DT86" i="5"/>
  <c r="DU86" i="5"/>
  <c r="DV86" i="5"/>
  <c r="DW86" i="5"/>
  <c r="DX86" i="5"/>
  <c r="DY86" i="5"/>
  <c r="DZ86" i="5"/>
  <c r="EA86" i="5"/>
  <c r="EB86" i="5"/>
  <c r="EC86" i="5"/>
  <c r="ED86" i="5"/>
  <c r="EE86" i="5"/>
  <c r="EF86" i="5"/>
  <c r="EG86" i="5"/>
  <c r="EH86" i="5"/>
  <c r="EI86" i="5"/>
  <c r="EJ86" i="5"/>
  <c r="EK86" i="5"/>
  <c r="EL86" i="5"/>
  <c r="EM86" i="5"/>
  <c r="EN86" i="5"/>
  <c r="EO86" i="5"/>
  <c r="EP86" i="5"/>
  <c r="EQ86" i="5"/>
  <c r="ER86" i="5"/>
  <c r="ES86" i="5"/>
  <c r="ET86" i="5"/>
  <c r="EU86" i="5"/>
  <c r="EV86" i="5"/>
  <c r="EW86" i="5"/>
  <c r="EX86" i="5"/>
  <c r="EY86" i="5"/>
  <c r="EZ86" i="5"/>
  <c r="FA86" i="5"/>
  <c r="FB86" i="5"/>
  <c r="FC86" i="5"/>
  <c r="FD86" i="5"/>
  <c r="FE86" i="5"/>
  <c r="FF86" i="5"/>
  <c r="FG86" i="5"/>
  <c r="FH86" i="5"/>
  <c r="FI86" i="5"/>
  <c r="FJ86" i="5"/>
  <c r="FK86" i="5"/>
  <c r="FL86" i="5"/>
  <c r="FM86" i="5"/>
  <c r="FN86" i="5"/>
  <c r="FO86" i="5"/>
  <c r="FP86" i="5"/>
  <c r="FQ86" i="5"/>
  <c r="FR86" i="5"/>
  <c r="FS86" i="5"/>
  <c r="FT86" i="5"/>
  <c r="FU86" i="5"/>
  <c r="FV86" i="5"/>
  <c r="FW86" i="5"/>
  <c r="FX86" i="5"/>
  <c r="FY86" i="5"/>
  <c r="FZ86" i="5"/>
  <c r="GA86" i="5"/>
  <c r="GB86" i="5"/>
  <c r="GC86" i="5"/>
  <c r="GD86" i="5"/>
  <c r="GE86" i="5"/>
  <c r="GF86" i="5"/>
  <c r="GG86" i="5"/>
  <c r="GH86" i="5"/>
  <c r="GI86" i="5"/>
  <c r="GJ86" i="5"/>
  <c r="GK86" i="5"/>
  <c r="GL86" i="5"/>
  <c r="GM86" i="5"/>
  <c r="GN86" i="5"/>
  <c r="GO86" i="5"/>
  <c r="GP86" i="5"/>
  <c r="GQ86" i="5"/>
  <c r="GR86" i="5"/>
  <c r="GS86" i="5"/>
  <c r="GT86" i="5"/>
  <c r="GU86" i="5"/>
  <c r="GV86" i="5"/>
  <c r="GW86" i="5"/>
  <c r="GX86" i="5"/>
  <c r="GY86" i="5"/>
  <c r="GZ86" i="5"/>
  <c r="HA86" i="5"/>
  <c r="HB86" i="5"/>
  <c r="HC86" i="5"/>
  <c r="HD86" i="5"/>
  <c r="HE86" i="5"/>
  <c r="HF86" i="5"/>
  <c r="HG86" i="5"/>
  <c r="HH86" i="5"/>
  <c r="HI86" i="5"/>
  <c r="HJ86" i="5"/>
  <c r="HK86" i="5"/>
  <c r="HL86" i="5"/>
  <c r="HM86" i="5"/>
  <c r="HN86" i="5"/>
  <c r="HO86" i="5"/>
  <c r="HP86" i="5"/>
  <c r="HQ86" i="5"/>
  <c r="HR86" i="5"/>
  <c r="HS86" i="5"/>
  <c r="HT86" i="5"/>
  <c r="HU86" i="5"/>
  <c r="HV86" i="5"/>
  <c r="HW86" i="5"/>
  <c r="HX86" i="5"/>
  <c r="HY86" i="5"/>
  <c r="HZ86" i="5"/>
  <c r="IA86" i="5"/>
  <c r="IB86" i="5"/>
  <c r="IC86" i="5"/>
  <c r="ID86" i="5"/>
  <c r="IE86" i="5"/>
  <c r="IF86" i="5"/>
  <c r="IG86" i="5"/>
  <c r="IH86" i="5"/>
  <c r="II86" i="5"/>
  <c r="IJ86" i="5"/>
  <c r="IK86" i="5"/>
  <c r="IL86" i="5"/>
  <c r="IM86" i="5"/>
  <c r="IN86" i="5"/>
  <c r="IO86" i="5"/>
  <c r="IP86" i="5"/>
  <c r="IQ86" i="5"/>
  <c r="IR86" i="5"/>
  <c r="IS86" i="5"/>
  <c r="IT86" i="5"/>
  <c r="IU86" i="5"/>
  <c r="IV86" i="5"/>
  <c r="A85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AS85" i="5"/>
  <c r="AT85" i="5"/>
  <c r="AU85" i="5"/>
  <c r="AV85" i="5"/>
  <c r="AW85" i="5"/>
  <c r="AX85" i="5"/>
  <c r="AY85" i="5"/>
  <c r="AZ85" i="5"/>
  <c r="BA85" i="5"/>
  <c r="BB85" i="5"/>
  <c r="BC85" i="5"/>
  <c r="BD85" i="5"/>
  <c r="BE85" i="5"/>
  <c r="BF85" i="5"/>
  <c r="BG85" i="5"/>
  <c r="BH85" i="5"/>
  <c r="BI85" i="5"/>
  <c r="BJ85" i="5"/>
  <c r="BK85" i="5"/>
  <c r="BL85" i="5"/>
  <c r="BM85" i="5"/>
  <c r="BN85" i="5"/>
  <c r="BO85" i="5"/>
  <c r="BP85" i="5"/>
  <c r="BQ85" i="5"/>
  <c r="BR85" i="5"/>
  <c r="BS85" i="5"/>
  <c r="BT85" i="5"/>
  <c r="BU85" i="5"/>
  <c r="BV85" i="5"/>
  <c r="BW85" i="5"/>
  <c r="BX85" i="5"/>
  <c r="BY85" i="5"/>
  <c r="BZ85" i="5"/>
  <c r="CA85" i="5"/>
  <c r="CB85" i="5"/>
  <c r="CC85" i="5"/>
  <c r="CD85" i="5"/>
  <c r="CE85" i="5"/>
  <c r="CF85" i="5"/>
  <c r="CG85" i="5"/>
  <c r="CH85" i="5"/>
  <c r="CI85" i="5"/>
  <c r="CJ85" i="5"/>
  <c r="CK85" i="5"/>
  <c r="CL85" i="5"/>
  <c r="CM85" i="5"/>
  <c r="CN85" i="5"/>
  <c r="CO85" i="5"/>
  <c r="CP85" i="5"/>
  <c r="CQ85" i="5"/>
  <c r="CR85" i="5"/>
  <c r="CS85" i="5"/>
  <c r="CT85" i="5"/>
  <c r="CU85" i="5"/>
  <c r="CV85" i="5"/>
  <c r="CW85" i="5"/>
  <c r="CX85" i="5"/>
  <c r="CY85" i="5"/>
  <c r="CZ85" i="5"/>
  <c r="DA85" i="5"/>
  <c r="DB85" i="5"/>
  <c r="DC85" i="5"/>
  <c r="DD85" i="5"/>
  <c r="DE85" i="5"/>
  <c r="DF85" i="5"/>
  <c r="DG85" i="5"/>
  <c r="DH85" i="5"/>
  <c r="DI85" i="5"/>
  <c r="DJ85" i="5"/>
  <c r="DK85" i="5"/>
  <c r="DL85" i="5"/>
  <c r="DM85" i="5"/>
  <c r="DN85" i="5"/>
  <c r="DO85" i="5"/>
  <c r="DP85" i="5"/>
  <c r="DQ85" i="5"/>
  <c r="DR85" i="5"/>
  <c r="DS85" i="5"/>
  <c r="DT85" i="5"/>
  <c r="DU85" i="5"/>
  <c r="DV85" i="5"/>
  <c r="DW85" i="5"/>
  <c r="DX85" i="5"/>
  <c r="DY85" i="5"/>
  <c r="DZ85" i="5"/>
  <c r="EA85" i="5"/>
  <c r="EB85" i="5"/>
  <c r="EC85" i="5"/>
  <c r="ED85" i="5"/>
  <c r="EE85" i="5"/>
  <c r="EF85" i="5"/>
  <c r="EG85" i="5"/>
  <c r="EH85" i="5"/>
  <c r="EI85" i="5"/>
  <c r="EJ85" i="5"/>
  <c r="EK85" i="5"/>
  <c r="EL85" i="5"/>
  <c r="EM85" i="5"/>
  <c r="EN85" i="5"/>
  <c r="EO85" i="5"/>
  <c r="EP85" i="5"/>
  <c r="EQ85" i="5"/>
  <c r="ER85" i="5"/>
  <c r="ES85" i="5"/>
  <c r="ET85" i="5"/>
  <c r="EU85" i="5"/>
  <c r="EV85" i="5"/>
  <c r="EW85" i="5"/>
  <c r="EX85" i="5"/>
  <c r="EY85" i="5"/>
  <c r="EZ85" i="5"/>
  <c r="FA85" i="5"/>
  <c r="FB85" i="5"/>
  <c r="FC85" i="5"/>
  <c r="FD85" i="5"/>
  <c r="FE85" i="5"/>
  <c r="FF85" i="5"/>
  <c r="FG85" i="5"/>
  <c r="FH85" i="5"/>
  <c r="FI85" i="5"/>
  <c r="FJ85" i="5"/>
  <c r="FK85" i="5"/>
  <c r="FL85" i="5"/>
  <c r="FM85" i="5"/>
  <c r="FN85" i="5"/>
  <c r="FO85" i="5"/>
  <c r="FP85" i="5"/>
  <c r="FQ85" i="5"/>
  <c r="FR85" i="5"/>
  <c r="FS85" i="5"/>
  <c r="FT85" i="5"/>
  <c r="FU85" i="5"/>
  <c r="FV85" i="5"/>
  <c r="FW85" i="5"/>
  <c r="FX85" i="5"/>
  <c r="FY85" i="5"/>
  <c r="FZ85" i="5"/>
  <c r="GA85" i="5"/>
  <c r="GB85" i="5"/>
  <c r="GC85" i="5"/>
  <c r="GD85" i="5"/>
  <c r="GE85" i="5"/>
  <c r="GF85" i="5"/>
  <c r="GG85" i="5"/>
  <c r="GH85" i="5"/>
  <c r="GI85" i="5"/>
  <c r="GJ85" i="5"/>
  <c r="GK85" i="5"/>
  <c r="GL85" i="5"/>
  <c r="GM85" i="5"/>
  <c r="GN85" i="5"/>
  <c r="GO85" i="5"/>
  <c r="GP85" i="5"/>
  <c r="GQ85" i="5"/>
  <c r="GR85" i="5"/>
  <c r="GS85" i="5"/>
  <c r="GT85" i="5"/>
  <c r="GU85" i="5"/>
  <c r="GV85" i="5"/>
  <c r="GW85" i="5"/>
  <c r="GX85" i="5"/>
  <c r="GY85" i="5"/>
  <c r="GZ85" i="5"/>
  <c r="HA85" i="5"/>
  <c r="HB85" i="5"/>
  <c r="HC85" i="5"/>
  <c r="HD85" i="5"/>
  <c r="HE85" i="5"/>
  <c r="HF85" i="5"/>
  <c r="HG85" i="5"/>
  <c r="HH85" i="5"/>
  <c r="HI85" i="5"/>
  <c r="HJ85" i="5"/>
  <c r="HK85" i="5"/>
  <c r="HL85" i="5"/>
  <c r="HM85" i="5"/>
  <c r="HN85" i="5"/>
  <c r="HO85" i="5"/>
  <c r="HP85" i="5"/>
  <c r="HQ85" i="5"/>
  <c r="HR85" i="5"/>
  <c r="HS85" i="5"/>
  <c r="HT85" i="5"/>
  <c r="HU85" i="5"/>
  <c r="HV85" i="5"/>
  <c r="HW85" i="5"/>
  <c r="HX85" i="5"/>
  <c r="HY85" i="5"/>
  <c r="HZ85" i="5"/>
  <c r="IA85" i="5"/>
  <c r="IB85" i="5"/>
  <c r="IC85" i="5"/>
  <c r="ID85" i="5"/>
  <c r="IE85" i="5"/>
  <c r="IF85" i="5"/>
  <c r="IG85" i="5"/>
  <c r="IH85" i="5"/>
  <c r="II85" i="5"/>
  <c r="IJ85" i="5"/>
  <c r="IK85" i="5"/>
  <c r="IL85" i="5"/>
  <c r="IM85" i="5"/>
  <c r="IN85" i="5"/>
  <c r="IO85" i="5"/>
  <c r="IP85" i="5"/>
  <c r="IQ85" i="5"/>
  <c r="IR85" i="5"/>
  <c r="IS85" i="5"/>
  <c r="IT85" i="5"/>
  <c r="IU85" i="5"/>
  <c r="IV85" i="5"/>
  <c r="A84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Q84" i="5"/>
  <c r="AR84" i="5"/>
  <c r="AS84" i="5"/>
  <c r="AT84" i="5"/>
  <c r="AU84" i="5"/>
  <c r="AV84" i="5"/>
  <c r="AW84" i="5"/>
  <c r="AX84" i="5"/>
  <c r="AY84" i="5"/>
  <c r="AZ84" i="5"/>
  <c r="BA84" i="5"/>
  <c r="BB84" i="5"/>
  <c r="BC84" i="5"/>
  <c r="BD84" i="5"/>
  <c r="BE84" i="5"/>
  <c r="BF84" i="5"/>
  <c r="BG84" i="5"/>
  <c r="BH84" i="5"/>
  <c r="BI84" i="5"/>
  <c r="BJ84" i="5"/>
  <c r="BK84" i="5"/>
  <c r="BL84" i="5"/>
  <c r="BM84" i="5"/>
  <c r="BN84" i="5"/>
  <c r="BO84" i="5"/>
  <c r="BP84" i="5"/>
  <c r="BQ84" i="5"/>
  <c r="BR84" i="5"/>
  <c r="BS84" i="5"/>
  <c r="BT84" i="5"/>
  <c r="BU84" i="5"/>
  <c r="BV84" i="5"/>
  <c r="BW84" i="5"/>
  <c r="BX84" i="5"/>
  <c r="BY84" i="5"/>
  <c r="BZ84" i="5"/>
  <c r="CA84" i="5"/>
  <c r="CB84" i="5"/>
  <c r="CC84" i="5"/>
  <c r="CD84" i="5"/>
  <c r="CE84" i="5"/>
  <c r="CF84" i="5"/>
  <c r="CG84" i="5"/>
  <c r="CH84" i="5"/>
  <c r="CI84" i="5"/>
  <c r="CJ84" i="5"/>
  <c r="CK84" i="5"/>
  <c r="CL84" i="5"/>
  <c r="CM84" i="5"/>
  <c r="CN84" i="5"/>
  <c r="CO84" i="5"/>
  <c r="CP84" i="5"/>
  <c r="CQ84" i="5"/>
  <c r="CR84" i="5"/>
  <c r="CS84" i="5"/>
  <c r="CT84" i="5"/>
  <c r="CU84" i="5"/>
  <c r="CV84" i="5"/>
  <c r="CW84" i="5"/>
  <c r="CX84" i="5"/>
  <c r="CY84" i="5"/>
  <c r="CZ84" i="5"/>
  <c r="DA84" i="5"/>
  <c r="DB84" i="5"/>
  <c r="DC84" i="5"/>
  <c r="DD84" i="5"/>
  <c r="DE84" i="5"/>
  <c r="DF84" i="5"/>
  <c r="DG84" i="5"/>
  <c r="DH84" i="5"/>
  <c r="DI84" i="5"/>
  <c r="DJ84" i="5"/>
  <c r="DK84" i="5"/>
  <c r="DL84" i="5"/>
  <c r="DM84" i="5"/>
  <c r="DN84" i="5"/>
  <c r="DO84" i="5"/>
  <c r="DP84" i="5"/>
  <c r="DQ84" i="5"/>
  <c r="DR84" i="5"/>
  <c r="DS84" i="5"/>
  <c r="DT84" i="5"/>
  <c r="DU84" i="5"/>
  <c r="DV84" i="5"/>
  <c r="DW84" i="5"/>
  <c r="DX84" i="5"/>
  <c r="DY84" i="5"/>
  <c r="DZ84" i="5"/>
  <c r="EA84" i="5"/>
  <c r="EB84" i="5"/>
  <c r="EC84" i="5"/>
  <c r="ED84" i="5"/>
  <c r="EE84" i="5"/>
  <c r="EF84" i="5"/>
  <c r="EG84" i="5"/>
  <c r="EH84" i="5"/>
  <c r="EI84" i="5"/>
  <c r="EJ84" i="5"/>
  <c r="EK84" i="5"/>
  <c r="EL84" i="5"/>
  <c r="EM84" i="5"/>
  <c r="EN84" i="5"/>
  <c r="EO84" i="5"/>
  <c r="EP84" i="5"/>
  <c r="EQ84" i="5"/>
  <c r="ER84" i="5"/>
  <c r="ES84" i="5"/>
  <c r="ET84" i="5"/>
  <c r="EU84" i="5"/>
  <c r="EV84" i="5"/>
  <c r="EW84" i="5"/>
  <c r="EX84" i="5"/>
  <c r="EY84" i="5"/>
  <c r="EZ84" i="5"/>
  <c r="FA84" i="5"/>
  <c r="FB84" i="5"/>
  <c r="FC84" i="5"/>
  <c r="FD84" i="5"/>
  <c r="FE84" i="5"/>
  <c r="FF84" i="5"/>
  <c r="FG84" i="5"/>
  <c r="FH84" i="5"/>
  <c r="FI84" i="5"/>
  <c r="FJ84" i="5"/>
  <c r="FK84" i="5"/>
  <c r="FL84" i="5"/>
  <c r="FM84" i="5"/>
  <c r="FN84" i="5"/>
  <c r="FO84" i="5"/>
  <c r="FP84" i="5"/>
  <c r="FQ84" i="5"/>
  <c r="FR84" i="5"/>
  <c r="FS84" i="5"/>
  <c r="FT84" i="5"/>
  <c r="FU84" i="5"/>
  <c r="FV84" i="5"/>
  <c r="FW84" i="5"/>
  <c r="FX84" i="5"/>
  <c r="FY84" i="5"/>
  <c r="FZ84" i="5"/>
  <c r="GA84" i="5"/>
  <c r="GB84" i="5"/>
  <c r="GC84" i="5"/>
  <c r="GD84" i="5"/>
  <c r="GE84" i="5"/>
  <c r="GF84" i="5"/>
  <c r="GG84" i="5"/>
  <c r="GH84" i="5"/>
  <c r="GI84" i="5"/>
  <c r="GJ84" i="5"/>
  <c r="GK84" i="5"/>
  <c r="GL84" i="5"/>
  <c r="GM84" i="5"/>
  <c r="GN84" i="5"/>
  <c r="GO84" i="5"/>
  <c r="GP84" i="5"/>
  <c r="GQ84" i="5"/>
  <c r="GR84" i="5"/>
  <c r="GS84" i="5"/>
  <c r="GT84" i="5"/>
  <c r="GU84" i="5"/>
  <c r="GV84" i="5"/>
  <c r="GW84" i="5"/>
  <c r="GX84" i="5"/>
  <c r="GY84" i="5"/>
  <c r="GZ84" i="5"/>
  <c r="HA84" i="5"/>
  <c r="HB84" i="5"/>
  <c r="HC84" i="5"/>
  <c r="HD84" i="5"/>
  <c r="HE84" i="5"/>
  <c r="HF84" i="5"/>
  <c r="HG84" i="5"/>
  <c r="HH84" i="5"/>
  <c r="HI84" i="5"/>
  <c r="HJ84" i="5"/>
  <c r="HK84" i="5"/>
  <c r="HL84" i="5"/>
  <c r="HM84" i="5"/>
  <c r="HN84" i="5"/>
  <c r="HO84" i="5"/>
  <c r="HP84" i="5"/>
  <c r="HQ84" i="5"/>
  <c r="HR84" i="5"/>
  <c r="HS84" i="5"/>
  <c r="HT84" i="5"/>
  <c r="HU84" i="5"/>
  <c r="HV84" i="5"/>
  <c r="HW84" i="5"/>
  <c r="HX84" i="5"/>
  <c r="HY84" i="5"/>
  <c r="HZ84" i="5"/>
  <c r="IA84" i="5"/>
  <c r="IB84" i="5"/>
  <c r="IC84" i="5"/>
  <c r="ID84" i="5"/>
  <c r="IE84" i="5"/>
  <c r="IF84" i="5"/>
  <c r="IG84" i="5"/>
  <c r="IH84" i="5"/>
  <c r="II84" i="5"/>
  <c r="IJ84" i="5"/>
  <c r="IK84" i="5"/>
  <c r="IL84" i="5"/>
  <c r="IM84" i="5"/>
  <c r="IN84" i="5"/>
  <c r="IO84" i="5"/>
  <c r="IP84" i="5"/>
  <c r="IQ84" i="5"/>
  <c r="IR84" i="5"/>
  <c r="IS84" i="5"/>
  <c r="IT84" i="5"/>
  <c r="IU84" i="5"/>
  <c r="IV84" i="5"/>
  <c r="A83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Q83" i="5"/>
  <c r="AR83" i="5"/>
  <c r="AS83" i="5"/>
  <c r="AT83" i="5"/>
  <c r="AU83" i="5"/>
  <c r="AV83" i="5"/>
  <c r="AW83" i="5"/>
  <c r="AX83" i="5"/>
  <c r="AY83" i="5"/>
  <c r="AZ83" i="5"/>
  <c r="BA83" i="5"/>
  <c r="BB83" i="5"/>
  <c r="BC83" i="5"/>
  <c r="BD83" i="5"/>
  <c r="BE83" i="5"/>
  <c r="BF83" i="5"/>
  <c r="BG83" i="5"/>
  <c r="BH83" i="5"/>
  <c r="BI83" i="5"/>
  <c r="BJ83" i="5"/>
  <c r="BK83" i="5"/>
  <c r="BL83" i="5"/>
  <c r="BM83" i="5"/>
  <c r="BN83" i="5"/>
  <c r="BO83" i="5"/>
  <c r="BP83" i="5"/>
  <c r="BQ83" i="5"/>
  <c r="BR83" i="5"/>
  <c r="BS83" i="5"/>
  <c r="BT83" i="5"/>
  <c r="BU83" i="5"/>
  <c r="BV83" i="5"/>
  <c r="BW83" i="5"/>
  <c r="BX83" i="5"/>
  <c r="BY83" i="5"/>
  <c r="BZ83" i="5"/>
  <c r="CA83" i="5"/>
  <c r="CB83" i="5"/>
  <c r="CC83" i="5"/>
  <c r="CD83" i="5"/>
  <c r="CE83" i="5"/>
  <c r="CF83" i="5"/>
  <c r="CG83" i="5"/>
  <c r="CH83" i="5"/>
  <c r="CI83" i="5"/>
  <c r="CJ83" i="5"/>
  <c r="CK83" i="5"/>
  <c r="CL83" i="5"/>
  <c r="CM83" i="5"/>
  <c r="CN83" i="5"/>
  <c r="CO83" i="5"/>
  <c r="CP83" i="5"/>
  <c r="CQ83" i="5"/>
  <c r="CR83" i="5"/>
  <c r="CS83" i="5"/>
  <c r="CT83" i="5"/>
  <c r="CU83" i="5"/>
  <c r="CV83" i="5"/>
  <c r="CW83" i="5"/>
  <c r="CX83" i="5"/>
  <c r="CY83" i="5"/>
  <c r="CZ83" i="5"/>
  <c r="DA83" i="5"/>
  <c r="DB83" i="5"/>
  <c r="DC83" i="5"/>
  <c r="DD83" i="5"/>
  <c r="DE83" i="5"/>
  <c r="DF83" i="5"/>
  <c r="DG83" i="5"/>
  <c r="DH83" i="5"/>
  <c r="DI83" i="5"/>
  <c r="DJ83" i="5"/>
  <c r="DK83" i="5"/>
  <c r="DL83" i="5"/>
  <c r="DM83" i="5"/>
  <c r="DN83" i="5"/>
  <c r="DO83" i="5"/>
  <c r="DP83" i="5"/>
  <c r="DQ83" i="5"/>
  <c r="DR83" i="5"/>
  <c r="DS83" i="5"/>
  <c r="DT83" i="5"/>
  <c r="DU83" i="5"/>
  <c r="DV83" i="5"/>
  <c r="DW83" i="5"/>
  <c r="DX83" i="5"/>
  <c r="DY83" i="5"/>
  <c r="DZ83" i="5"/>
  <c r="EA83" i="5"/>
  <c r="EB83" i="5"/>
  <c r="EC83" i="5"/>
  <c r="ED83" i="5"/>
  <c r="EE83" i="5"/>
  <c r="EF83" i="5"/>
  <c r="EG83" i="5"/>
  <c r="EH83" i="5"/>
  <c r="EI83" i="5"/>
  <c r="EJ83" i="5"/>
  <c r="EK83" i="5"/>
  <c r="EL83" i="5"/>
  <c r="EM83" i="5"/>
  <c r="EN83" i="5"/>
  <c r="EO83" i="5"/>
  <c r="EP83" i="5"/>
  <c r="EQ83" i="5"/>
  <c r="ER83" i="5"/>
  <c r="ES83" i="5"/>
  <c r="ET83" i="5"/>
  <c r="EU83" i="5"/>
  <c r="EV83" i="5"/>
  <c r="EW83" i="5"/>
  <c r="EX83" i="5"/>
  <c r="EY83" i="5"/>
  <c r="EZ83" i="5"/>
  <c r="FA83" i="5"/>
  <c r="FB83" i="5"/>
  <c r="FC83" i="5"/>
  <c r="FD83" i="5"/>
  <c r="FE83" i="5"/>
  <c r="FF83" i="5"/>
  <c r="FG83" i="5"/>
  <c r="FH83" i="5"/>
  <c r="FI83" i="5"/>
  <c r="FJ83" i="5"/>
  <c r="FK83" i="5"/>
  <c r="FL83" i="5"/>
  <c r="FM83" i="5"/>
  <c r="FN83" i="5"/>
  <c r="FO83" i="5"/>
  <c r="FP83" i="5"/>
  <c r="FQ83" i="5"/>
  <c r="FR83" i="5"/>
  <c r="FS83" i="5"/>
  <c r="FT83" i="5"/>
  <c r="FU83" i="5"/>
  <c r="FV83" i="5"/>
  <c r="FW83" i="5"/>
  <c r="FX83" i="5"/>
  <c r="FY83" i="5"/>
  <c r="FZ83" i="5"/>
  <c r="GA83" i="5"/>
  <c r="GB83" i="5"/>
  <c r="GC83" i="5"/>
  <c r="GD83" i="5"/>
  <c r="GE83" i="5"/>
  <c r="GF83" i="5"/>
  <c r="GG83" i="5"/>
  <c r="GH83" i="5"/>
  <c r="GI83" i="5"/>
  <c r="GJ83" i="5"/>
  <c r="GK83" i="5"/>
  <c r="GL83" i="5"/>
  <c r="GM83" i="5"/>
  <c r="GN83" i="5"/>
  <c r="GO83" i="5"/>
  <c r="GP83" i="5"/>
  <c r="GQ83" i="5"/>
  <c r="GR83" i="5"/>
  <c r="GS83" i="5"/>
  <c r="GT83" i="5"/>
  <c r="GU83" i="5"/>
  <c r="GV83" i="5"/>
  <c r="GW83" i="5"/>
  <c r="GX83" i="5"/>
  <c r="GY83" i="5"/>
  <c r="GZ83" i="5"/>
  <c r="HA83" i="5"/>
  <c r="HB83" i="5"/>
  <c r="HC83" i="5"/>
  <c r="HD83" i="5"/>
  <c r="HE83" i="5"/>
  <c r="HF83" i="5"/>
  <c r="HG83" i="5"/>
  <c r="HH83" i="5"/>
  <c r="HI83" i="5"/>
  <c r="HJ83" i="5"/>
  <c r="HK83" i="5"/>
  <c r="HL83" i="5"/>
  <c r="HM83" i="5"/>
  <c r="HN83" i="5"/>
  <c r="HO83" i="5"/>
  <c r="HP83" i="5"/>
  <c r="HQ83" i="5"/>
  <c r="HR83" i="5"/>
  <c r="HS83" i="5"/>
  <c r="HT83" i="5"/>
  <c r="HU83" i="5"/>
  <c r="HV83" i="5"/>
  <c r="HW83" i="5"/>
  <c r="HX83" i="5"/>
  <c r="HY83" i="5"/>
  <c r="HZ83" i="5"/>
  <c r="IA83" i="5"/>
  <c r="IB83" i="5"/>
  <c r="IC83" i="5"/>
  <c r="ID83" i="5"/>
  <c r="IE83" i="5"/>
  <c r="IF83" i="5"/>
  <c r="IG83" i="5"/>
  <c r="IH83" i="5"/>
  <c r="II83" i="5"/>
  <c r="IJ83" i="5"/>
  <c r="IK83" i="5"/>
  <c r="IL83" i="5"/>
  <c r="IM83" i="5"/>
  <c r="IN83" i="5"/>
  <c r="IO83" i="5"/>
  <c r="IP83" i="5"/>
  <c r="IQ83" i="5"/>
  <c r="IR83" i="5"/>
  <c r="IS83" i="5"/>
  <c r="IT83" i="5"/>
  <c r="IU83" i="5"/>
  <c r="IV83" i="5"/>
  <c r="A82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BL82" i="5"/>
  <c r="BM82" i="5"/>
  <c r="BN82" i="5"/>
  <c r="BO82" i="5"/>
  <c r="BP82" i="5"/>
  <c r="BQ82" i="5"/>
  <c r="BR82" i="5"/>
  <c r="BS82" i="5"/>
  <c r="BT82" i="5"/>
  <c r="BU82" i="5"/>
  <c r="BV82" i="5"/>
  <c r="BW82" i="5"/>
  <c r="BX82" i="5"/>
  <c r="BY82" i="5"/>
  <c r="BZ82" i="5"/>
  <c r="CA82" i="5"/>
  <c r="CB82" i="5"/>
  <c r="CC82" i="5"/>
  <c r="CD82" i="5"/>
  <c r="CE82" i="5"/>
  <c r="CF82" i="5"/>
  <c r="CG82" i="5"/>
  <c r="CH82" i="5"/>
  <c r="CI82" i="5"/>
  <c r="CJ82" i="5"/>
  <c r="CK82" i="5"/>
  <c r="CL82" i="5"/>
  <c r="CM82" i="5"/>
  <c r="CN82" i="5"/>
  <c r="CO82" i="5"/>
  <c r="CP82" i="5"/>
  <c r="CQ82" i="5"/>
  <c r="CR82" i="5"/>
  <c r="CS82" i="5"/>
  <c r="CT82" i="5"/>
  <c r="CU82" i="5"/>
  <c r="CV82" i="5"/>
  <c r="CW82" i="5"/>
  <c r="CX82" i="5"/>
  <c r="CY82" i="5"/>
  <c r="CZ82" i="5"/>
  <c r="DA82" i="5"/>
  <c r="DB82" i="5"/>
  <c r="DC82" i="5"/>
  <c r="DD82" i="5"/>
  <c r="DE82" i="5"/>
  <c r="DF82" i="5"/>
  <c r="DG82" i="5"/>
  <c r="DH82" i="5"/>
  <c r="DI82" i="5"/>
  <c r="DJ82" i="5"/>
  <c r="DK82" i="5"/>
  <c r="DL82" i="5"/>
  <c r="DM82" i="5"/>
  <c r="DN82" i="5"/>
  <c r="DO82" i="5"/>
  <c r="DP82" i="5"/>
  <c r="DQ82" i="5"/>
  <c r="DR82" i="5"/>
  <c r="DS82" i="5"/>
  <c r="DT82" i="5"/>
  <c r="DU82" i="5"/>
  <c r="DV82" i="5"/>
  <c r="DW82" i="5"/>
  <c r="DX82" i="5"/>
  <c r="DY82" i="5"/>
  <c r="DZ82" i="5"/>
  <c r="EA82" i="5"/>
  <c r="EB82" i="5"/>
  <c r="EC82" i="5"/>
  <c r="ED82" i="5"/>
  <c r="EE82" i="5"/>
  <c r="EF82" i="5"/>
  <c r="EG82" i="5"/>
  <c r="EH82" i="5"/>
  <c r="EI82" i="5"/>
  <c r="EJ82" i="5"/>
  <c r="EK82" i="5"/>
  <c r="EL82" i="5"/>
  <c r="EM82" i="5"/>
  <c r="EN82" i="5"/>
  <c r="EO82" i="5"/>
  <c r="EP82" i="5"/>
  <c r="EQ82" i="5"/>
  <c r="ER82" i="5"/>
  <c r="ES82" i="5"/>
  <c r="ET82" i="5"/>
  <c r="EU82" i="5"/>
  <c r="EV82" i="5"/>
  <c r="EW82" i="5"/>
  <c r="EX82" i="5"/>
  <c r="EY82" i="5"/>
  <c r="EZ82" i="5"/>
  <c r="FA82" i="5"/>
  <c r="FB82" i="5"/>
  <c r="FC82" i="5"/>
  <c r="FD82" i="5"/>
  <c r="FE82" i="5"/>
  <c r="FF82" i="5"/>
  <c r="FG82" i="5"/>
  <c r="FH82" i="5"/>
  <c r="FI82" i="5"/>
  <c r="FJ82" i="5"/>
  <c r="FK82" i="5"/>
  <c r="FL82" i="5"/>
  <c r="FM82" i="5"/>
  <c r="FN82" i="5"/>
  <c r="FO82" i="5"/>
  <c r="FP82" i="5"/>
  <c r="FQ82" i="5"/>
  <c r="FR82" i="5"/>
  <c r="FS82" i="5"/>
  <c r="FT82" i="5"/>
  <c r="FU82" i="5"/>
  <c r="FV82" i="5"/>
  <c r="FW82" i="5"/>
  <c r="FX82" i="5"/>
  <c r="FY82" i="5"/>
  <c r="FZ82" i="5"/>
  <c r="GA82" i="5"/>
  <c r="GB82" i="5"/>
  <c r="GC82" i="5"/>
  <c r="GD82" i="5"/>
  <c r="GE82" i="5"/>
  <c r="GF82" i="5"/>
  <c r="GG82" i="5"/>
  <c r="GH82" i="5"/>
  <c r="GI82" i="5"/>
  <c r="GJ82" i="5"/>
  <c r="GK82" i="5"/>
  <c r="GL82" i="5"/>
  <c r="GM82" i="5"/>
  <c r="GN82" i="5"/>
  <c r="GO82" i="5"/>
  <c r="GP82" i="5"/>
  <c r="GQ82" i="5"/>
  <c r="GR82" i="5"/>
  <c r="GS82" i="5"/>
  <c r="GT82" i="5"/>
  <c r="GU82" i="5"/>
  <c r="GV82" i="5"/>
  <c r="GW82" i="5"/>
  <c r="GX82" i="5"/>
  <c r="GY82" i="5"/>
  <c r="GZ82" i="5"/>
  <c r="HA82" i="5"/>
  <c r="HB82" i="5"/>
  <c r="HC82" i="5"/>
  <c r="HD82" i="5"/>
  <c r="HE82" i="5"/>
  <c r="HF82" i="5"/>
  <c r="HG82" i="5"/>
  <c r="HH82" i="5"/>
  <c r="HI82" i="5"/>
  <c r="HJ82" i="5"/>
  <c r="HK82" i="5"/>
  <c r="HL82" i="5"/>
  <c r="HM82" i="5"/>
  <c r="HN82" i="5"/>
  <c r="HO82" i="5"/>
  <c r="HP82" i="5"/>
  <c r="HQ82" i="5"/>
  <c r="HR82" i="5"/>
  <c r="HS82" i="5"/>
  <c r="HT82" i="5"/>
  <c r="HU82" i="5"/>
  <c r="HV82" i="5"/>
  <c r="HW82" i="5"/>
  <c r="HX82" i="5"/>
  <c r="HY82" i="5"/>
  <c r="HZ82" i="5"/>
  <c r="IA82" i="5"/>
  <c r="IB82" i="5"/>
  <c r="IC82" i="5"/>
  <c r="ID82" i="5"/>
  <c r="IE82" i="5"/>
  <c r="IF82" i="5"/>
  <c r="IG82" i="5"/>
  <c r="IH82" i="5"/>
  <c r="II82" i="5"/>
  <c r="IJ82" i="5"/>
  <c r="IK82" i="5"/>
  <c r="IL82" i="5"/>
  <c r="IM82" i="5"/>
  <c r="IN82" i="5"/>
  <c r="IO82" i="5"/>
  <c r="IP82" i="5"/>
  <c r="IQ82" i="5"/>
  <c r="IR82" i="5"/>
  <c r="IS82" i="5"/>
  <c r="IT82" i="5"/>
  <c r="IU82" i="5"/>
  <c r="IV82" i="5"/>
  <c r="A81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Q81" i="5"/>
  <c r="AR81" i="5"/>
  <c r="AS81" i="5"/>
  <c r="AT81" i="5"/>
  <c r="AU81" i="5"/>
  <c r="AV81" i="5"/>
  <c r="AW81" i="5"/>
  <c r="AX81" i="5"/>
  <c r="AY81" i="5"/>
  <c r="AZ81" i="5"/>
  <c r="BA81" i="5"/>
  <c r="BB81" i="5"/>
  <c r="BC81" i="5"/>
  <c r="BD81" i="5"/>
  <c r="BE81" i="5"/>
  <c r="BF81" i="5"/>
  <c r="BG81" i="5"/>
  <c r="BH81" i="5"/>
  <c r="BI81" i="5"/>
  <c r="BJ81" i="5"/>
  <c r="BK81" i="5"/>
  <c r="BL81" i="5"/>
  <c r="BM81" i="5"/>
  <c r="BN81" i="5"/>
  <c r="BO81" i="5"/>
  <c r="BP81" i="5"/>
  <c r="BQ81" i="5"/>
  <c r="BR81" i="5"/>
  <c r="BS81" i="5"/>
  <c r="BT81" i="5"/>
  <c r="BU81" i="5"/>
  <c r="BV81" i="5"/>
  <c r="BW81" i="5"/>
  <c r="BX81" i="5"/>
  <c r="BY81" i="5"/>
  <c r="BZ81" i="5"/>
  <c r="CA81" i="5"/>
  <c r="CB81" i="5"/>
  <c r="CC81" i="5"/>
  <c r="CD81" i="5"/>
  <c r="CE81" i="5"/>
  <c r="CF81" i="5"/>
  <c r="CG81" i="5"/>
  <c r="CH81" i="5"/>
  <c r="CI81" i="5"/>
  <c r="CJ81" i="5"/>
  <c r="CK81" i="5"/>
  <c r="CL81" i="5"/>
  <c r="CM81" i="5"/>
  <c r="CN81" i="5"/>
  <c r="CO81" i="5"/>
  <c r="CP81" i="5"/>
  <c r="CQ81" i="5"/>
  <c r="CR81" i="5"/>
  <c r="CS81" i="5"/>
  <c r="CT81" i="5"/>
  <c r="CU81" i="5"/>
  <c r="CV81" i="5"/>
  <c r="CW81" i="5"/>
  <c r="CX81" i="5"/>
  <c r="CY81" i="5"/>
  <c r="CZ81" i="5"/>
  <c r="DA81" i="5"/>
  <c r="DB81" i="5"/>
  <c r="DC81" i="5"/>
  <c r="DD81" i="5"/>
  <c r="DE81" i="5"/>
  <c r="DF81" i="5"/>
  <c r="DG81" i="5"/>
  <c r="DH81" i="5"/>
  <c r="DI81" i="5"/>
  <c r="DJ81" i="5"/>
  <c r="DK81" i="5"/>
  <c r="DL81" i="5"/>
  <c r="DM81" i="5"/>
  <c r="DN81" i="5"/>
  <c r="DO81" i="5"/>
  <c r="DP81" i="5"/>
  <c r="DQ81" i="5"/>
  <c r="DR81" i="5"/>
  <c r="DS81" i="5"/>
  <c r="DT81" i="5"/>
  <c r="DU81" i="5"/>
  <c r="DV81" i="5"/>
  <c r="DW81" i="5"/>
  <c r="DX81" i="5"/>
  <c r="DY81" i="5"/>
  <c r="DZ81" i="5"/>
  <c r="EA81" i="5"/>
  <c r="EB81" i="5"/>
  <c r="EC81" i="5"/>
  <c r="ED81" i="5"/>
  <c r="EE81" i="5"/>
  <c r="EF81" i="5"/>
  <c r="EG81" i="5"/>
  <c r="EH81" i="5"/>
  <c r="EI81" i="5"/>
  <c r="EJ81" i="5"/>
  <c r="EK81" i="5"/>
  <c r="EL81" i="5"/>
  <c r="EM81" i="5"/>
  <c r="EN81" i="5"/>
  <c r="EO81" i="5"/>
  <c r="EP81" i="5"/>
  <c r="EQ81" i="5"/>
  <c r="ER81" i="5"/>
  <c r="ES81" i="5"/>
  <c r="ET81" i="5"/>
  <c r="EU81" i="5"/>
  <c r="EV81" i="5"/>
  <c r="EW81" i="5"/>
  <c r="EX81" i="5"/>
  <c r="EY81" i="5"/>
  <c r="EZ81" i="5"/>
  <c r="FA81" i="5"/>
  <c r="FB81" i="5"/>
  <c r="FC81" i="5"/>
  <c r="FD81" i="5"/>
  <c r="FE81" i="5"/>
  <c r="FF81" i="5"/>
  <c r="FG81" i="5"/>
  <c r="FH81" i="5"/>
  <c r="FI81" i="5"/>
  <c r="FJ81" i="5"/>
  <c r="FK81" i="5"/>
  <c r="FL81" i="5"/>
  <c r="FM81" i="5"/>
  <c r="FN81" i="5"/>
  <c r="FO81" i="5"/>
  <c r="FP81" i="5"/>
  <c r="FQ81" i="5"/>
  <c r="FR81" i="5"/>
  <c r="FS81" i="5"/>
  <c r="FT81" i="5"/>
  <c r="FU81" i="5"/>
  <c r="FV81" i="5"/>
  <c r="FW81" i="5"/>
  <c r="FX81" i="5"/>
  <c r="FY81" i="5"/>
  <c r="FZ81" i="5"/>
  <c r="GA81" i="5"/>
  <c r="GB81" i="5"/>
  <c r="GC81" i="5"/>
  <c r="GD81" i="5"/>
  <c r="GE81" i="5"/>
  <c r="GF81" i="5"/>
  <c r="GG81" i="5"/>
  <c r="GH81" i="5"/>
  <c r="GI81" i="5"/>
  <c r="GJ81" i="5"/>
  <c r="GK81" i="5"/>
  <c r="GL81" i="5"/>
  <c r="GM81" i="5"/>
  <c r="GN81" i="5"/>
  <c r="GO81" i="5"/>
  <c r="GP81" i="5"/>
  <c r="GQ81" i="5"/>
  <c r="GR81" i="5"/>
  <c r="GS81" i="5"/>
  <c r="GT81" i="5"/>
  <c r="GU81" i="5"/>
  <c r="GV81" i="5"/>
  <c r="GW81" i="5"/>
  <c r="GX81" i="5"/>
  <c r="GY81" i="5"/>
  <c r="GZ81" i="5"/>
  <c r="HA81" i="5"/>
  <c r="HB81" i="5"/>
  <c r="HC81" i="5"/>
  <c r="HD81" i="5"/>
  <c r="HE81" i="5"/>
  <c r="HF81" i="5"/>
  <c r="HG81" i="5"/>
  <c r="HH81" i="5"/>
  <c r="HI81" i="5"/>
  <c r="HJ81" i="5"/>
  <c r="HK81" i="5"/>
  <c r="HL81" i="5"/>
  <c r="HM81" i="5"/>
  <c r="HN81" i="5"/>
  <c r="HO81" i="5"/>
  <c r="HP81" i="5"/>
  <c r="HQ81" i="5"/>
  <c r="HR81" i="5"/>
  <c r="HS81" i="5"/>
  <c r="HT81" i="5"/>
  <c r="HU81" i="5"/>
  <c r="HV81" i="5"/>
  <c r="HW81" i="5"/>
  <c r="HX81" i="5"/>
  <c r="HY81" i="5"/>
  <c r="HZ81" i="5"/>
  <c r="IA81" i="5"/>
  <c r="IB81" i="5"/>
  <c r="IC81" i="5"/>
  <c r="ID81" i="5"/>
  <c r="IE81" i="5"/>
  <c r="IF81" i="5"/>
  <c r="IG81" i="5"/>
  <c r="IH81" i="5"/>
  <c r="II81" i="5"/>
  <c r="IJ81" i="5"/>
  <c r="IK81" i="5"/>
  <c r="IL81" i="5"/>
  <c r="IM81" i="5"/>
  <c r="IN81" i="5"/>
  <c r="IO81" i="5"/>
  <c r="IP81" i="5"/>
  <c r="IQ81" i="5"/>
  <c r="IR81" i="5"/>
  <c r="IS81" i="5"/>
  <c r="IT81" i="5"/>
  <c r="IU81" i="5"/>
  <c r="IV81" i="5"/>
  <c r="A80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AS80" i="5"/>
  <c r="AT80" i="5"/>
  <c r="AU80" i="5"/>
  <c r="AV80" i="5"/>
  <c r="AW80" i="5"/>
  <c r="AX80" i="5"/>
  <c r="AY80" i="5"/>
  <c r="AZ80" i="5"/>
  <c r="BA80" i="5"/>
  <c r="BB80" i="5"/>
  <c r="BC80" i="5"/>
  <c r="BD80" i="5"/>
  <c r="BE80" i="5"/>
  <c r="BF80" i="5"/>
  <c r="BG80" i="5"/>
  <c r="BH80" i="5"/>
  <c r="BI80" i="5"/>
  <c r="BJ80" i="5"/>
  <c r="BK80" i="5"/>
  <c r="BL80" i="5"/>
  <c r="BM80" i="5"/>
  <c r="BN80" i="5"/>
  <c r="BO80" i="5"/>
  <c r="BP80" i="5"/>
  <c r="BQ80" i="5"/>
  <c r="BR80" i="5"/>
  <c r="BS80" i="5"/>
  <c r="BT80" i="5"/>
  <c r="BU80" i="5"/>
  <c r="BV80" i="5"/>
  <c r="BW80" i="5"/>
  <c r="BX80" i="5"/>
  <c r="BY80" i="5"/>
  <c r="BZ80" i="5"/>
  <c r="CA80" i="5"/>
  <c r="CB80" i="5"/>
  <c r="CC80" i="5"/>
  <c r="CD80" i="5"/>
  <c r="CE80" i="5"/>
  <c r="CF80" i="5"/>
  <c r="CG80" i="5"/>
  <c r="CH80" i="5"/>
  <c r="CI80" i="5"/>
  <c r="CJ80" i="5"/>
  <c r="CK80" i="5"/>
  <c r="CL80" i="5"/>
  <c r="CM80" i="5"/>
  <c r="CN80" i="5"/>
  <c r="CO80" i="5"/>
  <c r="CP80" i="5"/>
  <c r="CQ80" i="5"/>
  <c r="CR80" i="5"/>
  <c r="CS80" i="5"/>
  <c r="CT80" i="5"/>
  <c r="CU80" i="5"/>
  <c r="CV80" i="5"/>
  <c r="CW80" i="5"/>
  <c r="CX80" i="5"/>
  <c r="CY80" i="5"/>
  <c r="CZ80" i="5"/>
  <c r="DA80" i="5"/>
  <c r="DB80" i="5"/>
  <c r="DC80" i="5"/>
  <c r="DD80" i="5"/>
  <c r="DE80" i="5"/>
  <c r="DF80" i="5"/>
  <c r="DG80" i="5"/>
  <c r="DH80" i="5"/>
  <c r="DI80" i="5"/>
  <c r="DJ80" i="5"/>
  <c r="DK80" i="5"/>
  <c r="DL80" i="5"/>
  <c r="DM80" i="5"/>
  <c r="DN80" i="5"/>
  <c r="DO80" i="5"/>
  <c r="DP80" i="5"/>
  <c r="DQ80" i="5"/>
  <c r="DR80" i="5"/>
  <c r="DS80" i="5"/>
  <c r="DT80" i="5"/>
  <c r="DU80" i="5"/>
  <c r="DV80" i="5"/>
  <c r="DW80" i="5"/>
  <c r="DX80" i="5"/>
  <c r="DY80" i="5"/>
  <c r="DZ80" i="5"/>
  <c r="EA80" i="5"/>
  <c r="EB80" i="5"/>
  <c r="EC80" i="5"/>
  <c r="ED80" i="5"/>
  <c r="EE80" i="5"/>
  <c r="EF80" i="5"/>
  <c r="EG80" i="5"/>
  <c r="EH80" i="5"/>
  <c r="EI80" i="5"/>
  <c r="EJ80" i="5"/>
  <c r="EK80" i="5"/>
  <c r="EL80" i="5"/>
  <c r="EM80" i="5"/>
  <c r="EN80" i="5"/>
  <c r="EO80" i="5"/>
  <c r="EP80" i="5"/>
  <c r="EQ80" i="5"/>
  <c r="ER80" i="5"/>
  <c r="ES80" i="5"/>
  <c r="ET80" i="5"/>
  <c r="EU80" i="5"/>
  <c r="EV80" i="5"/>
  <c r="EW80" i="5"/>
  <c r="EX80" i="5"/>
  <c r="EY80" i="5"/>
  <c r="EZ80" i="5"/>
  <c r="FA80" i="5"/>
  <c r="FB80" i="5"/>
  <c r="FC80" i="5"/>
  <c r="FD80" i="5"/>
  <c r="FE80" i="5"/>
  <c r="FF80" i="5"/>
  <c r="FG80" i="5"/>
  <c r="FH80" i="5"/>
  <c r="FI80" i="5"/>
  <c r="FJ80" i="5"/>
  <c r="FK80" i="5"/>
  <c r="FL80" i="5"/>
  <c r="FM80" i="5"/>
  <c r="FN80" i="5"/>
  <c r="FO80" i="5"/>
  <c r="FP80" i="5"/>
  <c r="FQ80" i="5"/>
  <c r="FR80" i="5"/>
  <c r="FS80" i="5"/>
  <c r="FT80" i="5"/>
  <c r="FU80" i="5"/>
  <c r="FV80" i="5"/>
  <c r="FW80" i="5"/>
  <c r="FX80" i="5"/>
  <c r="FY80" i="5"/>
  <c r="FZ80" i="5"/>
  <c r="GA80" i="5"/>
  <c r="GB80" i="5"/>
  <c r="GC80" i="5"/>
  <c r="GD80" i="5"/>
  <c r="GE80" i="5"/>
  <c r="GF80" i="5"/>
  <c r="GG80" i="5"/>
  <c r="GH80" i="5"/>
  <c r="GI80" i="5"/>
  <c r="GJ80" i="5"/>
  <c r="GK80" i="5"/>
  <c r="GL80" i="5"/>
  <c r="GM80" i="5"/>
  <c r="GN80" i="5"/>
  <c r="GO80" i="5"/>
  <c r="GP80" i="5"/>
  <c r="GQ80" i="5"/>
  <c r="GR80" i="5"/>
  <c r="GS80" i="5"/>
  <c r="GT80" i="5"/>
  <c r="GU80" i="5"/>
  <c r="GV80" i="5"/>
  <c r="GW80" i="5"/>
  <c r="GX80" i="5"/>
  <c r="GY80" i="5"/>
  <c r="GZ80" i="5"/>
  <c r="HA80" i="5"/>
  <c r="HB80" i="5"/>
  <c r="HC80" i="5"/>
  <c r="HD80" i="5"/>
  <c r="HE80" i="5"/>
  <c r="HF80" i="5"/>
  <c r="HG80" i="5"/>
  <c r="HH80" i="5"/>
  <c r="HI80" i="5"/>
  <c r="HJ80" i="5"/>
  <c r="HK80" i="5"/>
  <c r="HL80" i="5"/>
  <c r="HM80" i="5"/>
  <c r="HN80" i="5"/>
  <c r="HO80" i="5"/>
  <c r="HP80" i="5"/>
  <c r="HQ80" i="5"/>
  <c r="HR80" i="5"/>
  <c r="HS80" i="5"/>
  <c r="HT80" i="5"/>
  <c r="HU80" i="5"/>
  <c r="HV80" i="5"/>
  <c r="HW80" i="5"/>
  <c r="HX80" i="5"/>
  <c r="HY80" i="5"/>
  <c r="HZ80" i="5"/>
  <c r="IA80" i="5"/>
  <c r="IB80" i="5"/>
  <c r="IC80" i="5"/>
  <c r="ID80" i="5"/>
  <c r="IE80" i="5"/>
  <c r="IF80" i="5"/>
  <c r="IG80" i="5"/>
  <c r="IH80" i="5"/>
  <c r="II80" i="5"/>
  <c r="IJ80" i="5"/>
  <c r="IK80" i="5"/>
  <c r="IL80" i="5"/>
  <c r="IM80" i="5"/>
  <c r="IN80" i="5"/>
  <c r="IO80" i="5"/>
  <c r="IP80" i="5"/>
  <c r="IQ80" i="5"/>
  <c r="IR80" i="5"/>
  <c r="IS80" i="5"/>
  <c r="IT80" i="5"/>
  <c r="IU80" i="5"/>
  <c r="IV80" i="5"/>
  <c r="A79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BL79" i="5"/>
  <c r="BM79" i="5"/>
  <c r="BN79" i="5"/>
  <c r="BO79" i="5"/>
  <c r="BP79" i="5"/>
  <c r="BQ79" i="5"/>
  <c r="BR79" i="5"/>
  <c r="BS79" i="5"/>
  <c r="BT79" i="5"/>
  <c r="BU79" i="5"/>
  <c r="BV79" i="5"/>
  <c r="BW79" i="5"/>
  <c r="BX79" i="5"/>
  <c r="BY79" i="5"/>
  <c r="BZ79" i="5"/>
  <c r="CA79" i="5"/>
  <c r="CB79" i="5"/>
  <c r="CC79" i="5"/>
  <c r="CD79" i="5"/>
  <c r="CE79" i="5"/>
  <c r="CF79" i="5"/>
  <c r="CG79" i="5"/>
  <c r="CH79" i="5"/>
  <c r="CI79" i="5"/>
  <c r="CJ79" i="5"/>
  <c r="CK79" i="5"/>
  <c r="CL79" i="5"/>
  <c r="CM79" i="5"/>
  <c r="CN79" i="5"/>
  <c r="CO79" i="5"/>
  <c r="CP79" i="5"/>
  <c r="CQ79" i="5"/>
  <c r="CR79" i="5"/>
  <c r="CS79" i="5"/>
  <c r="CT79" i="5"/>
  <c r="CU79" i="5"/>
  <c r="CV79" i="5"/>
  <c r="CW79" i="5"/>
  <c r="CX79" i="5"/>
  <c r="CY79" i="5"/>
  <c r="CZ79" i="5"/>
  <c r="DA79" i="5"/>
  <c r="DB79" i="5"/>
  <c r="DC79" i="5"/>
  <c r="DD79" i="5"/>
  <c r="DE79" i="5"/>
  <c r="DF79" i="5"/>
  <c r="DG79" i="5"/>
  <c r="DH79" i="5"/>
  <c r="DI79" i="5"/>
  <c r="DJ79" i="5"/>
  <c r="DK79" i="5"/>
  <c r="DL79" i="5"/>
  <c r="DM79" i="5"/>
  <c r="DN79" i="5"/>
  <c r="DO79" i="5"/>
  <c r="DP79" i="5"/>
  <c r="DQ79" i="5"/>
  <c r="DR79" i="5"/>
  <c r="DS79" i="5"/>
  <c r="DT79" i="5"/>
  <c r="DU79" i="5"/>
  <c r="DV79" i="5"/>
  <c r="DW79" i="5"/>
  <c r="DX79" i="5"/>
  <c r="DY79" i="5"/>
  <c r="DZ79" i="5"/>
  <c r="EA79" i="5"/>
  <c r="EB79" i="5"/>
  <c r="EC79" i="5"/>
  <c r="ED79" i="5"/>
  <c r="EE79" i="5"/>
  <c r="EF79" i="5"/>
  <c r="EG79" i="5"/>
  <c r="EH79" i="5"/>
  <c r="EI79" i="5"/>
  <c r="EJ79" i="5"/>
  <c r="EK79" i="5"/>
  <c r="EL79" i="5"/>
  <c r="EM79" i="5"/>
  <c r="EN79" i="5"/>
  <c r="EO79" i="5"/>
  <c r="EP79" i="5"/>
  <c r="EQ79" i="5"/>
  <c r="ER79" i="5"/>
  <c r="ES79" i="5"/>
  <c r="ET79" i="5"/>
  <c r="EU79" i="5"/>
  <c r="EV79" i="5"/>
  <c r="EW79" i="5"/>
  <c r="EX79" i="5"/>
  <c r="EY79" i="5"/>
  <c r="EZ79" i="5"/>
  <c r="FA79" i="5"/>
  <c r="FB79" i="5"/>
  <c r="FC79" i="5"/>
  <c r="FD79" i="5"/>
  <c r="FE79" i="5"/>
  <c r="FF79" i="5"/>
  <c r="FG79" i="5"/>
  <c r="FH79" i="5"/>
  <c r="FI79" i="5"/>
  <c r="FJ79" i="5"/>
  <c r="FK79" i="5"/>
  <c r="FL79" i="5"/>
  <c r="FM79" i="5"/>
  <c r="FN79" i="5"/>
  <c r="FO79" i="5"/>
  <c r="FP79" i="5"/>
  <c r="FQ79" i="5"/>
  <c r="FR79" i="5"/>
  <c r="FS79" i="5"/>
  <c r="FT79" i="5"/>
  <c r="FU79" i="5"/>
  <c r="FV79" i="5"/>
  <c r="FW79" i="5"/>
  <c r="FX79" i="5"/>
  <c r="FY79" i="5"/>
  <c r="FZ79" i="5"/>
  <c r="GA79" i="5"/>
  <c r="GB79" i="5"/>
  <c r="GC79" i="5"/>
  <c r="GD79" i="5"/>
  <c r="GE79" i="5"/>
  <c r="GF79" i="5"/>
  <c r="GG79" i="5"/>
  <c r="GH79" i="5"/>
  <c r="GI79" i="5"/>
  <c r="GJ79" i="5"/>
  <c r="GK79" i="5"/>
  <c r="GL79" i="5"/>
  <c r="GM79" i="5"/>
  <c r="GN79" i="5"/>
  <c r="GO79" i="5"/>
  <c r="GP79" i="5"/>
  <c r="GQ79" i="5"/>
  <c r="GR79" i="5"/>
  <c r="GS79" i="5"/>
  <c r="GT79" i="5"/>
  <c r="GU79" i="5"/>
  <c r="GV79" i="5"/>
  <c r="GW79" i="5"/>
  <c r="GX79" i="5"/>
  <c r="GY79" i="5"/>
  <c r="GZ79" i="5"/>
  <c r="HA79" i="5"/>
  <c r="HB79" i="5"/>
  <c r="HC79" i="5"/>
  <c r="HD79" i="5"/>
  <c r="HE79" i="5"/>
  <c r="HF79" i="5"/>
  <c r="HG79" i="5"/>
  <c r="HH79" i="5"/>
  <c r="HI79" i="5"/>
  <c r="HJ79" i="5"/>
  <c r="HK79" i="5"/>
  <c r="HL79" i="5"/>
  <c r="HM79" i="5"/>
  <c r="HN79" i="5"/>
  <c r="HO79" i="5"/>
  <c r="HP79" i="5"/>
  <c r="HQ79" i="5"/>
  <c r="HR79" i="5"/>
  <c r="HS79" i="5"/>
  <c r="HT79" i="5"/>
  <c r="HU79" i="5"/>
  <c r="HV79" i="5"/>
  <c r="HW79" i="5"/>
  <c r="HX79" i="5"/>
  <c r="HY79" i="5"/>
  <c r="HZ79" i="5"/>
  <c r="IA79" i="5"/>
  <c r="IB79" i="5"/>
  <c r="IC79" i="5"/>
  <c r="ID79" i="5"/>
  <c r="IE79" i="5"/>
  <c r="IF79" i="5"/>
  <c r="IG79" i="5"/>
  <c r="IH79" i="5"/>
  <c r="II79" i="5"/>
  <c r="IJ79" i="5"/>
  <c r="IK79" i="5"/>
  <c r="IL79" i="5"/>
  <c r="IM79" i="5"/>
  <c r="IN79" i="5"/>
  <c r="IO79" i="5"/>
  <c r="IP79" i="5"/>
  <c r="IQ79" i="5"/>
  <c r="IR79" i="5"/>
  <c r="IS79" i="5"/>
  <c r="IT79" i="5"/>
  <c r="IU79" i="5"/>
  <c r="IV79" i="5"/>
  <c r="A78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Q78" i="5"/>
  <c r="AR78" i="5"/>
  <c r="AS78" i="5"/>
  <c r="AT78" i="5"/>
  <c r="AU78" i="5"/>
  <c r="AV78" i="5"/>
  <c r="AW78" i="5"/>
  <c r="AX78" i="5"/>
  <c r="AY78" i="5"/>
  <c r="AZ78" i="5"/>
  <c r="BA78" i="5"/>
  <c r="BB78" i="5"/>
  <c r="BC78" i="5"/>
  <c r="BD78" i="5"/>
  <c r="BE78" i="5"/>
  <c r="BF78" i="5"/>
  <c r="BG78" i="5"/>
  <c r="BH78" i="5"/>
  <c r="BI78" i="5"/>
  <c r="BJ78" i="5"/>
  <c r="BK78" i="5"/>
  <c r="BL78" i="5"/>
  <c r="BM78" i="5"/>
  <c r="BN78" i="5"/>
  <c r="BO78" i="5"/>
  <c r="BP78" i="5"/>
  <c r="BQ78" i="5"/>
  <c r="BR78" i="5"/>
  <c r="BS78" i="5"/>
  <c r="BT78" i="5"/>
  <c r="BU78" i="5"/>
  <c r="BV78" i="5"/>
  <c r="BW78" i="5"/>
  <c r="BX78" i="5"/>
  <c r="BY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CO78" i="5"/>
  <c r="CP78" i="5"/>
  <c r="CQ78" i="5"/>
  <c r="CR78" i="5"/>
  <c r="CS78" i="5"/>
  <c r="CT78" i="5"/>
  <c r="CU78" i="5"/>
  <c r="CV78" i="5"/>
  <c r="CW78" i="5"/>
  <c r="CX78" i="5"/>
  <c r="CY78" i="5"/>
  <c r="CZ78" i="5"/>
  <c r="DA78" i="5"/>
  <c r="DB78" i="5"/>
  <c r="DC78" i="5"/>
  <c r="DD78" i="5"/>
  <c r="DE78" i="5"/>
  <c r="DF78" i="5"/>
  <c r="DG78" i="5"/>
  <c r="DH78" i="5"/>
  <c r="DI78" i="5"/>
  <c r="DJ78" i="5"/>
  <c r="DK78" i="5"/>
  <c r="DL78" i="5"/>
  <c r="DM78" i="5"/>
  <c r="DN78" i="5"/>
  <c r="DO78" i="5"/>
  <c r="DP78" i="5"/>
  <c r="DQ78" i="5"/>
  <c r="DR78" i="5"/>
  <c r="DS78" i="5"/>
  <c r="DT78" i="5"/>
  <c r="DU78" i="5"/>
  <c r="DV78" i="5"/>
  <c r="DW78" i="5"/>
  <c r="DX78" i="5"/>
  <c r="DY78" i="5"/>
  <c r="DZ78" i="5"/>
  <c r="EA78" i="5"/>
  <c r="EB78" i="5"/>
  <c r="EC78" i="5"/>
  <c r="ED78" i="5"/>
  <c r="EE78" i="5"/>
  <c r="EF78" i="5"/>
  <c r="EG78" i="5"/>
  <c r="EH78" i="5"/>
  <c r="EI78" i="5"/>
  <c r="EJ78" i="5"/>
  <c r="EK78" i="5"/>
  <c r="EL78" i="5"/>
  <c r="EM78" i="5"/>
  <c r="EN78" i="5"/>
  <c r="EO78" i="5"/>
  <c r="EP78" i="5"/>
  <c r="EQ78" i="5"/>
  <c r="ER78" i="5"/>
  <c r="ES78" i="5"/>
  <c r="ET78" i="5"/>
  <c r="EU78" i="5"/>
  <c r="EV78" i="5"/>
  <c r="EW78" i="5"/>
  <c r="EX78" i="5"/>
  <c r="EY78" i="5"/>
  <c r="EZ78" i="5"/>
  <c r="FA78" i="5"/>
  <c r="FB78" i="5"/>
  <c r="FC78" i="5"/>
  <c r="FD78" i="5"/>
  <c r="FE78" i="5"/>
  <c r="FF78" i="5"/>
  <c r="FG78" i="5"/>
  <c r="FH78" i="5"/>
  <c r="FI78" i="5"/>
  <c r="FJ78" i="5"/>
  <c r="FK78" i="5"/>
  <c r="FL78" i="5"/>
  <c r="FM78" i="5"/>
  <c r="FN78" i="5"/>
  <c r="FO78" i="5"/>
  <c r="FP78" i="5"/>
  <c r="FQ78" i="5"/>
  <c r="FR78" i="5"/>
  <c r="FS78" i="5"/>
  <c r="FT78" i="5"/>
  <c r="FU78" i="5"/>
  <c r="FV78" i="5"/>
  <c r="FW78" i="5"/>
  <c r="FX78" i="5"/>
  <c r="FY78" i="5"/>
  <c r="FZ78" i="5"/>
  <c r="GA78" i="5"/>
  <c r="GB78" i="5"/>
  <c r="GC78" i="5"/>
  <c r="GD78" i="5"/>
  <c r="GE78" i="5"/>
  <c r="GF78" i="5"/>
  <c r="GG78" i="5"/>
  <c r="GH78" i="5"/>
  <c r="GI78" i="5"/>
  <c r="GJ78" i="5"/>
  <c r="GK78" i="5"/>
  <c r="GL78" i="5"/>
  <c r="GM78" i="5"/>
  <c r="GN78" i="5"/>
  <c r="GO78" i="5"/>
  <c r="GP78" i="5"/>
  <c r="GQ78" i="5"/>
  <c r="GR78" i="5"/>
  <c r="GS78" i="5"/>
  <c r="GT78" i="5"/>
  <c r="GU78" i="5"/>
  <c r="GV78" i="5"/>
  <c r="GW78" i="5"/>
  <c r="GX78" i="5"/>
  <c r="GY78" i="5"/>
  <c r="GZ78" i="5"/>
  <c r="HA78" i="5"/>
  <c r="HB78" i="5"/>
  <c r="HC78" i="5"/>
  <c r="HD78" i="5"/>
  <c r="HE78" i="5"/>
  <c r="HF78" i="5"/>
  <c r="HG78" i="5"/>
  <c r="HH78" i="5"/>
  <c r="HI78" i="5"/>
  <c r="HJ78" i="5"/>
  <c r="HK78" i="5"/>
  <c r="HL78" i="5"/>
  <c r="HM78" i="5"/>
  <c r="HN78" i="5"/>
  <c r="HO78" i="5"/>
  <c r="HP78" i="5"/>
  <c r="HQ78" i="5"/>
  <c r="HR78" i="5"/>
  <c r="HS78" i="5"/>
  <c r="HT78" i="5"/>
  <c r="HU78" i="5"/>
  <c r="HV78" i="5"/>
  <c r="HW78" i="5"/>
  <c r="HX78" i="5"/>
  <c r="HY78" i="5"/>
  <c r="HZ78" i="5"/>
  <c r="IA78" i="5"/>
  <c r="IB78" i="5"/>
  <c r="IC78" i="5"/>
  <c r="ID78" i="5"/>
  <c r="IE78" i="5"/>
  <c r="IF78" i="5"/>
  <c r="IG78" i="5"/>
  <c r="IH78" i="5"/>
  <c r="II78" i="5"/>
  <c r="IJ78" i="5"/>
  <c r="IK78" i="5"/>
  <c r="IL78" i="5"/>
  <c r="IM78" i="5"/>
  <c r="IN78" i="5"/>
  <c r="IO78" i="5"/>
  <c r="IP78" i="5"/>
  <c r="IQ78" i="5"/>
  <c r="IR78" i="5"/>
  <c r="IS78" i="5"/>
  <c r="IT78" i="5"/>
  <c r="IU78" i="5"/>
  <c r="IV78" i="5"/>
  <c r="A77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AR77" i="5"/>
  <c r="AS77" i="5"/>
  <c r="AT77" i="5"/>
  <c r="AU77" i="5"/>
  <c r="AV77" i="5"/>
  <c r="AW77" i="5"/>
  <c r="AX77" i="5"/>
  <c r="AY77" i="5"/>
  <c r="AZ77" i="5"/>
  <c r="BA77" i="5"/>
  <c r="BB77" i="5"/>
  <c r="BC77" i="5"/>
  <c r="BD77" i="5"/>
  <c r="BE77" i="5"/>
  <c r="BF77" i="5"/>
  <c r="BG77" i="5"/>
  <c r="BH77" i="5"/>
  <c r="BI77" i="5"/>
  <c r="BJ77" i="5"/>
  <c r="BK77" i="5"/>
  <c r="BL77" i="5"/>
  <c r="BM77" i="5"/>
  <c r="BN77" i="5"/>
  <c r="BO77" i="5"/>
  <c r="BP77" i="5"/>
  <c r="BQ77" i="5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CP77" i="5"/>
  <c r="CQ77" i="5"/>
  <c r="CR77" i="5"/>
  <c r="CS77" i="5"/>
  <c r="CT77" i="5"/>
  <c r="CU77" i="5"/>
  <c r="CV77" i="5"/>
  <c r="CW77" i="5"/>
  <c r="CX77" i="5"/>
  <c r="CY77" i="5"/>
  <c r="CZ77" i="5"/>
  <c r="DA77" i="5"/>
  <c r="DB77" i="5"/>
  <c r="DC77" i="5"/>
  <c r="DD77" i="5"/>
  <c r="DE77" i="5"/>
  <c r="DF77" i="5"/>
  <c r="DG77" i="5"/>
  <c r="DH77" i="5"/>
  <c r="DI77" i="5"/>
  <c r="DJ77" i="5"/>
  <c r="DK77" i="5"/>
  <c r="DL77" i="5"/>
  <c r="DM77" i="5"/>
  <c r="DN77" i="5"/>
  <c r="DO77" i="5"/>
  <c r="DP77" i="5"/>
  <c r="DQ77" i="5"/>
  <c r="DR77" i="5"/>
  <c r="DS77" i="5"/>
  <c r="DT77" i="5"/>
  <c r="DU77" i="5"/>
  <c r="DV77" i="5"/>
  <c r="DW77" i="5"/>
  <c r="DX77" i="5"/>
  <c r="DY77" i="5"/>
  <c r="DZ77" i="5"/>
  <c r="EA77" i="5"/>
  <c r="EB77" i="5"/>
  <c r="EC77" i="5"/>
  <c r="ED77" i="5"/>
  <c r="EE77" i="5"/>
  <c r="EF77" i="5"/>
  <c r="EG77" i="5"/>
  <c r="EH77" i="5"/>
  <c r="EI77" i="5"/>
  <c r="EJ77" i="5"/>
  <c r="EK77" i="5"/>
  <c r="EL77" i="5"/>
  <c r="EM77" i="5"/>
  <c r="EN77" i="5"/>
  <c r="EO77" i="5"/>
  <c r="EP77" i="5"/>
  <c r="EQ77" i="5"/>
  <c r="ER77" i="5"/>
  <c r="ES77" i="5"/>
  <c r="ET77" i="5"/>
  <c r="EU77" i="5"/>
  <c r="EV77" i="5"/>
  <c r="EW77" i="5"/>
  <c r="EX77" i="5"/>
  <c r="EY77" i="5"/>
  <c r="EZ77" i="5"/>
  <c r="FA77" i="5"/>
  <c r="FB77" i="5"/>
  <c r="FC77" i="5"/>
  <c r="FD77" i="5"/>
  <c r="FE77" i="5"/>
  <c r="FF77" i="5"/>
  <c r="FG77" i="5"/>
  <c r="FH77" i="5"/>
  <c r="FI77" i="5"/>
  <c r="FJ77" i="5"/>
  <c r="FK77" i="5"/>
  <c r="FL77" i="5"/>
  <c r="FM77" i="5"/>
  <c r="FN77" i="5"/>
  <c r="FO77" i="5"/>
  <c r="FP77" i="5"/>
  <c r="FQ77" i="5"/>
  <c r="FR77" i="5"/>
  <c r="FS77" i="5"/>
  <c r="FT77" i="5"/>
  <c r="FU77" i="5"/>
  <c r="FV77" i="5"/>
  <c r="FW77" i="5"/>
  <c r="FX77" i="5"/>
  <c r="FY77" i="5"/>
  <c r="FZ77" i="5"/>
  <c r="GA77" i="5"/>
  <c r="GB77" i="5"/>
  <c r="GC77" i="5"/>
  <c r="GD77" i="5"/>
  <c r="GE77" i="5"/>
  <c r="GF77" i="5"/>
  <c r="GG77" i="5"/>
  <c r="GH77" i="5"/>
  <c r="GI77" i="5"/>
  <c r="GJ77" i="5"/>
  <c r="GK77" i="5"/>
  <c r="GL77" i="5"/>
  <c r="GM77" i="5"/>
  <c r="GN77" i="5"/>
  <c r="GO77" i="5"/>
  <c r="GP77" i="5"/>
  <c r="GQ77" i="5"/>
  <c r="GR77" i="5"/>
  <c r="GS77" i="5"/>
  <c r="GT77" i="5"/>
  <c r="GU77" i="5"/>
  <c r="GV77" i="5"/>
  <c r="GW77" i="5"/>
  <c r="GX77" i="5"/>
  <c r="GY77" i="5"/>
  <c r="GZ77" i="5"/>
  <c r="HA77" i="5"/>
  <c r="HB77" i="5"/>
  <c r="HC77" i="5"/>
  <c r="HD77" i="5"/>
  <c r="HE77" i="5"/>
  <c r="HF77" i="5"/>
  <c r="HG77" i="5"/>
  <c r="HH77" i="5"/>
  <c r="HI77" i="5"/>
  <c r="HJ77" i="5"/>
  <c r="HK77" i="5"/>
  <c r="HL77" i="5"/>
  <c r="HM77" i="5"/>
  <c r="HN77" i="5"/>
  <c r="HO77" i="5"/>
  <c r="HP77" i="5"/>
  <c r="HQ77" i="5"/>
  <c r="HR77" i="5"/>
  <c r="HS77" i="5"/>
  <c r="HT77" i="5"/>
  <c r="HU77" i="5"/>
  <c r="HV77" i="5"/>
  <c r="HW77" i="5"/>
  <c r="HX77" i="5"/>
  <c r="HY77" i="5"/>
  <c r="HZ77" i="5"/>
  <c r="IA77" i="5"/>
  <c r="IB77" i="5"/>
  <c r="IC77" i="5"/>
  <c r="ID77" i="5"/>
  <c r="IE77" i="5"/>
  <c r="IF77" i="5"/>
  <c r="IG77" i="5"/>
  <c r="IH77" i="5"/>
  <c r="II77" i="5"/>
  <c r="IJ77" i="5"/>
  <c r="IK77" i="5"/>
  <c r="IL77" i="5"/>
  <c r="IM77" i="5"/>
  <c r="IN77" i="5"/>
  <c r="IO77" i="5"/>
  <c r="IP77" i="5"/>
  <c r="IQ77" i="5"/>
  <c r="IR77" i="5"/>
  <c r="IS77" i="5"/>
  <c r="IT77" i="5"/>
  <c r="IU77" i="5"/>
  <c r="IV77" i="5"/>
  <c r="A76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W76" i="5"/>
  <c r="AX76" i="5"/>
  <c r="AY76" i="5"/>
  <c r="AZ76" i="5"/>
  <c r="BA76" i="5"/>
  <c r="BB76" i="5"/>
  <c r="BC76" i="5"/>
  <c r="BD76" i="5"/>
  <c r="BE76" i="5"/>
  <c r="BF76" i="5"/>
  <c r="BG76" i="5"/>
  <c r="BH76" i="5"/>
  <c r="BI76" i="5"/>
  <c r="BJ76" i="5"/>
  <c r="BK76" i="5"/>
  <c r="BL76" i="5"/>
  <c r="BM76" i="5"/>
  <c r="BN76" i="5"/>
  <c r="BO76" i="5"/>
  <c r="BP76" i="5"/>
  <c r="BQ76" i="5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CP76" i="5"/>
  <c r="CQ76" i="5"/>
  <c r="CR76" i="5"/>
  <c r="CS76" i="5"/>
  <c r="CT76" i="5"/>
  <c r="CU76" i="5"/>
  <c r="CV76" i="5"/>
  <c r="CW76" i="5"/>
  <c r="CX76" i="5"/>
  <c r="CY76" i="5"/>
  <c r="CZ76" i="5"/>
  <c r="DA76" i="5"/>
  <c r="DB76" i="5"/>
  <c r="DC76" i="5"/>
  <c r="DD76" i="5"/>
  <c r="DE76" i="5"/>
  <c r="DF76" i="5"/>
  <c r="DG76" i="5"/>
  <c r="DH76" i="5"/>
  <c r="DI76" i="5"/>
  <c r="DJ76" i="5"/>
  <c r="DK76" i="5"/>
  <c r="DL76" i="5"/>
  <c r="DM76" i="5"/>
  <c r="DN76" i="5"/>
  <c r="DO76" i="5"/>
  <c r="DP76" i="5"/>
  <c r="DQ76" i="5"/>
  <c r="DR76" i="5"/>
  <c r="DS76" i="5"/>
  <c r="DT76" i="5"/>
  <c r="DU76" i="5"/>
  <c r="DV76" i="5"/>
  <c r="DW76" i="5"/>
  <c r="DX76" i="5"/>
  <c r="DY76" i="5"/>
  <c r="DZ76" i="5"/>
  <c r="EA76" i="5"/>
  <c r="EB76" i="5"/>
  <c r="EC76" i="5"/>
  <c r="ED76" i="5"/>
  <c r="EE76" i="5"/>
  <c r="EF76" i="5"/>
  <c r="EG76" i="5"/>
  <c r="EH76" i="5"/>
  <c r="EI76" i="5"/>
  <c r="EJ76" i="5"/>
  <c r="EK76" i="5"/>
  <c r="EL76" i="5"/>
  <c r="EM76" i="5"/>
  <c r="EN76" i="5"/>
  <c r="EO76" i="5"/>
  <c r="EP76" i="5"/>
  <c r="EQ76" i="5"/>
  <c r="ER76" i="5"/>
  <c r="ES76" i="5"/>
  <c r="ET76" i="5"/>
  <c r="EU76" i="5"/>
  <c r="EV76" i="5"/>
  <c r="EW76" i="5"/>
  <c r="EX76" i="5"/>
  <c r="EY76" i="5"/>
  <c r="EZ76" i="5"/>
  <c r="FA76" i="5"/>
  <c r="FB76" i="5"/>
  <c r="FC76" i="5"/>
  <c r="FD76" i="5"/>
  <c r="FE76" i="5"/>
  <c r="FF76" i="5"/>
  <c r="FG76" i="5"/>
  <c r="FH76" i="5"/>
  <c r="FI76" i="5"/>
  <c r="FJ76" i="5"/>
  <c r="FK76" i="5"/>
  <c r="FL76" i="5"/>
  <c r="FM76" i="5"/>
  <c r="FN76" i="5"/>
  <c r="FO76" i="5"/>
  <c r="FP76" i="5"/>
  <c r="FQ76" i="5"/>
  <c r="FR76" i="5"/>
  <c r="FS76" i="5"/>
  <c r="FT76" i="5"/>
  <c r="FU76" i="5"/>
  <c r="FV76" i="5"/>
  <c r="FW76" i="5"/>
  <c r="FX76" i="5"/>
  <c r="FY76" i="5"/>
  <c r="FZ76" i="5"/>
  <c r="GA76" i="5"/>
  <c r="GB76" i="5"/>
  <c r="GC76" i="5"/>
  <c r="GD76" i="5"/>
  <c r="GE76" i="5"/>
  <c r="GF76" i="5"/>
  <c r="GG76" i="5"/>
  <c r="GH76" i="5"/>
  <c r="GI76" i="5"/>
  <c r="GJ76" i="5"/>
  <c r="GK76" i="5"/>
  <c r="GL76" i="5"/>
  <c r="GM76" i="5"/>
  <c r="GN76" i="5"/>
  <c r="GO76" i="5"/>
  <c r="GP76" i="5"/>
  <c r="GQ76" i="5"/>
  <c r="GR76" i="5"/>
  <c r="GS76" i="5"/>
  <c r="GT76" i="5"/>
  <c r="GU76" i="5"/>
  <c r="GV76" i="5"/>
  <c r="GW76" i="5"/>
  <c r="GX76" i="5"/>
  <c r="GY76" i="5"/>
  <c r="GZ76" i="5"/>
  <c r="HA76" i="5"/>
  <c r="HB76" i="5"/>
  <c r="HC76" i="5"/>
  <c r="HD76" i="5"/>
  <c r="HE76" i="5"/>
  <c r="HF76" i="5"/>
  <c r="HG76" i="5"/>
  <c r="HH76" i="5"/>
  <c r="HI76" i="5"/>
  <c r="HJ76" i="5"/>
  <c r="HK76" i="5"/>
  <c r="HL76" i="5"/>
  <c r="HM76" i="5"/>
  <c r="HN76" i="5"/>
  <c r="HO76" i="5"/>
  <c r="HP76" i="5"/>
  <c r="HQ76" i="5"/>
  <c r="HR76" i="5"/>
  <c r="HS76" i="5"/>
  <c r="HT76" i="5"/>
  <c r="HU76" i="5"/>
  <c r="HV76" i="5"/>
  <c r="HW76" i="5"/>
  <c r="HX76" i="5"/>
  <c r="HY76" i="5"/>
  <c r="HZ76" i="5"/>
  <c r="IA76" i="5"/>
  <c r="IB76" i="5"/>
  <c r="IC76" i="5"/>
  <c r="ID76" i="5"/>
  <c r="IE76" i="5"/>
  <c r="IF76" i="5"/>
  <c r="IG76" i="5"/>
  <c r="IH76" i="5"/>
  <c r="II76" i="5"/>
  <c r="IJ76" i="5"/>
  <c r="IK76" i="5"/>
  <c r="IL76" i="5"/>
  <c r="IM76" i="5"/>
  <c r="IN76" i="5"/>
  <c r="IO76" i="5"/>
  <c r="IP76" i="5"/>
  <c r="IQ76" i="5"/>
  <c r="IR76" i="5"/>
  <c r="IS76" i="5"/>
  <c r="IT76" i="5"/>
  <c r="IU76" i="5"/>
  <c r="IV76" i="5"/>
  <c r="A75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AR75" i="5"/>
  <c r="AS75" i="5"/>
  <c r="AT75" i="5"/>
  <c r="AU75" i="5"/>
  <c r="AV75" i="5"/>
  <c r="AW75" i="5"/>
  <c r="AX75" i="5"/>
  <c r="AY75" i="5"/>
  <c r="AZ75" i="5"/>
  <c r="BA75" i="5"/>
  <c r="BB75" i="5"/>
  <c r="BC75" i="5"/>
  <c r="BD75" i="5"/>
  <c r="BE75" i="5"/>
  <c r="BF75" i="5"/>
  <c r="BG75" i="5"/>
  <c r="BH75" i="5"/>
  <c r="BI75" i="5"/>
  <c r="BJ75" i="5"/>
  <c r="BK75" i="5"/>
  <c r="BL75" i="5"/>
  <c r="BM75" i="5"/>
  <c r="BN75" i="5"/>
  <c r="BO75" i="5"/>
  <c r="BP75" i="5"/>
  <c r="BQ75" i="5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CP75" i="5"/>
  <c r="CQ75" i="5"/>
  <c r="CR75" i="5"/>
  <c r="CS75" i="5"/>
  <c r="CT75" i="5"/>
  <c r="CU75" i="5"/>
  <c r="CV75" i="5"/>
  <c r="CW75" i="5"/>
  <c r="CX75" i="5"/>
  <c r="CY75" i="5"/>
  <c r="CZ75" i="5"/>
  <c r="DA75" i="5"/>
  <c r="DB75" i="5"/>
  <c r="DC75" i="5"/>
  <c r="DD75" i="5"/>
  <c r="DE75" i="5"/>
  <c r="DF75" i="5"/>
  <c r="DG75" i="5"/>
  <c r="DH75" i="5"/>
  <c r="DI75" i="5"/>
  <c r="DJ75" i="5"/>
  <c r="DK75" i="5"/>
  <c r="DL75" i="5"/>
  <c r="DM75" i="5"/>
  <c r="DN75" i="5"/>
  <c r="DO75" i="5"/>
  <c r="DP75" i="5"/>
  <c r="DQ75" i="5"/>
  <c r="DR75" i="5"/>
  <c r="DS75" i="5"/>
  <c r="DT75" i="5"/>
  <c r="DU75" i="5"/>
  <c r="DV75" i="5"/>
  <c r="DW75" i="5"/>
  <c r="DX75" i="5"/>
  <c r="DY75" i="5"/>
  <c r="DZ75" i="5"/>
  <c r="EA75" i="5"/>
  <c r="EB75" i="5"/>
  <c r="EC75" i="5"/>
  <c r="ED75" i="5"/>
  <c r="EE75" i="5"/>
  <c r="EF75" i="5"/>
  <c r="EG75" i="5"/>
  <c r="EH75" i="5"/>
  <c r="EI75" i="5"/>
  <c r="EJ75" i="5"/>
  <c r="EK75" i="5"/>
  <c r="EL75" i="5"/>
  <c r="EM75" i="5"/>
  <c r="EN75" i="5"/>
  <c r="EO75" i="5"/>
  <c r="EP75" i="5"/>
  <c r="EQ75" i="5"/>
  <c r="ER75" i="5"/>
  <c r="ES75" i="5"/>
  <c r="ET75" i="5"/>
  <c r="EU75" i="5"/>
  <c r="EV75" i="5"/>
  <c r="EW75" i="5"/>
  <c r="EX75" i="5"/>
  <c r="EY75" i="5"/>
  <c r="EZ75" i="5"/>
  <c r="FA75" i="5"/>
  <c r="FB75" i="5"/>
  <c r="FC75" i="5"/>
  <c r="FD75" i="5"/>
  <c r="FE75" i="5"/>
  <c r="FF75" i="5"/>
  <c r="FG75" i="5"/>
  <c r="FH75" i="5"/>
  <c r="FI75" i="5"/>
  <c r="FJ75" i="5"/>
  <c r="FK75" i="5"/>
  <c r="FL75" i="5"/>
  <c r="FM75" i="5"/>
  <c r="FN75" i="5"/>
  <c r="FO75" i="5"/>
  <c r="FP75" i="5"/>
  <c r="FQ75" i="5"/>
  <c r="FR75" i="5"/>
  <c r="FS75" i="5"/>
  <c r="FT75" i="5"/>
  <c r="FU75" i="5"/>
  <c r="FV75" i="5"/>
  <c r="FW75" i="5"/>
  <c r="FX75" i="5"/>
  <c r="FY75" i="5"/>
  <c r="FZ75" i="5"/>
  <c r="GA75" i="5"/>
  <c r="GB75" i="5"/>
  <c r="GC75" i="5"/>
  <c r="GD75" i="5"/>
  <c r="GE75" i="5"/>
  <c r="GF75" i="5"/>
  <c r="GG75" i="5"/>
  <c r="GH75" i="5"/>
  <c r="GI75" i="5"/>
  <c r="GJ75" i="5"/>
  <c r="GK75" i="5"/>
  <c r="GL75" i="5"/>
  <c r="GM75" i="5"/>
  <c r="GN75" i="5"/>
  <c r="GO75" i="5"/>
  <c r="GP75" i="5"/>
  <c r="GQ75" i="5"/>
  <c r="GR75" i="5"/>
  <c r="GS75" i="5"/>
  <c r="GT75" i="5"/>
  <c r="GU75" i="5"/>
  <c r="GV75" i="5"/>
  <c r="GW75" i="5"/>
  <c r="GX75" i="5"/>
  <c r="GY75" i="5"/>
  <c r="GZ75" i="5"/>
  <c r="HA75" i="5"/>
  <c r="HB75" i="5"/>
  <c r="HC75" i="5"/>
  <c r="HD75" i="5"/>
  <c r="HE75" i="5"/>
  <c r="HF75" i="5"/>
  <c r="HG75" i="5"/>
  <c r="HH75" i="5"/>
  <c r="HI75" i="5"/>
  <c r="HJ75" i="5"/>
  <c r="HK75" i="5"/>
  <c r="HL75" i="5"/>
  <c r="HM75" i="5"/>
  <c r="HN75" i="5"/>
  <c r="HO75" i="5"/>
  <c r="HP75" i="5"/>
  <c r="HQ75" i="5"/>
  <c r="HR75" i="5"/>
  <c r="HS75" i="5"/>
  <c r="HT75" i="5"/>
  <c r="HU75" i="5"/>
  <c r="HV75" i="5"/>
  <c r="HW75" i="5"/>
  <c r="HX75" i="5"/>
  <c r="HY75" i="5"/>
  <c r="HZ75" i="5"/>
  <c r="IA75" i="5"/>
  <c r="IB75" i="5"/>
  <c r="IC75" i="5"/>
  <c r="ID75" i="5"/>
  <c r="IE75" i="5"/>
  <c r="IF75" i="5"/>
  <c r="IG75" i="5"/>
  <c r="IH75" i="5"/>
  <c r="II75" i="5"/>
  <c r="IJ75" i="5"/>
  <c r="IK75" i="5"/>
  <c r="IL75" i="5"/>
  <c r="IM75" i="5"/>
  <c r="IN75" i="5"/>
  <c r="IO75" i="5"/>
  <c r="IP75" i="5"/>
  <c r="IQ75" i="5"/>
  <c r="IR75" i="5"/>
  <c r="IS75" i="5"/>
  <c r="IT75" i="5"/>
  <c r="IU75" i="5"/>
  <c r="IV75" i="5"/>
  <c r="A74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BL74" i="5"/>
  <c r="BM74" i="5"/>
  <c r="BN74" i="5"/>
  <c r="BO74" i="5"/>
  <c r="BP74" i="5"/>
  <c r="BQ74" i="5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CP74" i="5"/>
  <c r="CQ74" i="5"/>
  <c r="CR74" i="5"/>
  <c r="CS74" i="5"/>
  <c r="CT74" i="5"/>
  <c r="CU74" i="5"/>
  <c r="CV74" i="5"/>
  <c r="CW74" i="5"/>
  <c r="CX74" i="5"/>
  <c r="CY74" i="5"/>
  <c r="CZ74" i="5"/>
  <c r="DA74" i="5"/>
  <c r="DB74" i="5"/>
  <c r="DC74" i="5"/>
  <c r="DD74" i="5"/>
  <c r="DE74" i="5"/>
  <c r="DF74" i="5"/>
  <c r="DG74" i="5"/>
  <c r="DH74" i="5"/>
  <c r="DI74" i="5"/>
  <c r="DJ74" i="5"/>
  <c r="DK74" i="5"/>
  <c r="DL74" i="5"/>
  <c r="DM74" i="5"/>
  <c r="DN74" i="5"/>
  <c r="DO74" i="5"/>
  <c r="DP74" i="5"/>
  <c r="DQ74" i="5"/>
  <c r="DR74" i="5"/>
  <c r="DS74" i="5"/>
  <c r="DT74" i="5"/>
  <c r="DU74" i="5"/>
  <c r="DV74" i="5"/>
  <c r="DW74" i="5"/>
  <c r="DX74" i="5"/>
  <c r="DY74" i="5"/>
  <c r="DZ74" i="5"/>
  <c r="EA74" i="5"/>
  <c r="EB74" i="5"/>
  <c r="EC74" i="5"/>
  <c r="ED74" i="5"/>
  <c r="EE74" i="5"/>
  <c r="EF74" i="5"/>
  <c r="EG74" i="5"/>
  <c r="EH74" i="5"/>
  <c r="EI74" i="5"/>
  <c r="EJ74" i="5"/>
  <c r="EK74" i="5"/>
  <c r="EL74" i="5"/>
  <c r="EM74" i="5"/>
  <c r="EN74" i="5"/>
  <c r="EO74" i="5"/>
  <c r="EP74" i="5"/>
  <c r="EQ74" i="5"/>
  <c r="ER74" i="5"/>
  <c r="ES74" i="5"/>
  <c r="ET74" i="5"/>
  <c r="EU74" i="5"/>
  <c r="EV74" i="5"/>
  <c r="EW74" i="5"/>
  <c r="EX74" i="5"/>
  <c r="EY74" i="5"/>
  <c r="EZ74" i="5"/>
  <c r="FA74" i="5"/>
  <c r="FB74" i="5"/>
  <c r="FC74" i="5"/>
  <c r="FD74" i="5"/>
  <c r="FE74" i="5"/>
  <c r="FF74" i="5"/>
  <c r="FG74" i="5"/>
  <c r="FH74" i="5"/>
  <c r="FI74" i="5"/>
  <c r="FJ74" i="5"/>
  <c r="FK74" i="5"/>
  <c r="FL74" i="5"/>
  <c r="FM74" i="5"/>
  <c r="FN74" i="5"/>
  <c r="FO74" i="5"/>
  <c r="FP74" i="5"/>
  <c r="FQ74" i="5"/>
  <c r="FR74" i="5"/>
  <c r="FS74" i="5"/>
  <c r="FT74" i="5"/>
  <c r="FU74" i="5"/>
  <c r="FV74" i="5"/>
  <c r="FW74" i="5"/>
  <c r="FX74" i="5"/>
  <c r="FY74" i="5"/>
  <c r="FZ74" i="5"/>
  <c r="GA74" i="5"/>
  <c r="GB74" i="5"/>
  <c r="GC74" i="5"/>
  <c r="GD74" i="5"/>
  <c r="GE74" i="5"/>
  <c r="GF74" i="5"/>
  <c r="GG74" i="5"/>
  <c r="GH74" i="5"/>
  <c r="GI74" i="5"/>
  <c r="GJ74" i="5"/>
  <c r="GK74" i="5"/>
  <c r="GL74" i="5"/>
  <c r="GM74" i="5"/>
  <c r="GN74" i="5"/>
  <c r="GO74" i="5"/>
  <c r="GP74" i="5"/>
  <c r="GQ74" i="5"/>
  <c r="GR74" i="5"/>
  <c r="GS74" i="5"/>
  <c r="GT74" i="5"/>
  <c r="GU74" i="5"/>
  <c r="GV74" i="5"/>
  <c r="GW74" i="5"/>
  <c r="GX74" i="5"/>
  <c r="GY74" i="5"/>
  <c r="GZ74" i="5"/>
  <c r="HA74" i="5"/>
  <c r="HB74" i="5"/>
  <c r="HC74" i="5"/>
  <c r="HD74" i="5"/>
  <c r="HE74" i="5"/>
  <c r="HF74" i="5"/>
  <c r="HG74" i="5"/>
  <c r="HH74" i="5"/>
  <c r="HI74" i="5"/>
  <c r="HJ74" i="5"/>
  <c r="HK74" i="5"/>
  <c r="HL74" i="5"/>
  <c r="HM74" i="5"/>
  <c r="HN74" i="5"/>
  <c r="HO74" i="5"/>
  <c r="HP74" i="5"/>
  <c r="HQ74" i="5"/>
  <c r="HR74" i="5"/>
  <c r="HS74" i="5"/>
  <c r="HT74" i="5"/>
  <c r="HU74" i="5"/>
  <c r="HV74" i="5"/>
  <c r="HW74" i="5"/>
  <c r="HX74" i="5"/>
  <c r="HY74" i="5"/>
  <c r="HZ74" i="5"/>
  <c r="IA74" i="5"/>
  <c r="IB74" i="5"/>
  <c r="IC74" i="5"/>
  <c r="ID74" i="5"/>
  <c r="IE74" i="5"/>
  <c r="IF74" i="5"/>
  <c r="IG74" i="5"/>
  <c r="IH74" i="5"/>
  <c r="II74" i="5"/>
  <c r="IJ74" i="5"/>
  <c r="IK74" i="5"/>
  <c r="IL74" i="5"/>
  <c r="IM74" i="5"/>
  <c r="IN74" i="5"/>
  <c r="IO74" i="5"/>
  <c r="IP74" i="5"/>
  <c r="IQ74" i="5"/>
  <c r="IR74" i="5"/>
  <c r="IS74" i="5"/>
  <c r="IT74" i="5"/>
  <c r="IU74" i="5"/>
  <c r="IV74" i="5"/>
  <c r="A73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AR73" i="5"/>
  <c r="AS73" i="5"/>
  <c r="AT73" i="5"/>
  <c r="AU73" i="5"/>
  <c r="AV73" i="5"/>
  <c r="AW73" i="5"/>
  <c r="AX73" i="5"/>
  <c r="AY73" i="5"/>
  <c r="AZ73" i="5"/>
  <c r="BA73" i="5"/>
  <c r="BB73" i="5"/>
  <c r="BC73" i="5"/>
  <c r="BD73" i="5"/>
  <c r="BE73" i="5"/>
  <c r="BF73" i="5"/>
  <c r="BG73" i="5"/>
  <c r="BH73" i="5"/>
  <c r="BI73" i="5"/>
  <c r="BJ73" i="5"/>
  <c r="BK73" i="5"/>
  <c r="BL73" i="5"/>
  <c r="BM73" i="5"/>
  <c r="BN73" i="5"/>
  <c r="BO73" i="5"/>
  <c r="BP73" i="5"/>
  <c r="BQ73" i="5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CP73" i="5"/>
  <c r="CQ73" i="5"/>
  <c r="CR73" i="5"/>
  <c r="CS73" i="5"/>
  <c r="CT73" i="5"/>
  <c r="CU73" i="5"/>
  <c r="CV73" i="5"/>
  <c r="CW73" i="5"/>
  <c r="CX73" i="5"/>
  <c r="CY73" i="5"/>
  <c r="CZ73" i="5"/>
  <c r="DA73" i="5"/>
  <c r="DB73" i="5"/>
  <c r="DC73" i="5"/>
  <c r="DD73" i="5"/>
  <c r="DE73" i="5"/>
  <c r="DF73" i="5"/>
  <c r="DG73" i="5"/>
  <c r="DH73" i="5"/>
  <c r="DI73" i="5"/>
  <c r="DJ73" i="5"/>
  <c r="DK73" i="5"/>
  <c r="DL73" i="5"/>
  <c r="DM73" i="5"/>
  <c r="DN73" i="5"/>
  <c r="DO73" i="5"/>
  <c r="DP73" i="5"/>
  <c r="DQ73" i="5"/>
  <c r="DR73" i="5"/>
  <c r="DS73" i="5"/>
  <c r="DT73" i="5"/>
  <c r="DU73" i="5"/>
  <c r="DV73" i="5"/>
  <c r="DW73" i="5"/>
  <c r="DX73" i="5"/>
  <c r="DY73" i="5"/>
  <c r="DZ73" i="5"/>
  <c r="EA73" i="5"/>
  <c r="EB73" i="5"/>
  <c r="EC73" i="5"/>
  <c r="ED73" i="5"/>
  <c r="EE73" i="5"/>
  <c r="EF73" i="5"/>
  <c r="EG73" i="5"/>
  <c r="EH73" i="5"/>
  <c r="EI73" i="5"/>
  <c r="EJ73" i="5"/>
  <c r="EK73" i="5"/>
  <c r="EL73" i="5"/>
  <c r="EM73" i="5"/>
  <c r="EN73" i="5"/>
  <c r="EO73" i="5"/>
  <c r="EP73" i="5"/>
  <c r="EQ73" i="5"/>
  <c r="ER73" i="5"/>
  <c r="ES73" i="5"/>
  <c r="ET73" i="5"/>
  <c r="EU73" i="5"/>
  <c r="EV73" i="5"/>
  <c r="EW73" i="5"/>
  <c r="EX73" i="5"/>
  <c r="EY73" i="5"/>
  <c r="EZ73" i="5"/>
  <c r="FA73" i="5"/>
  <c r="FB73" i="5"/>
  <c r="FC73" i="5"/>
  <c r="FD73" i="5"/>
  <c r="FE73" i="5"/>
  <c r="FF73" i="5"/>
  <c r="FG73" i="5"/>
  <c r="FH73" i="5"/>
  <c r="FI73" i="5"/>
  <c r="FJ73" i="5"/>
  <c r="FK73" i="5"/>
  <c r="FL73" i="5"/>
  <c r="FM73" i="5"/>
  <c r="FN73" i="5"/>
  <c r="FO73" i="5"/>
  <c r="FP73" i="5"/>
  <c r="FQ73" i="5"/>
  <c r="FR73" i="5"/>
  <c r="FS73" i="5"/>
  <c r="FT73" i="5"/>
  <c r="FU73" i="5"/>
  <c r="FV73" i="5"/>
  <c r="FW73" i="5"/>
  <c r="FX73" i="5"/>
  <c r="FY73" i="5"/>
  <c r="FZ73" i="5"/>
  <c r="GA73" i="5"/>
  <c r="GB73" i="5"/>
  <c r="GC73" i="5"/>
  <c r="GD73" i="5"/>
  <c r="GE73" i="5"/>
  <c r="GF73" i="5"/>
  <c r="GG73" i="5"/>
  <c r="GH73" i="5"/>
  <c r="GI73" i="5"/>
  <c r="GJ73" i="5"/>
  <c r="GK73" i="5"/>
  <c r="GL73" i="5"/>
  <c r="GM73" i="5"/>
  <c r="GN73" i="5"/>
  <c r="GO73" i="5"/>
  <c r="GP73" i="5"/>
  <c r="GQ73" i="5"/>
  <c r="GR73" i="5"/>
  <c r="GS73" i="5"/>
  <c r="GT73" i="5"/>
  <c r="GU73" i="5"/>
  <c r="GV73" i="5"/>
  <c r="GW73" i="5"/>
  <c r="GX73" i="5"/>
  <c r="GY73" i="5"/>
  <c r="GZ73" i="5"/>
  <c r="HA73" i="5"/>
  <c r="HB73" i="5"/>
  <c r="HC73" i="5"/>
  <c r="HD73" i="5"/>
  <c r="HE73" i="5"/>
  <c r="HF73" i="5"/>
  <c r="HG73" i="5"/>
  <c r="HH73" i="5"/>
  <c r="HI73" i="5"/>
  <c r="HJ73" i="5"/>
  <c r="HK73" i="5"/>
  <c r="HL73" i="5"/>
  <c r="HM73" i="5"/>
  <c r="HN73" i="5"/>
  <c r="HO73" i="5"/>
  <c r="HP73" i="5"/>
  <c r="HQ73" i="5"/>
  <c r="HR73" i="5"/>
  <c r="HS73" i="5"/>
  <c r="HT73" i="5"/>
  <c r="HU73" i="5"/>
  <c r="HV73" i="5"/>
  <c r="HW73" i="5"/>
  <c r="HX73" i="5"/>
  <c r="HY73" i="5"/>
  <c r="HZ73" i="5"/>
  <c r="IA73" i="5"/>
  <c r="IB73" i="5"/>
  <c r="IC73" i="5"/>
  <c r="ID73" i="5"/>
  <c r="IE73" i="5"/>
  <c r="IF73" i="5"/>
  <c r="IG73" i="5"/>
  <c r="IH73" i="5"/>
  <c r="II73" i="5"/>
  <c r="IJ73" i="5"/>
  <c r="IK73" i="5"/>
  <c r="IL73" i="5"/>
  <c r="IM73" i="5"/>
  <c r="IN73" i="5"/>
  <c r="IO73" i="5"/>
  <c r="IP73" i="5"/>
  <c r="IQ73" i="5"/>
  <c r="IR73" i="5"/>
  <c r="IS73" i="5"/>
  <c r="IT73" i="5"/>
  <c r="IU73" i="5"/>
  <c r="IV73" i="5"/>
  <c r="A72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AR72" i="5"/>
  <c r="AS72" i="5"/>
  <c r="AT72" i="5"/>
  <c r="AU72" i="5"/>
  <c r="AV72" i="5"/>
  <c r="AW72" i="5"/>
  <c r="AX72" i="5"/>
  <c r="AY72" i="5"/>
  <c r="AZ72" i="5"/>
  <c r="BA72" i="5"/>
  <c r="BB72" i="5"/>
  <c r="BC72" i="5"/>
  <c r="BD72" i="5"/>
  <c r="BE72" i="5"/>
  <c r="BF72" i="5"/>
  <c r="BG72" i="5"/>
  <c r="BH72" i="5"/>
  <c r="BI72" i="5"/>
  <c r="BJ72" i="5"/>
  <c r="BK72" i="5"/>
  <c r="BL72" i="5"/>
  <c r="BM72" i="5"/>
  <c r="BN72" i="5"/>
  <c r="BO72" i="5"/>
  <c r="BP72" i="5"/>
  <c r="BQ72" i="5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CP72" i="5"/>
  <c r="CQ72" i="5"/>
  <c r="CR72" i="5"/>
  <c r="CS72" i="5"/>
  <c r="CT72" i="5"/>
  <c r="CU72" i="5"/>
  <c r="CV72" i="5"/>
  <c r="CW72" i="5"/>
  <c r="CX72" i="5"/>
  <c r="CY72" i="5"/>
  <c r="CZ72" i="5"/>
  <c r="DA72" i="5"/>
  <c r="DB72" i="5"/>
  <c r="DC72" i="5"/>
  <c r="DD72" i="5"/>
  <c r="DE72" i="5"/>
  <c r="DF72" i="5"/>
  <c r="DG72" i="5"/>
  <c r="DH72" i="5"/>
  <c r="DI72" i="5"/>
  <c r="DJ72" i="5"/>
  <c r="DK72" i="5"/>
  <c r="DL72" i="5"/>
  <c r="DM72" i="5"/>
  <c r="DN72" i="5"/>
  <c r="DO72" i="5"/>
  <c r="DP72" i="5"/>
  <c r="DQ72" i="5"/>
  <c r="DR72" i="5"/>
  <c r="DS72" i="5"/>
  <c r="DT72" i="5"/>
  <c r="DU72" i="5"/>
  <c r="DV72" i="5"/>
  <c r="DW72" i="5"/>
  <c r="DX72" i="5"/>
  <c r="DY72" i="5"/>
  <c r="DZ72" i="5"/>
  <c r="EA72" i="5"/>
  <c r="EB72" i="5"/>
  <c r="EC72" i="5"/>
  <c r="ED72" i="5"/>
  <c r="EE72" i="5"/>
  <c r="EF72" i="5"/>
  <c r="EG72" i="5"/>
  <c r="EH72" i="5"/>
  <c r="EI72" i="5"/>
  <c r="EJ72" i="5"/>
  <c r="EK72" i="5"/>
  <c r="EL72" i="5"/>
  <c r="EM72" i="5"/>
  <c r="EN72" i="5"/>
  <c r="EO72" i="5"/>
  <c r="EP72" i="5"/>
  <c r="EQ72" i="5"/>
  <c r="ER72" i="5"/>
  <c r="ES72" i="5"/>
  <c r="ET72" i="5"/>
  <c r="EU72" i="5"/>
  <c r="EV72" i="5"/>
  <c r="EW72" i="5"/>
  <c r="EX72" i="5"/>
  <c r="EY72" i="5"/>
  <c r="EZ72" i="5"/>
  <c r="FA72" i="5"/>
  <c r="FB72" i="5"/>
  <c r="FC72" i="5"/>
  <c r="FD72" i="5"/>
  <c r="FE72" i="5"/>
  <c r="FF72" i="5"/>
  <c r="FG72" i="5"/>
  <c r="FH72" i="5"/>
  <c r="FI72" i="5"/>
  <c r="FJ72" i="5"/>
  <c r="FK72" i="5"/>
  <c r="FL72" i="5"/>
  <c r="FM72" i="5"/>
  <c r="FN72" i="5"/>
  <c r="FO72" i="5"/>
  <c r="FP72" i="5"/>
  <c r="FQ72" i="5"/>
  <c r="FR72" i="5"/>
  <c r="FS72" i="5"/>
  <c r="FT72" i="5"/>
  <c r="FU72" i="5"/>
  <c r="FV72" i="5"/>
  <c r="FW72" i="5"/>
  <c r="FX72" i="5"/>
  <c r="FY72" i="5"/>
  <c r="FZ72" i="5"/>
  <c r="GA72" i="5"/>
  <c r="GB72" i="5"/>
  <c r="GC72" i="5"/>
  <c r="GD72" i="5"/>
  <c r="GE72" i="5"/>
  <c r="GF72" i="5"/>
  <c r="GG72" i="5"/>
  <c r="GH72" i="5"/>
  <c r="GI72" i="5"/>
  <c r="GJ72" i="5"/>
  <c r="GK72" i="5"/>
  <c r="GL72" i="5"/>
  <c r="GM72" i="5"/>
  <c r="GN72" i="5"/>
  <c r="GO72" i="5"/>
  <c r="GP72" i="5"/>
  <c r="GQ72" i="5"/>
  <c r="GR72" i="5"/>
  <c r="GS72" i="5"/>
  <c r="GT72" i="5"/>
  <c r="GU72" i="5"/>
  <c r="GV72" i="5"/>
  <c r="GW72" i="5"/>
  <c r="GX72" i="5"/>
  <c r="GY72" i="5"/>
  <c r="GZ72" i="5"/>
  <c r="HA72" i="5"/>
  <c r="HB72" i="5"/>
  <c r="HC72" i="5"/>
  <c r="HD72" i="5"/>
  <c r="HE72" i="5"/>
  <c r="HF72" i="5"/>
  <c r="HG72" i="5"/>
  <c r="HH72" i="5"/>
  <c r="HI72" i="5"/>
  <c r="HJ72" i="5"/>
  <c r="HK72" i="5"/>
  <c r="HL72" i="5"/>
  <c r="HM72" i="5"/>
  <c r="HN72" i="5"/>
  <c r="HO72" i="5"/>
  <c r="HP72" i="5"/>
  <c r="HQ72" i="5"/>
  <c r="HR72" i="5"/>
  <c r="HS72" i="5"/>
  <c r="HT72" i="5"/>
  <c r="HU72" i="5"/>
  <c r="HV72" i="5"/>
  <c r="HW72" i="5"/>
  <c r="HX72" i="5"/>
  <c r="HY72" i="5"/>
  <c r="HZ72" i="5"/>
  <c r="IA72" i="5"/>
  <c r="IB72" i="5"/>
  <c r="IC72" i="5"/>
  <c r="ID72" i="5"/>
  <c r="IE72" i="5"/>
  <c r="IF72" i="5"/>
  <c r="IG72" i="5"/>
  <c r="IH72" i="5"/>
  <c r="II72" i="5"/>
  <c r="IJ72" i="5"/>
  <c r="IK72" i="5"/>
  <c r="IL72" i="5"/>
  <c r="IM72" i="5"/>
  <c r="IN72" i="5"/>
  <c r="IO72" i="5"/>
  <c r="IP72" i="5"/>
  <c r="IQ72" i="5"/>
  <c r="IR72" i="5"/>
  <c r="IS72" i="5"/>
  <c r="IT72" i="5"/>
  <c r="IU72" i="5"/>
  <c r="IV72" i="5"/>
  <c r="A71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P71" i="5"/>
  <c r="CQ71" i="5"/>
  <c r="CR71" i="5"/>
  <c r="CS71" i="5"/>
  <c r="CT71" i="5"/>
  <c r="CU71" i="5"/>
  <c r="CV71" i="5"/>
  <c r="CW71" i="5"/>
  <c r="CX71" i="5"/>
  <c r="CY71" i="5"/>
  <c r="CZ71" i="5"/>
  <c r="DA71" i="5"/>
  <c r="DB71" i="5"/>
  <c r="DC71" i="5"/>
  <c r="DD71" i="5"/>
  <c r="DE71" i="5"/>
  <c r="DF71" i="5"/>
  <c r="DG71" i="5"/>
  <c r="DH71" i="5"/>
  <c r="DI71" i="5"/>
  <c r="DJ71" i="5"/>
  <c r="DK71" i="5"/>
  <c r="DL71" i="5"/>
  <c r="DM71" i="5"/>
  <c r="DN71" i="5"/>
  <c r="DO71" i="5"/>
  <c r="DP71" i="5"/>
  <c r="DQ71" i="5"/>
  <c r="DR71" i="5"/>
  <c r="DS71" i="5"/>
  <c r="DT71" i="5"/>
  <c r="DU71" i="5"/>
  <c r="DV71" i="5"/>
  <c r="DW71" i="5"/>
  <c r="DX71" i="5"/>
  <c r="DY71" i="5"/>
  <c r="DZ71" i="5"/>
  <c r="EA71" i="5"/>
  <c r="EB71" i="5"/>
  <c r="EC71" i="5"/>
  <c r="ED71" i="5"/>
  <c r="EE71" i="5"/>
  <c r="EF71" i="5"/>
  <c r="EG71" i="5"/>
  <c r="EH71" i="5"/>
  <c r="EI71" i="5"/>
  <c r="EJ71" i="5"/>
  <c r="EK71" i="5"/>
  <c r="EL71" i="5"/>
  <c r="EM71" i="5"/>
  <c r="EN71" i="5"/>
  <c r="EO71" i="5"/>
  <c r="EP71" i="5"/>
  <c r="EQ71" i="5"/>
  <c r="ER71" i="5"/>
  <c r="ES71" i="5"/>
  <c r="ET71" i="5"/>
  <c r="EU71" i="5"/>
  <c r="EV71" i="5"/>
  <c r="EW71" i="5"/>
  <c r="EX71" i="5"/>
  <c r="EY71" i="5"/>
  <c r="EZ71" i="5"/>
  <c r="FA71" i="5"/>
  <c r="FB71" i="5"/>
  <c r="FC71" i="5"/>
  <c r="FD71" i="5"/>
  <c r="FE71" i="5"/>
  <c r="FF71" i="5"/>
  <c r="FG71" i="5"/>
  <c r="FH71" i="5"/>
  <c r="FI71" i="5"/>
  <c r="FJ71" i="5"/>
  <c r="FK71" i="5"/>
  <c r="FL71" i="5"/>
  <c r="FM71" i="5"/>
  <c r="FN71" i="5"/>
  <c r="FO71" i="5"/>
  <c r="FP71" i="5"/>
  <c r="FQ71" i="5"/>
  <c r="FR71" i="5"/>
  <c r="FS71" i="5"/>
  <c r="FT71" i="5"/>
  <c r="FU71" i="5"/>
  <c r="FV71" i="5"/>
  <c r="FW71" i="5"/>
  <c r="FX71" i="5"/>
  <c r="FY71" i="5"/>
  <c r="FZ71" i="5"/>
  <c r="GA71" i="5"/>
  <c r="GB71" i="5"/>
  <c r="GC71" i="5"/>
  <c r="GD71" i="5"/>
  <c r="GE71" i="5"/>
  <c r="GF71" i="5"/>
  <c r="GG71" i="5"/>
  <c r="GH71" i="5"/>
  <c r="GI71" i="5"/>
  <c r="GJ71" i="5"/>
  <c r="GK71" i="5"/>
  <c r="GL71" i="5"/>
  <c r="GM71" i="5"/>
  <c r="GN71" i="5"/>
  <c r="GO71" i="5"/>
  <c r="GP71" i="5"/>
  <c r="GQ71" i="5"/>
  <c r="GR71" i="5"/>
  <c r="GS71" i="5"/>
  <c r="GT71" i="5"/>
  <c r="GU71" i="5"/>
  <c r="GV71" i="5"/>
  <c r="GW71" i="5"/>
  <c r="GX71" i="5"/>
  <c r="GY71" i="5"/>
  <c r="GZ71" i="5"/>
  <c r="HA71" i="5"/>
  <c r="HB71" i="5"/>
  <c r="HC71" i="5"/>
  <c r="HD71" i="5"/>
  <c r="HE71" i="5"/>
  <c r="HF71" i="5"/>
  <c r="HG71" i="5"/>
  <c r="HH71" i="5"/>
  <c r="HI71" i="5"/>
  <c r="HJ71" i="5"/>
  <c r="HK71" i="5"/>
  <c r="HL71" i="5"/>
  <c r="HM71" i="5"/>
  <c r="HN71" i="5"/>
  <c r="HO71" i="5"/>
  <c r="HP71" i="5"/>
  <c r="HQ71" i="5"/>
  <c r="HR71" i="5"/>
  <c r="HS71" i="5"/>
  <c r="HT71" i="5"/>
  <c r="HU71" i="5"/>
  <c r="HV71" i="5"/>
  <c r="HW71" i="5"/>
  <c r="HX71" i="5"/>
  <c r="HY71" i="5"/>
  <c r="HZ71" i="5"/>
  <c r="IA71" i="5"/>
  <c r="IB71" i="5"/>
  <c r="IC71" i="5"/>
  <c r="ID71" i="5"/>
  <c r="IE71" i="5"/>
  <c r="IF71" i="5"/>
  <c r="IG71" i="5"/>
  <c r="IH71" i="5"/>
  <c r="II71" i="5"/>
  <c r="IJ71" i="5"/>
  <c r="IK71" i="5"/>
  <c r="IL71" i="5"/>
  <c r="IM71" i="5"/>
  <c r="IN71" i="5"/>
  <c r="IO71" i="5"/>
  <c r="IP71" i="5"/>
  <c r="IQ71" i="5"/>
  <c r="IR71" i="5"/>
  <c r="IS71" i="5"/>
  <c r="IT71" i="5"/>
  <c r="IU71" i="5"/>
  <c r="IV71" i="5"/>
  <c r="A70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Q70" i="5"/>
  <c r="AR70" i="5"/>
  <c r="AS70" i="5"/>
  <c r="AT70" i="5"/>
  <c r="AU70" i="5"/>
  <c r="AV70" i="5"/>
  <c r="AW70" i="5"/>
  <c r="AX70" i="5"/>
  <c r="AY70" i="5"/>
  <c r="AZ70" i="5"/>
  <c r="BA70" i="5"/>
  <c r="BB70" i="5"/>
  <c r="BC70" i="5"/>
  <c r="BD70" i="5"/>
  <c r="BE70" i="5"/>
  <c r="BF70" i="5"/>
  <c r="BG70" i="5"/>
  <c r="BH70" i="5"/>
  <c r="BI70" i="5"/>
  <c r="BJ70" i="5"/>
  <c r="BK70" i="5"/>
  <c r="BL70" i="5"/>
  <c r="BM70" i="5"/>
  <c r="BN70" i="5"/>
  <c r="BO70" i="5"/>
  <c r="BP70" i="5"/>
  <c r="BQ70" i="5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P70" i="5"/>
  <c r="CQ70" i="5"/>
  <c r="CR70" i="5"/>
  <c r="CS70" i="5"/>
  <c r="CT70" i="5"/>
  <c r="CU70" i="5"/>
  <c r="CV70" i="5"/>
  <c r="CW70" i="5"/>
  <c r="CX70" i="5"/>
  <c r="CY70" i="5"/>
  <c r="CZ70" i="5"/>
  <c r="DA70" i="5"/>
  <c r="DB70" i="5"/>
  <c r="DC70" i="5"/>
  <c r="DD70" i="5"/>
  <c r="DE70" i="5"/>
  <c r="DF70" i="5"/>
  <c r="DG70" i="5"/>
  <c r="DH70" i="5"/>
  <c r="DI70" i="5"/>
  <c r="DJ70" i="5"/>
  <c r="DK70" i="5"/>
  <c r="DL70" i="5"/>
  <c r="DM70" i="5"/>
  <c r="DN70" i="5"/>
  <c r="DO70" i="5"/>
  <c r="DP70" i="5"/>
  <c r="DQ70" i="5"/>
  <c r="DR70" i="5"/>
  <c r="DS70" i="5"/>
  <c r="DT70" i="5"/>
  <c r="DU70" i="5"/>
  <c r="DV70" i="5"/>
  <c r="DW70" i="5"/>
  <c r="DX70" i="5"/>
  <c r="DY70" i="5"/>
  <c r="DZ70" i="5"/>
  <c r="EA70" i="5"/>
  <c r="EB70" i="5"/>
  <c r="EC70" i="5"/>
  <c r="ED70" i="5"/>
  <c r="EE70" i="5"/>
  <c r="EF70" i="5"/>
  <c r="EG70" i="5"/>
  <c r="EH70" i="5"/>
  <c r="EI70" i="5"/>
  <c r="EJ70" i="5"/>
  <c r="EK70" i="5"/>
  <c r="EL70" i="5"/>
  <c r="EM70" i="5"/>
  <c r="EN70" i="5"/>
  <c r="EO70" i="5"/>
  <c r="EP70" i="5"/>
  <c r="EQ70" i="5"/>
  <c r="ER70" i="5"/>
  <c r="ES70" i="5"/>
  <c r="ET70" i="5"/>
  <c r="EU70" i="5"/>
  <c r="EV70" i="5"/>
  <c r="EW70" i="5"/>
  <c r="EX70" i="5"/>
  <c r="EY70" i="5"/>
  <c r="EZ70" i="5"/>
  <c r="FA70" i="5"/>
  <c r="FB70" i="5"/>
  <c r="FC70" i="5"/>
  <c r="FD70" i="5"/>
  <c r="FE70" i="5"/>
  <c r="FF70" i="5"/>
  <c r="FG70" i="5"/>
  <c r="FH70" i="5"/>
  <c r="FI70" i="5"/>
  <c r="FJ70" i="5"/>
  <c r="FK70" i="5"/>
  <c r="FL70" i="5"/>
  <c r="FM70" i="5"/>
  <c r="FN70" i="5"/>
  <c r="FO70" i="5"/>
  <c r="FP70" i="5"/>
  <c r="FQ70" i="5"/>
  <c r="FR70" i="5"/>
  <c r="FS70" i="5"/>
  <c r="FT70" i="5"/>
  <c r="FU70" i="5"/>
  <c r="FV70" i="5"/>
  <c r="FW70" i="5"/>
  <c r="FX70" i="5"/>
  <c r="FY70" i="5"/>
  <c r="FZ70" i="5"/>
  <c r="GA70" i="5"/>
  <c r="GB70" i="5"/>
  <c r="GC70" i="5"/>
  <c r="GD70" i="5"/>
  <c r="GE70" i="5"/>
  <c r="GF70" i="5"/>
  <c r="GG70" i="5"/>
  <c r="GH70" i="5"/>
  <c r="GI70" i="5"/>
  <c r="GJ70" i="5"/>
  <c r="GK70" i="5"/>
  <c r="GL70" i="5"/>
  <c r="GM70" i="5"/>
  <c r="GN70" i="5"/>
  <c r="GO70" i="5"/>
  <c r="GP70" i="5"/>
  <c r="GQ70" i="5"/>
  <c r="GR70" i="5"/>
  <c r="GS70" i="5"/>
  <c r="GT70" i="5"/>
  <c r="GU70" i="5"/>
  <c r="GV70" i="5"/>
  <c r="GW70" i="5"/>
  <c r="GX70" i="5"/>
  <c r="GY70" i="5"/>
  <c r="GZ70" i="5"/>
  <c r="HA70" i="5"/>
  <c r="HB70" i="5"/>
  <c r="HC70" i="5"/>
  <c r="HD70" i="5"/>
  <c r="HE70" i="5"/>
  <c r="HF70" i="5"/>
  <c r="HG70" i="5"/>
  <c r="HH70" i="5"/>
  <c r="HI70" i="5"/>
  <c r="HJ70" i="5"/>
  <c r="HK70" i="5"/>
  <c r="HL70" i="5"/>
  <c r="HM70" i="5"/>
  <c r="HN70" i="5"/>
  <c r="HO70" i="5"/>
  <c r="HP70" i="5"/>
  <c r="HQ70" i="5"/>
  <c r="HR70" i="5"/>
  <c r="HS70" i="5"/>
  <c r="HT70" i="5"/>
  <c r="HU70" i="5"/>
  <c r="HV70" i="5"/>
  <c r="HW70" i="5"/>
  <c r="HX70" i="5"/>
  <c r="HY70" i="5"/>
  <c r="HZ70" i="5"/>
  <c r="IA70" i="5"/>
  <c r="IB70" i="5"/>
  <c r="IC70" i="5"/>
  <c r="ID70" i="5"/>
  <c r="IE70" i="5"/>
  <c r="IF70" i="5"/>
  <c r="IG70" i="5"/>
  <c r="IH70" i="5"/>
  <c r="II70" i="5"/>
  <c r="IJ70" i="5"/>
  <c r="IK70" i="5"/>
  <c r="IL70" i="5"/>
  <c r="IM70" i="5"/>
  <c r="IN70" i="5"/>
  <c r="IO70" i="5"/>
  <c r="IP70" i="5"/>
  <c r="IQ70" i="5"/>
  <c r="IR70" i="5"/>
  <c r="IS70" i="5"/>
  <c r="IT70" i="5"/>
  <c r="IU70" i="5"/>
  <c r="IV70" i="5"/>
  <c r="A69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AR69" i="5"/>
  <c r="AS69" i="5"/>
  <c r="AT69" i="5"/>
  <c r="AU69" i="5"/>
  <c r="AV69" i="5"/>
  <c r="AW69" i="5"/>
  <c r="AX69" i="5"/>
  <c r="AY69" i="5"/>
  <c r="AZ69" i="5"/>
  <c r="BA69" i="5"/>
  <c r="BB69" i="5"/>
  <c r="BC69" i="5"/>
  <c r="BD69" i="5"/>
  <c r="BE69" i="5"/>
  <c r="BF69" i="5"/>
  <c r="BG69" i="5"/>
  <c r="BH69" i="5"/>
  <c r="BI69" i="5"/>
  <c r="BJ69" i="5"/>
  <c r="BK69" i="5"/>
  <c r="BL69" i="5"/>
  <c r="BM69" i="5"/>
  <c r="BN69" i="5"/>
  <c r="BO69" i="5"/>
  <c r="BP69" i="5"/>
  <c r="BQ69" i="5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CP69" i="5"/>
  <c r="CQ69" i="5"/>
  <c r="CR69" i="5"/>
  <c r="CS69" i="5"/>
  <c r="CT69" i="5"/>
  <c r="CU69" i="5"/>
  <c r="CV69" i="5"/>
  <c r="CW69" i="5"/>
  <c r="CX69" i="5"/>
  <c r="CY69" i="5"/>
  <c r="CZ69" i="5"/>
  <c r="DA69" i="5"/>
  <c r="DB69" i="5"/>
  <c r="DC69" i="5"/>
  <c r="DD69" i="5"/>
  <c r="DE69" i="5"/>
  <c r="DF69" i="5"/>
  <c r="DG69" i="5"/>
  <c r="DH69" i="5"/>
  <c r="DI69" i="5"/>
  <c r="DJ69" i="5"/>
  <c r="DK69" i="5"/>
  <c r="DL69" i="5"/>
  <c r="DM69" i="5"/>
  <c r="DN69" i="5"/>
  <c r="DO69" i="5"/>
  <c r="DP69" i="5"/>
  <c r="DQ69" i="5"/>
  <c r="DR69" i="5"/>
  <c r="DS69" i="5"/>
  <c r="DT69" i="5"/>
  <c r="DU69" i="5"/>
  <c r="DV69" i="5"/>
  <c r="DW69" i="5"/>
  <c r="DX69" i="5"/>
  <c r="DY69" i="5"/>
  <c r="DZ69" i="5"/>
  <c r="EA69" i="5"/>
  <c r="EB69" i="5"/>
  <c r="EC69" i="5"/>
  <c r="ED69" i="5"/>
  <c r="EE69" i="5"/>
  <c r="EF69" i="5"/>
  <c r="EG69" i="5"/>
  <c r="EH69" i="5"/>
  <c r="EI69" i="5"/>
  <c r="EJ69" i="5"/>
  <c r="EK69" i="5"/>
  <c r="EL69" i="5"/>
  <c r="EM69" i="5"/>
  <c r="EN69" i="5"/>
  <c r="EO69" i="5"/>
  <c r="EP69" i="5"/>
  <c r="EQ69" i="5"/>
  <c r="ER69" i="5"/>
  <c r="ES69" i="5"/>
  <c r="ET69" i="5"/>
  <c r="EU69" i="5"/>
  <c r="EV69" i="5"/>
  <c r="EW69" i="5"/>
  <c r="EX69" i="5"/>
  <c r="EY69" i="5"/>
  <c r="EZ69" i="5"/>
  <c r="FA69" i="5"/>
  <c r="FB69" i="5"/>
  <c r="FC69" i="5"/>
  <c r="FD69" i="5"/>
  <c r="FE69" i="5"/>
  <c r="FF69" i="5"/>
  <c r="FG69" i="5"/>
  <c r="FH69" i="5"/>
  <c r="FI69" i="5"/>
  <c r="FJ69" i="5"/>
  <c r="FK69" i="5"/>
  <c r="FL69" i="5"/>
  <c r="FM69" i="5"/>
  <c r="FN69" i="5"/>
  <c r="FO69" i="5"/>
  <c r="FP69" i="5"/>
  <c r="FQ69" i="5"/>
  <c r="FR69" i="5"/>
  <c r="FS69" i="5"/>
  <c r="FT69" i="5"/>
  <c r="FU69" i="5"/>
  <c r="FV69" i="5"/>
  <c r="FW69" i="5"/>
  <c r="FX69" i="5"/>
  <c r="FY69" i="5"/>
  <c r="FZ69" i="5"/>
  <c r="GA69" i="5"/>
  <c r="GB69" i="5"/>
  <c r="GC69" i="5"/>
  <c r="GD69" i="5"/>
  <c r="GE69" i="5"/>
  <c r="GF69" i="5"/>
  <c r="GG69" i="5"/>
  <c r="GH69" i="5"/>
  <c r="GI69" i="5"/>
  <c r="GJ69" i="5"/>
  <c r="GK69" i="5"/>
  <c r="GL69" i="5"/>
  <c r="GM69" i="5"/>
  <c r="GN69" i="5"/>
  <c r="GO69" i="5"/>
  <c r="GP69" i="5"/>
  <c r="GQ69" i="5"/>
  <c r="GR69" i="5"/>
  <c r="GS69" i="5"/>
  <c r="GT69" i="5"/>
  <c r="GU69" i="5"/>
  <c r="GV69" i="5"/>
  <c r="GW69" i="5"/>
  <c r="GX69" i="5"/>
  <c r="GY69" i="5"/>
  <c r="GZ69" i="5"/>
  <c r="HA69" i="5"/>
  <c r="HB69" i="5"/>
  <c r="HC69" i="5"/>
  <c r="HD69" i="5"/>
  <c r="HE69" i="5"/>
  <c r="HF69" i="5"/>
  <c r="HG69" i="5"/>
  <c r="HH69" i="5"/>
  <c r="HI69" i="5"/>
  <c r="HJ69" i="5"/>
  <c r="HK69" i="5"/>
  <c r="HL69" i="5"/>
  <c r="HM69" i="5"/>
  <c r="HN69" i="5"/>
  <c r="HO69" i="5"/>
  <c r="HP69" i="5"/>
  <c r="HQ69" i="5"/>
  <c r="HR69" i="5"/>
  <c r="HS69" i="5"/>
  <c r="HT69" i="5"/>
  <c r="HU69" i="5"/>
  <c r="HV69" i="5"/>
  <c r="HW69" i="5"/>
  <c r="HX69" i="5"/>
  <c r="HY69" i="5"/>
  <c r="HZ69" i="5"/>
  <c r="IA69" i="5"/>
  <c r="IB69" i="5"/>
  <c r="IC69" i="5"/>
  <c r="ID69" i="5"/>
  <c r="IE69" i="5"/>
  <c r="IF69" i="5"/>
  <c r="IG69" i="5"/>
  <c r="IH69" i="5"/>
  <c r="II69" i="5"/>
  <c r="IJ69" i="5"/>
  <c r="IK69" i="5"/>
  <c r="IL69" i="5"/>
  <c r="IM69" i="5"/>
  <c r="IN69" i="5"/>
  <c r="IO69" i="5"/>
  <c r="IP69" i="5"/>
  <c r="IQ69" i="5"/>
  <c r="IR69" i="5"/>
  <c r="IS69" i="5"/>
  <c r="IT69" i="5"/>
  <c r="IU69" i="5"/>
  <c r="IV69" i="5"/>
  <c r="A68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AR68" i="5"/>
  <c r="AS68" i="5"/>
  <c r="AT68" i="5"/>
  <c r="AU68" i="5"/>
  <c r="AV68" i="5"/>
  <c r="AW68" i="5"/>
  <c r="AX68" i="5"/>
  <c r="AY68" i="5"/>
  <c r="AZ68" i="5"/>
  <c r="BA68" i="5"/>
  <c r="BB68" i="5"/>
  <c r="BC68" i="5"/>
  <c r="BD68" i="5"/>
  <c r="BE68" i="5"/>
  <c r="BF68" i="5"/>
  <c r="BG68" i="5"/>
  <c r="BH68" i="5"/>
  <c r="BI68" i="5"/>
  <c r="BJ68" i="5"/>
  <c r="BK68" i="5"/>
  <c r="BL68" i="5"/>
  <c r="BM68" i="5"/>
  <c r="BN68" i="5"/>
  <c r="BO68" i="5"/>
  <c r="BP68" i="5"/>
  <c r="BQ68" i="5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CP68" i="5"/>
  <c r="CQ68" i="5"/>
  <c r="CR68" i="5"/>
  <c r="CS68" i="5"/>
  <c r="CT68" i="5"/>
  <c r="CU68" i="5"/>
  <c r="CV68" i="5"/>
  <c r="CW68" i="5"/>
  <c r="CX68" i="5"/>
  <c r="CY68" i="5"/>
  <c r="CZ68" i="5"/>
  <c r="DA68" i="5"/>
  <c r="DB68" i="5"/>
  <c r="DC68" i="5"/>
  <c r="DD68" i="5"/>
  <c r="DE68" i="5"/>
  <c r="DF68" i="5"/>
  <c r="DG68" i="5"/>
  <c r="DH68" i="5"/>
  <c r="DI68" i="5"/>
  <c r="DJ68" i="5"/>
  <c r="DK68" i="5"/>
  <c r="DL68" i="5"/>
  <c r="DM68" i="5"/>
  <c r="DN68" i="5"/>
  <c r="DO68" i="5"/>
  <c r="DP68" i="5"/>
  <c r="DQ68" i="5"/>
  <c r="DR68" i="5"/>
  <c r="DS68" i="5"/>
  <c r="DT68" i="5"/>
  <c r="DU68" i="5"/>
  <c r="DV68" i="5"/>
  <c r="DW68" i="5"/>
  <c r="DX68" i="5"/>
  <c r="DY68" i="5"/>
  <c r="DZ68" i="5"/>
  <c r="EA68" i="5"/>
  <c r="EB68" i="5"/>
  <c r="EC68" i="5"/>
  <c r="ED68" i="5"/>
  <c r="EE68" i="5"/>
  <c r="EF68" i="5"/>
  <c r="EG68" i="5"/>
  <c r="EH68" i="5"/>
  <c r="EI68" i="5"/>
  <c r="EJ68" i="5"/>
  <c r="EK68" i="5"/>
  <c r="EL68" i="5"/>
  <c r="EM68" i="5"/>
  <c r="EN68" i="5"/>
  <c r="EO68" i="5"/>
  <c r="EP68" i="5"/>
  <c r="EQ68" i="5"/>
  <c r="ER68" i="5"/>
  <c r="ES68" i="5"/>
  <c r="ET68" i="5"/>
  <c r="EU68" i="5"/>
  <c r="EV68" i="5"/>
  <c r="EW68" i="5"/>
  <c r="EX68" i="5"/>
  <c r="EY68" i="5"/>
  <c r="EZ68" i="5"/>
  <c r="FA68" i="5"/>
  <c r="FB68" i="5"/>
  <c r="FC68" i="5"/>
  <c r="FD68" i="5"/>
  <c r="FE68" i="5"/>
  <c r="FF68" i="5"/>
  <c r="FG68" i="5"/>
  <c r="FH68" i="5"/>
  <c r="FI68" i="5"/>
  <c r="FJ68" i="5"/>
  <c r="FK68" i="5"/>
  <c r="FL68" i="5"/>
  <c r="FM68" i="5"/>
  <c r="FN68" i="5"/>
  <c r="FO68" i="5"/>
  <c r="FP68" i="5"/>
  <c r="FQ68" i="5"/>
  <c r="FR68" i="5"/>
  <c r="FS68" i="5"/>
  <c r="FT68" i="5"/>
  <c r="FU68" i="5"/>
  <c r="FV68" i="5"/>
  <c r="FW68" i="5"/>
  <c r="FX68" i="5"/>
  <c r="FY68" i="5"/>
  <c r="FZ68" i="5"/>
  <c r="GA68" i="5"/>
  <c r="GB68" i="5"/>
  <c r="GC68" i="5"/>
  <c r="GD68" i="5"/>
  <c r="GE68" i="5"/>
  <c r="GF68" i="5"/>
  <c r="GG68" i="5"/>
  <c r="GH68" i="5"/>
  <c r="GI68" i="5"/>
  <c r="GJ68" i="5"/>
  <c r="GK68" i="5"/>
  <c r="GL68" i="5"/>
  <c r="GM68" i="5"/>
  <c r="GN68" i="5"/>
  <c r="GO68" i="5"/>
  <c r="GP68" i="5"/>
  <c r="GQ68" i="5"/>
  <c r="GR68" i="5"/>
  <c r="GS68" i="5"/>
  <c r="GT68" i="5"/>
  <c r="GU68" i="5"/>
  <c r="GV68" i="5"/>
  <c r="GW68" i="5"/>
  <c r="GX68" i="5"/>
  <c r="GY68" i="5"/>
  <c r="GZ68" i="5"/>
  <c r="HA68" i="5"/>
  <c r="HB68" i="5"/>
  <c r="HC68" i="5"/>
  <c r="HD68" i="5"/>
  <c r="HE68" i="5"/>
  <c r="HF68" i="5"/>
  <c r="HG68" i="5"/>
  <c r="HH68" i="5"/>
  <c r="HI68" i="5"/>
  <c r="HJ68" i="5"/>
  <c r="HK68" i="5"/>
  <c r="HL68" i="5"/>
  <c r="HM68" i="5"/>
  <c r="HN68" i="5"/>
  <c r="HO68" i="5"/>
  <c r="HP68" i="5"/>
  <c r="HQ68" i="5"/>
  <c r="HR68" i="5"/>
  <c r="HS68" i="5"/>
  <c r="HT68" i="5"/>
  <c r="HU68" i="5"/>
  <c r="HV68" i="5"/>
  <c r="HW68" i="5"/>
  <c r="HX68" i="5"/>
  <c r="HY68" i="5"/>
  <c r="HZ68" i="5"/>
  <c r="IA68" i="5"/>
  <c r="IB68" i="5"/>
  <c r="IC68" i="5"/>
  <c r="ID68" i="5"/>
  <c r="IE68" i="5"/>
  <c r="IF68" i="5"/>
  <c r="IG68" i="5"/>
  <c r="IH68" i="5"/>
  <c r="II68" i="5"/>
  <c r="IJ68" i="5"/>
  <c r="IK68" i="5"/>
  <c r="IL68" i="5"/>
  <c r="IM68" i="5"/>
  <c r="IN68" i="5"/>
  <c r="IO68" i="5"/>
  <c r="IP68" i="5"/>
  <c r="IQ68" i="5"/>
  <c r="IR68" i="5"/>
  <c r="IS68" i="5"/>
  <c r="IT68" i="5"/>
  <c r="IU68" i="5"/>
  <c r="IV68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AS67" i="5"/>
  <c r="AT67" i="5"/>
  <c r="AU67" i="5"/>
  <c r="AV67" i="5"/>
  <c r="AW67" i="5"/>
  <c r="AX67" i="5"/>
  <c r="AY67" i="5"/>
  <c r="AZ67" i="5"/>
  <c r="BA67" i="5"/>
  <c r="BB67" i="5"/>
  <c r="BC67" i="5"/>
  <c r="BD67" i="5"/>
  <c r="BE67" i="5"/>
  <c r="BF67" i="5"/>
  <c r="BG67" i="5"/>
  <c r="BH67" i="5"/>
  <c r="BI67" i="5"/>
  <c r="BJ67" i="5"/>
  <c r="BK67" i="5"/>
  <c r="BL67" i="5"/>
  <c r="BM67" i="5"/>
  <c r="BN67" i="5"/>
  <c r="BO67" i="5"/>
  <c r="BP67" i="5"/>
  <c r="BQ67" i="5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CP67" i="5"/>
  <c r="CQ67" i="5"/>
  <c r="CR67" i="5"/>
  <c r="CS67" i="5"/>
  <c r="CT67" i="5"/>
  <c r="CU67" i="5"/>
  <c r="CV67" i="5"/>
  <c r="CW67" i="5"/>
  <c r="CX67" i="5"/>
  <c r="CY67" i="5"/>
  <c r="CZ67" i="5"/>
  <c r="DA67" i="5"/>
  <c r="DB67" i="5"/>
  <c r="DC67" i="5"/>
  <c r="DD67" i="5"/>
  <c r="DE67" i="5"/>
  <c r="DF67" i="5"/>
  <c r="DG67" i="5"/>
  <c r="DH67" i="5"/>
  <c r="DI67" i="5"/>
  <c r="DJ67" i="5"/>
  <c r="DK67" i="5"/>
  <c r="DL67" i="5"/>
  <c r="DM67" i="5"/>
  <c r="DN67" i="5"/>
  <c r="DO67" i="5"/>
  <c r="DP67" i="5"/>
  <c r="DQ67" i="5"/>
  <c r="DR67" i="5"/>
  <c r="DS67" i="5"/>
  <c r="DT67" i="5"/>
  <c r="DU67" i="5"/>
  <c r="DV67" i="5"/>
  <c r="DW67" i="5"/>
  <c r="DX67" i="5"/>
  <c r="DY67" i="5"/>
  <c r="DZ67" i="5"/>
  <c r="EA67" i="5"/>
  <c r="EB67" i="5"/>
  <c r="EC67" i="5"/>
  <c r="ED67" i="5"/>
  <c r="EE67" i="5"/>
  <c r="EF67" i="5"/>
  <c r="EG67" i="5"/>
  <c r="EH67" i="5"/>
  <c r="EI67" i="5"/>
  <c r="EJ67" i="5"/>
  <c r="EK67" i="5"/>
  <c r="EL67" i="5"/>
  <c r="EM67" i="5"/>
  <c r="EN67" i="5"/>
  <c r="EO67" i="5"/>
  <c r="EP67" i="5"/>
  <c r="EQ67" i="5"/>
  <c r="ER67" i="5"/>
  <c r="ES67" i="5"/>
  <c r="ET67" i="5"/>
  <c r="EU67" i="5"/>
  <c r="EV67" i="5"/>
  <c r="EW67" i="5"/>
  <c r="EX67" i="5"/>
  <c r="EY67" i="5"/>
  <c r="EZ67" i="5"/>
  <c r="FA67" i="5"/>
  <c r="FB67" i="5"/>
  <c r="FC67" i="5"/>
  <c r="FD67" i="5"/>
  <c r="FE67" i="5"/>
  <c r="FF67" i="5"/>
  <c r="FG67" i="5"/>
  <c r="FH67" i="5"/>
  <c r="FI67" i="5"/>
  <c r="FJ67" i="5"/>
  <c r="FK67" i="5"/>
  <c r="FL67" i="5"/>
  <c r="FM67" i="5"/>
  <c r="FN67" i="5"/>
  <c r="FO67" i="5"/>
  <c r="FP67" i="5"/>
  <c r="FQ67" i="5"/>
  <c r="FR67" i="5"/>
  <c r="FS67" i="5"/>
  <c r="FT67" i="5"/>
  <c r="FU67" i="5"/>
  <c r="FV67" i="5"/>
  <c r="FW67" i="5"/>
  <c r="FX67" i="5"/>
  <c r="FY67" i="5"/>
  <c r="FZ67" i="5"/>
  <c r="GA67" i="5"/>
  <c r="GB67" i="5"/>
  <c r="GC67" i="5"/>
  <c r="GD67" i="5"/>
  <c r="GE67" i="5"/>
  <c r="GF67" i="5"/>
  <c r="GG67" i="5"/>
  <c r="GH67" i="5"/>
  <c r="GI67" i="5"/>
  <c r="GJ67" i="5"/>
  <c r="GK67" i="5"/>
  <c r="GL67" i="5"/>
  <c r="GM67" i="5"/>
  <c r="GN67" i="5"/>
  <c r="GO67" i="5"/>
  <c r="GP67" i="5"/>
  <c r="GQ67" i="5"/>
  <c r="GR67" i="5"/>
  <c r="GS67" i="5"/>
  <c r="GT67" i="5"/>
  <c r="GU67" i="5"/>
  <c r="GV67" i="5"/>
  <c r="GW67" i="5"/>
  <c r="GX67" i="5"/>
  <c r="GY67" i="5"/>
  <c r="GZ67" i="5"/>
  <c r="HA67" i="5"/>
  <c r="HB67" i="5"/>
  <c r="HC67" i="5"/>
  <c r="HD67" i="5"/>
  <c r="HE67" i="5"/>
  <c r="HF67" i="5"/>
  <c r="HG67" i="5"/>
  <c r="HH67" i="5"/>
  <c r="HI67" i="5"/>
  <c r="HJ67" i="5"/>
  <c r="HK67" i="5"/>
  <c r="HL67" i="5"/>
  <c r="HM67" i="5"/>
  <c r="HN67" i="5"/>
  <c r="HO67" i="5"/>
  <c r="HP67" i="5"/>
  <c r="HQ67" i="5"/>
  <c r="HR67" i="5"/>
  <c r="HS67" i="5"/>
  <c r="HT67" i="5"/>
  <c r="HU67" i="5"/>
  <c r="HV67" i="5"/>
  <c r="HW67" i="5"/>
  <c r="HX67" i="5"/>
  <c r="HY67" i="5"/>
  <c r="HZ67" i="5"/>
  <c r="IA67" i="5"/>
  <c r="IB67" i="5"/>
  <c r="IC67" i="5"/>
  <c r="ID67" i="5"/>
  <c r="IE67" i="5"/>
  <c r="IF67" i="5"/>
  <c r="IG67" i="5"/>
  <c r="IH67" i="5"/>
  <c r="II67" i="5"/>
  <c r="IJ67" i="5"/>
  <c r="IK67" i="5"/>
  <c r="IL67" i="5"/>
  <c r="IM67" i="5"/>
  <c r="IN67" i="5"/>
  <c r="IO67" i="5"/>
  <c r="IP67" i="5"/>
  <c r="IQ67" i="5"/>
  <c r="IR67" i="5"/>
  <c r="IS67" i="5"/>
  <c r="IT67" i="5"/>
  <c r="IU67" i="5"/>
  <c r="IV67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BL66" i="5"/>
  <c r="BM66" i="5"/>
  <c r="BN66" i="5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CP66" i="5"/>
  <c r="CQ66" i="5"/>
  <c r="CR66" i="5"/>
  <c r="CS66" i="5"/>
  <c r="CT66" i="5"/>
  <c r="CU66" i="5"/>
  <c r="CV66" i="5"/>
  <c r="CW66" i="5"/>
  <c r="CX66" i="5"/>
  <c r="CY66" i="5"/>
  <c r="CZ66" i="5"/>
  <c r="DA66" i="5"/>
  <c r="DB66" i="5"/>
  <c r="DC66" i="5"/>
  <c r="DD66" i="5"/>
  <c r="DE66" i="5"/>
  <c r="DF66" i="5"/>
  <c r="DG66" i="5"/>
  <c r="DH66" i="5"/>
  <c r="DI66" i="5"/>
  <c r="DJ66" i="5"/>
  <c r="DK66" i="5"/>
  <c r="DL66" i="5"/>
  <c r="DM66" i="5"/>
  <c r="DN66" i="5"/>
  <c r="DO66" i="5"/>
  <c r="DP66" i="5"/>
  <c r="DQ66" i="5"/>
  <c r="DR66" i="5"/>
  <c r="DS66" i="5"/>
  <c r="DT66" i="5"/>
  <c r="DU66" i="5"/>
  <c r="DV66" i="5"/>
  <c r="DW66" i="5"/>
  <c r="DX66" i="5"/>
  <c r="DY66" i="5"/>
  <c r="DZ66" i="5"/>
  <c r="EA66" i="5"/>
  <c r="EB66" i="5"/>
  <c r="EC66" i="5"/>
  <c r="ED66" i="5"/>
  <c r="EE66" i="5"/>
  <c r="EF66" i="5"/>
  <c r="EG66" i="5"/>
  <c r="EH66" i="5"/>
  <c r="EI66" i="5"/>
  <c r="EJ66" i="5"/>
  <c r="EK66" i="5"/>
  <c r="EL66" i="5"/>
  <c r="EM66" i="5"/>
  <c r="EN66" i="5"/>
  <c r="EO66" i="5"/>
  <c r="EP66" i="5"/>
  <c r="EQ66" i="5"/>
  <c r="ER66" i="5"/>
  <c r="ES66" i="5"/>
  <c r="ET66" i="5"/>
  <c r="EU66" i="5"/>
  <c r="EV66" i="5"/>
  <c r="EW66" i="5"/>
  <c r="EX66" i="5"/>
  <c r="EY66" i="5"/>
  <c r="EZ66" i="5"/>
  <c r="FA66" i="5"/>
  <c r="FB66" i="5"/>
  <c r="FC66" i="5"/>
  <c r="FD66" i="5"/>
  <c r="FE66" i="5"/>
  <c r="FF66" i="5"/>
  <c r="FG66" i="5"/>
  <c r="FH66" i="5"/>
  <c r="FI66" i="5"/>
  <c r="FJ66" i="5"/>
  <c r="FK66" i="5"/>
  <c r="FL66" i="5"/>
  <c r="FM66" i="5"/>
  <c r="FN66" i="5"/>
  <c r="FO66" i="5"/>
  <c r="FP66" i="5"/>
  <c r="FQ66" i="5"/>
  <c r="FR66" i="5"/>
  <c r="FS66" i="5"/>
  <c r="FT66" i="5"/>
  <c r="FU66" i="5"/>
  <c r="FV66" i="5"/>
  <c r="FW66" i="5"/>
  <c r="FX66" i="5"/>
  <c r="FY66" i="5"/>
  <c r="FZ66" i="5"/>
  <c r="GA66" i="5"/>
  <c r="GB66" i="5"/>
  <c r="GC66" i="5"/>
  <c r="GD66" i="5"/>
  <c r="GE66" i="5"/>
  <c r="GF66" i="5"/>
  <c r="GG66" i="5"/>
  <c r="GH66" i="5"/>
  <c r="GI66" i="5"/>
  <c r="GJ66" i="5"/>
  <c r="GK66" i="5"/>
  <c r="GL66" i="5"/>
  <c r="GM66" i="5"/>
  <c r="GN66" i="5"/>
  <c r="GO66" i="5"/>
  <c r="GP66" i="5"/>
  <c r="GQ66" i="5"/>
  <c r="GR66" i="5"/>
  <c r="GS66" i="5"/>
  <c r="GT66" i="5"/>
  <c r="GU66" i="5"/>
  <c r="GV66" i="5"/>
  <c r="GW66" i="5"/>
  <c r="GX66" i="5"/>
  <c r="GY66" i="5"/>
  <c r="GZ66" i="5"/>
  <c r="HA66" i="5"/>
  <c r="HB66" i="5"/>
  <c r="HC66" i="5"/>
  <c r="HD66" i="5"/>
  <c r="HE66" i="5"/>
  <c r="HF66" i="5"/>
  <c r="HG66" i="5"/>
  <c r="HH66" i="5"/>
  <c r="HI66" i="5"/>
  <c r="HJ66" i="5"/>
  <c r="HK66" i="5"/>
  <c r="HL66" i="5"/>
  <c r="HM66" i="5"/>
  <c r="HN66" i="5"/>
  <c r="HO66" i="5"/>
  <c r="HP66" i="5"/>
  <c r="HQ66" i="5"/>
  <c r="HR66" i="5"/>
  <c r="HS66" i="5"/>
  <c r="HT66" i="5"/>
  <c r="HU66" i="5"/>
  <c r="HV66" i="5"/>
  <c r="HW66" i="5"/>
  <c r="HX66" i="5"/>
  <c r="HY66" i="5"/>
  <c r="HZ66" i="5"/>
  <c r="IA66" i="5"/>
  <c r="IB66" i="5"/>
  <c r="IC66" i="5"/>
  <c r="ID66" i="5"/>
  <c r="IE66" i="5"/>
  <c r="IF66" i="5"/>
  <c r="IG66" i="5"/>
  <c r="IH66" i="5"/>
  <c r="II66" i="5"/>
  <c r="IJ66" i="5"/>
  <c r="IK66" i="5"/>
  <c r="IL66" i="5"/>
  <c r="IM66" i="5"/>
  <c r="IN66" i="5"/>
  <c r="IO66" i="5"/>
  <c r="IP66" i="5"/>
  <c r="IQ66" i="5"/>
  <c r="IR66" i="5"/>
  <c r="IS66" i="5"/>
  <c r="IT66" i="5"/>
  <c r="IU66" i="5"/>
  <c r="IV66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AS65" i="5"/>
  <c r="AT65" i="5"/>
  <c r="AU65" i="5"/>
  <c r="AV65" i="5"/>
  <c r="AW65" i="5"/>
  <c r="AX65" i="5"/>
  <c r="AY65" i="5"/>
  <c r="AZ65" i="5"/>
  <c r="BA65" i="5"/>
  <c r="BB65" i="5"/>
  <c r="BC65" i="5"/>
  <c r="BD65" i="5"/>
  <c r="BE65" i="5"/>
  <c r="BF65" i="5"/>
  <c r="BG65" i="5"/>
  <c r="BH65" i="5"/>
  <c r="BI65" i="5"/>
  <c r="BJ65" i="5"/>
  <c r="BK65" i="5"/>
  <c r="BL65" i="5"/>
  <c r="BM65" i="5"/>
  <c r="BN65" i="5"/>
  <c r="BO65" i="5"/>
  <c r="BP65" i="5"/>
  <c r="BQ65" i="5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CP65" i="5"/>
  <c r="CQ65" i="5"/>
  <c r="CR65" i="5"/>
  <c r="CS65" i="5"/>
  <c r="CT65" i="5"/>
  <c r="CU65" i="5"/>
  <c r="CV65" i="5"/>
  <c r="CW65" i="5"/>
  <c r="CX65" i="5"/>
  <c r="CY65" i="5"/>
  <c r="CZ65" i="5"/>
  <c r="DA65" i="5"/>
  <c r="DB65" i="5"/>
  <c r="DC65" i="5"/>
  <c r="DD65" i="5"/>
  <c r="DE65" i="5"/>
  <c r="DF65" i="5"/>
  <c r="DG65" i="5"/>
  <c r="DH65" i="5"/>
  <c r="DI65" i="5"/>
  <c r="DJ65" i="5"/>
  <c r="DK65" i="5"/>
  <c r="DL65" i="5"/>
  <c r="DM65" i="5"/>
  <c r="DN65" i="5"/>
  <c r="DO65" i="5"/>
  <c r="DP65" i="5"/>
  <c r="DQ65" i="5"/>
  <c r="DR65" i="5"/>
  <c r="DS65" i="5"/>
  <c r="DT65" i="5"/>
  <c r="DU65" i="5"/>
  <c r="DV65" i="5"/>
  <c r="DW65" i="5"/>
  <c r="DX65" i="5"/>
  <c r="DY65" i="5"/>
  <c r="DZ65" i="5"/>
  <c r="EA65" i="5"/>
  <c r="EB65" i="5"/>
  <c r="EC65" i="5"/>
  <c r="ED65" i="5"/>
  <c r="EE65" i="5"/>
  <c r="EF65" i="5"/>
  <c r="EG65" i="5"/>
  <c r="EH65" i="5"/>
  <c r="EI65" i="5"/>
  <c r="EJ65" i="5"/>
  <c r="EK65" i="5"/>
  <c r="EL65" i="5"/>
  <c r="EM65" i="5"/>
  <c r="EN65" i="5"/>
  <c r="EO65" i="5"/>
  <c r="EP65" i="5"/>
  <c r="EQ65" i="5"/>
  <c r="ER65" i="5"/>
  <c r="ES65" i="5"/>
  <c r="ET65" i="5"/>
  <c r="EU65" i="5"/>
  <c r="EV65" i="5"/>
  <c r="EW65" i="5"/>
  <c r="EX65" i="5"/>
  <c r="EY65" i="5"/>
  <c r="EZ65" i="5"/>
  <c r="FA65" i="5"/>
  <c r="FB65" i="5"/>
  <c r="FC65" i="5"/>
  <c r="FD65" i="5"/>
  <c r="FE65" i="5"/>
  <c r="FF65" i="5"/>
  <c r="FG65" i="5"/>
  <c r="FH65" i="5"/>
  <c r="FI65" i="5"/>
  <c r="FJ65" i="5"/>
  <c r="FK65" i="5"/>
  <c r="FL65" i="5"/>
  <c r="FM65" i="5"/>
  <c r="FN65" i="5"/>
  <c r="FO65" i="5"/>
  <c r="FP65" i="5"/>
  <c r="FQ65" i="5"/>
  <c r="FR65" i="5"/>
  <c r="FS65" i="5"/>
  <c r="FT65" i="5"/>
  <c r="FU65" i="5"/>
  <c r="FV65" i="5"/>
  <c r="FW65" i="5"/>
  <c r="FX65" i="5"/>
  <c r="FY65" i="5"/>
  <c r="FZ65" i="5"/>
  <c r="GA65" i="5"/>
  <c r="GB65" i="5"/>
  <c r="GC65" i="5"/>
  <c r="GD65" i="5"/>
  <c r="GE65" i="5"/>
  <c r="GF65" i="5"/>
  <c r="GG65" i="5"/>
  <c r="GH65" i="5"/>
  <c r="GI65" i="5"/>
  <c r="GJ65" i="5"/>
  <c r="GK65" i="5"/>
  <c r="GL65" i="5"/>
  <c r="GM65" i="5"/>
  <c r="GN65" i="5"/>
  <c r="GO65" i="5"/>
  <c r="GP65" i="5"/>
  <c r="GQ65" i="5"/>
  <c r="GR65" i="5"/>
  <c r="GS65" i="5"/>
  <c r="GT65" i="5"/>
  <c r="GU65" i="5"/>
  <c r="GV65" i="5"/>
  <c r="GW65" i="5"/>
  <c r="GX65" i="5"/>
  <c r="GY65" i="5"/>
  <c r="GZ65" i="5"/>
  <c r="HA65" i="5"/>
  <c r="HB65" i="5"/>
  <c r="HC65" i="5"/>
  <c r="HD65" i="5"/>
  <c r="HE65" i="5"/>
  <c r="HF65" i="5"/>
  <c r="HG65" i="5"/>
  <c r="HH65" i="5"/>
  <c r="HI65" i="5"/>
  <c r="HJ65" i="5"/>
  <c r="HK65" i="5"/>
  <c r="HL65" i="5"/>
  <c r="HM65" i="5"/>
  <c r="HN65" i="5"/>
  <c r="HO65" i="5"/>
  <c r="HP65" i="5"/>
  <c r="HQ65" i="5"/>
  <c r="HR65" i="5"/>
  <c r="HS65" i="5"/>
  <c r="HT65" i="5"/>
  <c r="HU65" i="5"/>
  <c r="HV65" i="5"/>
  <c r="HW65" i="5"/>
  <c r="HX65" i="5"/>
  <c r="HY65" i="5"/>
  <c r="HZ65" i="5"/>
  <c r="IA65" i="5"/>
  <c r="IB65" i="5"/>
  <c r="IC65" i="5"/>
  <c r="ID65" i="5"/>
  <c r="IE65" i="5"/>
  <c r="IF65" i="5"/>
  <c r="IG65" i="5"/>
  <c r="IH65" i="5"/>
  <c r="II65" i="5"/>
  <c r="IJ65" i="5"/>
  <c r="IK65" i="5"/>
  <c r="IL65" i="5"/>
  <c r="IM65" i="5"/>
  <c r="IN65" i="5"/>
  <c r="IO65" i="5"/>
  <c r="IP65" i="5"/>
  <c r="IQ65" i="5"/>
  <c r="IR65" i="5"/>
  <c r="IS65" i="5"/>
  <c r="IT65" i="5"/>
  <c r="IU65" i="5"/>
  <c r="IV65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BD64" i="5"/>
  <c r="BE64" i="5"/>
  <c r="BF64" i="5"/>
  <c r="BG64" i="5"/>
  <c r="BH64" i="5"/>
  <c r="BI64" i="5"/>
  <c r="BJ64" i="5"/>
  <c r="BK64" i="5"/>
  <c r="BL64" i="5"/>
  <c r="BM64" i="5"/>
  <c r="BN64" i="5"/>
  <c r="BO64" i="5"/>
  <c r="BP64" i="5"/>
  <c r="BQ64" i="5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CP64" i="5"/>
  <c r="CQ64" i="5"/>
  <c r="CR64" i="5"/>
  <c r="CS64" i="5"/>
  <c r="CT64" i="5"/>
  <c r="CU64" i="5"/>
  <c r="CV64" i="5"/>
  <c r="CW64" i="5"/>
  <c r="CX64" i="5"/>
  <c r="CY64" i="5"/>
  <c r="CZ64" i="5"/>
  <c r="DA64" i="5"/>
  <c r="DB64" i="5"/>
  <c r="DC64" i="5"/>
  <c r="DD64" i="5"/>
  <c r="DE64" i="5"/>
  <c r="DF64" i="5"/>
  <c r="DG64" i="5"/>
  <c r="DH64" i="5"/>
  <c r="DI64" i="5"/>
  <c r="DJ64" i="5"/>
  <c r="DK64" i="5"/>
  <c r="DL64" i="5"/>
  <c r="DM64" i="5"/>
  <c r="DN64" i="5"/>
  <c r="DO64" i="5"/>
  <c r="DP64" i="5"/>
  <c r="DQ64" i="5"/>
  <c r="DR64" i="5"/>
  <c r="DS64" i="5"/>
  <c r="DT64" i="5"/>
  <c r="DU64" i="5"/>
  <c r="DV64" i="5"/>
  <c r="DW64" i="5"/>
  <c r="DX64" i="5"/>
  <c r="DY64" i="5"/>
  <c r="DZ64" i="5"/>
  <c r="EA64" i="5"/>
  <c r="EB64" i="5"/>
  <c r="EC64" i="5"/>
  <c r="ED64" i="5"/>
  <c r="EE64" i="5"/>
  <c r="EF64" i="5"/>
  <c r="EG64" i="5"/>
  <c r="EH64" i="5"/>
  <c r="EI64" i="5"/>
  <c r="EJ64" i="5"/>
  <c r="EK64" i="5"/>
  <c r="EL64" i="5"/>
  <c r="EM64" i="5"/>
  <c r="EN64" i="5"/>
  <c r="EO64" i="5"/>
  <c r="EP64" i="5"/>
  <c r="EQ64" i="5"/>
  <c r="ER64" i="5"/>
  <c r="ES64" i="5"/>
  <c r="ET64" i="5"/>
  <c r="EU64" i="5"/>
  <c r="EV64" i="5"/>
  <c r="EW64" i="5"/>
  <c r="EX64" i="5"/>
  <c r="EY64" i="5"/>
  <c r="EZ64" i="5"/>
  <c r="FA64" i="5"/>
  <c r="FB64" i="5"/>
  <c r="FC64" i="5"/>
  <c r="FD64" i="5"/>
  <c r="FE64" i="5"/>
  <c r="FF64" i="5"/>
  <c r="FG64" i="5"/>
  <c r="FH64" i="5"/>
  <c r="FI64" i="5"/>
  <c r="FJ64" i="5"/>
  <c r="FK64" i="5"/>
  <c r="FL64" i="5"/>
  <c r="FM64" i="5"/>
  <c r="FN64" i="5"/>
  <c r="FO64" i="5"/>
  <c r="FP64" i="5"/>
  <c r="FQ64" i="5"/>
  <c r="FR64" i="5"/>
  <c r="FS64" i="5"/>
  <c r="FT64" i="5"/>
  <c r="FU64" i="5"/>
  <c r="FV64" i="5"/>
  <c r="FW64" i="5"/>
  <c r="FX64" i="5"/>
  <c r="FY64" i="5"/>
  <c r="FZ64" i="5"/>
  <c r="GA64" i="5"/>
  <c r="GB64" i="5"/>
  <c r="GC64" i="5"/>
  <c r="GD64" i="5"/>
  <c r="GE64" i="5"/>
  <c r="GF64" i="5"/>
  <c r="GG64" i="5"/>
  <c r="GH64" i="5"/>
  <c r="GI64" i="5"/>
  <c r="GJ64" i="5"/>
  <c r="GK64" i="5"/>
  <c r="GL64" i="5"/>
  <c r="GM64" i="5"/>
  <c r="GN64" i="5"/>
  <c r="GO64" i="5"/>
  <c r="GP64" i="5"/>
  <c r="GQ64" i="5"/>
  <c r="GR64" i="5"/>
  <c r="GS64" i="5"/>
  <c r="GT64" i="5"/>
  <c r="GU64" i="5"/>
  <c r="GV64" i="5"/>
  <c r="GW64" i="5"/>
  <c r="GX64" i="5"/>
  <c r="GY64" i="5"/>
  <c r="GZ64" i="5"/>
  <c r="HA64" i="5"/>
  <c r="HB64" i="5"/>
  <c r="HC64" i="5"/>
  <c r="HD64" i="5"/>
  <c r="HE64" i="5"/>
  <c r="HF64" i="5"/>
  <c r="HG64" i="5"/>
  <c r="HH64" i="5"/>
  <c r="HI64" i="5"/>
  <c r="HJ64" i="5"/>
  <c r="HK64" i="5"/>
  <c r="HL64" i="5"/>
  <c r="HM64" i="5"/>
  <c r="HN64" i="5"/>
  <c r="HO64" i="5"/>
  <c r="HP64" i="5"/>
  <c r="HQ64" i="5"/>
  <c r="HR64" i="5"/>
  <c r="HS64" i="5"/>
  <c r="HT64" i="5"/>
  <c r="HU64" i="5"/>
  <c r="HV64" i="5"/>
  <c r="HW64" i="5"/>
  <c r="HX64" i="5"/>
  <c r="HY64" i="5"/>
  <c r="HZ64" i="5"/>
  <c r="IA64" i="5"/>
  <c r="IB64" i="5"/>
  <c r="IC64" i="5"/>
  <c r="ID64" i="5"/>
  <c r="IE64" i="5"/>
  <c r="IF64" i="5"/>
  <c r="IG64" i="5"/>
  <c r="IH64" i="5"/>
  <c r="II64" i="5"/>
  <c r="IJ64" i="5"/>
  <c r="IK64" i="5"/>
  <c r="IL64" i="5"/>
  <c r="IM64" i="5"/>
  <c r="IN64" i="5"/>
  <c r="IO64" i="5"/>
  <c r="IP64" i="5"/>
  <c r="IQ64" i="5"/>
  <c r="IR64" i="5"/>
  <c r="IS64" i="5"/>
  <c r="IT64" i="5"/>
  <c r="IU64" i="5"/>
  <c r="IV64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J63" i="5"/>
  <c r="BK63" i="5"/>
  <c r="BL63" i="5"/>
  <c r="BM63" i="5"/>
  <c r="BN63" i="5"/>
  <c r="BO63" i="5"/>
  <c r="BP63" i="5"/>
  <c r="BQ63" i="5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T63" i="5"/>
  <c r="CU63" i="5"/>
  <c r="CV63" i="5"/>
  <c r="CW63" i="5"/>
  <c r="CX63" i="5"/>
  <c r="CY63" i="5"/>
  <c r="CZ63" i="5"/>
  <c r="DA63" i="5"/>
  <c r="DB63" i="5"/>
  <c r="DC63" i="5"/>
  <c r="DD63" i="5"/>
  <c r="DE63" i="5"/>
  <c r="DF63" i="5"/>
  <c r="DG63" i="5"/>
  <c r="DH63" i="5"/>
  <c r="DI63" i="5"/>
  <c r="DJ63" i="5"/>
  <c r="DK63" i="5"/>
  <c r="DL63" i="5"/>
  <c r="DM63" i="5"/>
  <c r="DN63" i="5"/>
  <c r="DO63" i="5"/>
  <c r="DP63" i="5"/>
  <c r="DQ63" i="5"/>
  <c r="DR63" i="5"/>
  <c r="DS63" i="5"/>
  <c r="DT63" i="5"/>
  <c r="DU63" i="5"/>
  <c r="DV63" i="5"/>
  <c r="DW63" i="5"/>
  <c r="DX63" i="5"/>
  <c r="DY63" i="5"/>
  <c r="DZ63" i="5"/>
  <c r="EA63" i="5"/>
  <c r="EB63" i="5"/>
  <c r="EC63" i="5"/>
  <c r="ED63" i="5"/>
  <c r="EE63" i="5"/>
  <c r="EF63" i="5"/>
  <c r="EG63" i="5"/>
  <c r="EH63" i="5"/>
  <c r="EI63" i="5"/>
  <c r="EJ63" i="5"/>
  <c r="EK63" i="5"/>
  <c r="EL63" i="5"/>
  <c r="EM63" i="5"/>
  <c r="EN63" i="5"/>
  <c r="EO63" i="5"/>
  <c r="EP63" i="5"/>
  <c r="EQ63" i="5"/>
  <c r="ER63" i="5"/>
  <c r="ES63" i="5"/>
  <c r="ET63" i="5"/>
  <c r="EU63" i="5"/>
  <c r="EV63" i="5"/>
  <c r="EW63" i="5"/>
  <c r="EX63" i="5"/>
  <c r="EY63" i="5"/>
  <c r="EZ63" i="5"/>
  <c r="FA63" i="5"/>
  <c r="FB63" i="5"/>
  <c r="FC63" i="5"/>
  <c r="FD63" i="5"/>
  <c r="FE63" i="5"/>
  <c r="FF63" i="5"/>
  <c r="FG63" i="5"/>
  <c r="FH63" i="5"/>
  <c r="FI63" i="5"/>
  <c r="FJ63" i="5"/>
  <c r="FK63" i="5"/>
  <c r="FL63" i="5"/>
  <c r="FM63" i="5"/>
  <c r="FN63" i="5"/>
  <c r="FO63" i="5"/>
  <c r="FP63" i="5"/>
  <c r="FQ63" i="5"/>
  <c r="FR63" i="5"/>
  <c r="FS63" i="5"/>
  <c r="FT63" i="5"/>
  <c r="FU63" i="5"/>
  <c r="FV63" i="5"/>
  <c r="FW63" i="5"/>
  <c r="FX63" i="5"/>
  <c r="FY63" i="5"/>
  <c r="FZ63" i="5"/>
  <c r="GA63" i="5"/>
  <c r="GB63" i="5"/>
  <c r="GC63" i="5"/>
  <c r="GD63" i="5"/>
  <c r="GE63" i="5"/>
  <c r="GF63" i="5"/>
  <c r="GG63" i="5"/>
  <c r="GH63" i="5"/>
  <c r="GI63" i="5"/>
  <c r="GJ63" i="5"/>
  <c r="GK63" i="5"/>
  <c r="GL63" i="5"/>
  <c r="GM63" i="5"/>
  <c r="GN63" i="5"/>
  <c r="GO63" i="5"/>
  <c r="GP63" i="5"/>
  <c r="GQ63" i="5"/>
  <c r="GR63" i="5"/>
  <c r="GS63" i="5"/>
  <c r="GT63" i="5"/>
  <c r="GU63" i="5"/>
  <c r="GV63" i="5"/>
  <c r="GW63" i="5"/>
  <c r="GX63" i="5"/>
  <c r="GY63" i="5"/>
  <c r="GZ63" i="5"/>
  <c r="HA63" i="5"/>
  <c r="HB63" i="5"/>
  <c r="HC63" i="5"/>
  <c r="HD63" i="5"/>
  <c r="HE63" i="5"/>
  <c r="HF63" i="5"/>
  <c r="HG63" i="5"/>
  <c r="HH63" i="5"/>
  <c r="HI63" i="5"/>
  <c r="HJ63" i="5"/>
  <c r="HK63" i="5"/>
  <c r="HL63" i="5"/>
  <c r="HM63" i="5"/>
  <c r="HN63" i="5"/>
  <c r="HO63" i="5"/>
  <c r="HP63" i="5"/>
  <c r="HQ63" i="5"/>
  <c r="HR63" i="5"/>
  <c r="HS63" i="5"/>
  <c r="HT63" i="5"/>
  <c r="HU63" i="5"/>
  <c r="HV63" i="5"/>
  <c r="HW63" i="5"/>
  <c r="HX63" i="5"/>
  <c r="HY63" i="5"/>
  <c r="HZ63" i="5"/>
  <c r="IA63" i="5"/>
  <c r="IB63" i="5"/>
  <c r="IC63" i="5"/>
  <c r="ID63" i="5"/>
  <c r="IE63" i="5"/>
  <c r="IF63" i="5"/>
  <c r="IG63" i="5"/>
  <c r="IH63" i="5"/>
  <c r="II63" i="5"/>
  <c r="IJ63" i="5"/>
  <c r="IK63" i="5"/>
  <c r="IL63" i="5"/>
  <c r="IM63" i="5"/>
  <c r="IN63" i="5"/>
  <c r="IO63" i="5"/>
  <c r="IP63" i="5"/>
  <c r="IQ63" i="5"/>
  <c r="IR63" i="5"/>
  <c r="IS63" i="5"/>
  <c r="IT63" i="5"/>
  <c r="IU63" i="5"/>
  <c r="IV63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BL62" i="5"/>
  <c r="BM62" i="5"/>
  <c r="BN62" i="5"/>
  <c r="BO62" i="5"/>
  <c r="BP62" i="5"/>
  <c r="BQ62" i="5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CP62" i="5"/>
  <c r="CQ62" i="5"/>
  <c r="CR62" i="5"/>
  <c r="CS62" i="5"/>
  <c r="CT62" i="5"/>
  <c r="CU62" i="5"/>
  <c r="CV62" i="5"/>
  <c r="CW62" i="5"/>
  <c r="CX62" i="5"/>
  <c r="CY62" i="5"/>
  <c r="CZ62" i="5"/>
  <c r="DA62" i="5"/>
  <c r="DB62" i="5"/>
  <c r="DC62" i="5"/>
  <c r="DD62" i="5"/>
  <c r="DE62" i="5"/>
  <c r="DF62" i="5"/>
  <c r="DG62" i="5"/>
  <c r="DH62" i="5"/>
  <c r="DI62" i="5"/>
  <c r="DJ62" i="5"/>
  <c r="DK62" i="5"/>
  <c r="DL62" i="5"/>
  <c r="DM62" i="5"/>
  <c r="DN62" i="5"/>
  <c r="DO62" i="5"/>
  <c r="DP62" i="5"/>
  <c r="DQ62" i="5"/>
  <c r="DR62" i="5"/>
  <c r="DS62" i="5"/>
  <c r="DT62" i="5"/>
  <c r="DU62" i="5"/>
  <c r="DV62" i="5"/>
  <c r="DW62" i="5"/>
  <c r="DX62" i="5"/>
  <c r="DY62" i="5"/>
  <c r="DZ62" i="5"/>
  <c r="EA62" i="5"/>
  <c r="EB62" i="5"/>
  <c r="EC62" i="5"/>
  <c r="ED62" i="5"/>
  <c r="EE62" i="5"/>
  <c r="EF62" i="5"/>
  <c r="EG62" i="5"/>
  <c r="EH62" i="5"/>
  <c r="EI62" i="5"/>
  <c r="EJ62" i="5"/>
  <c r="EK62" i="5"/>
  <c r="EL62" i="5"/>
  <c r="EM62" i="5"/>
  <c r="EN62" i="5"/>
  <c r="EO62" i="5"/>
  <c r="EP62" i="5"/>
  <c r="EQ62" i="5"/>
  <c r="ER62" i="5"/>
  <c r="ES62" i="5"/>
  <c r="ET62" i="5"/>
  <c r="EU62" i="5"/>
  <c r="EV62" i="5"/>
  <c r="EW62" i="5"/>
  <c r="EX62" i="5"/>
  <c r="EY62" i="5"/>
  <c r="EZ62" i="5"/>
  <c r="FA62" i="5"/>
  <c r="FB62" i="5"/>
  <c r="FC62" i="5"/>
  <c r="FD62" i="5"/>
  <c r="FE62" i="5"/>
  <c r="FF62" i="5"/>
  <c r="FG62" i="5"/>
  <c r="FH62" i="5"/>
  <c r="FI62" i="5"/>
  <c r="FJ62" i="5"/>
  <c r="FK62" i="5"/>
  <c r="FL62" i="5"/>
  <c r="FM62" i="5"/>
  <c r="FN62" i="5"/>
  <c r="FO62" i="5"/>
  <c r="FP62" i="5"/>
  <c r="FQ62" i="5"/>
  <c r="FR62" i="5"/>
  <c r="FS62" i="5"/>
  <c r="FT62" i="5"/>
  <c r="FU62" i="5"/>
  <c r="FV62" i="5"/>
  <c r="FW62" i="5"/>
  <c r="FX62" i="5"/>
  <c r="FY62" i="5"/>
  <c r="FZ62" i="5"/>
  <c r="GA62" i="5"/>
  <c r="GB62" i="5"/>
  <c r="GC62" i="5"/>
  <c r="GD62" i="5"/>
  <c r="GE62" i="5"/>
  <c r="GF62" i="5"/>
  <c r="GG62" i="5"/>
  <c r="GH62" i="5"/>
  <c r="GI62" i="5"/>
  <c r="GJ62" i="5"/>
  <c r="GK62" i="5"/>
  <c r="GL62" i="5"/>
  <c r="GM62" i="5"/>
  <c r="GN62" i="5"/>
  <c r="GO62" i="5"/>
  <c r="GP62" i="5"/>
  <c r="GQ62" i="5"/>
  <c r="GR62" i="5"/>
  <c r="GS62" i="5"/>
  <c r="GT62" i="5"/>
  <c r="GU62" i="5"/>
  <c r="GV62" i="5"/>
  <c r="GW62" i="5"/>
  <c r="GX62" i="5"/>
  <c r="GY62" i="5"/>
  <c r="GZ62" i="5"/>
  <c r="HA62" i="5"/>
  <c r="HB62" i="5"/>
  <c r="HC62" i="5"/>
  <c r="HD62" i="5"/>
  <c r="HE62" i="5"/>
  <c r="HF62" i="5"/>
  <c r="HG62" i="5"/>
  <c r="HH62" i="5"/>
  <c r="HI62" i="5"/>
  <c r="HJ62" i="5"/>
  <c r="HK62" i="5"/>
  <c r="HL62" i="5"/>
  <c r="HM62" i="5"/>
  <c r="HN62" i="5"/>
  <c r="HO62" i="5"/>
  <c r="HP62" i="5"/>
  <c r="HQ62" i="5"/>
  <c r="HR62" i="5"/>
  <c r="HS62" i="5"/>
  <c r="HT62" i="5"/>
  <c r="HU62" i="5"/>
  <c r="HV62" i="5"/>
  <c r="HW62" i="5"/>
  <c r="HX62" i="5"/>
  <c r="HY62" i="5"/>
  <c r="HZ62" i="5"/>
  <c r="IA62" i="5"/>
  <c r="IB62" i="5"/>
  <c r="IC62" i="5"/>
  <c r="ID62" i="5"/>
  <c r="IE62" i="5"/>
  <c r="IF62" i="5"/>
  <c r="IG62" i="5"/>
  <c r="IH62" i="5"/>
  <c r="II62" i="5"/>
  <c r="IJ62" i="5"/>
  <c r="IK62" i="5"/>
  <c r="IL62" i="5"/>
  <c r="IM62" i="5"/>
  <c r="IN62" i="5"/>
  <c r="IO62" i="5"/>
  <c r="IP62" i="5"/>
  <c r="IQ62" i="5"/>
  <c r="IR62" i="5"/>
  <c r="IS62" i="5"/>
  <c r="IT62" i="5"/>
  <c r="IU62" i="5"/>
  <c r="IV62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BL61" i="5"/>
  <c r="BM61" i="5"/>
  <c r="BN61" i="5"/>
  <c r="BO61" i="5"/>
  <c r="BP61" i="5"/>
  <c r="BQ61" i="5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CP61" i="5"/>
  <c r="CQ61" i="5"/>
  <c r="CR61" i="5"/>
  <c r="CS61" i="5"/>
  <c r="CT61" i="5"/>
  <c r="CU61" i="5"/>
  <c r="CV61" i="5"/>
  <c r="CW61" i="5"/>
  <c r="CX61" i="5"/>
  <c r="CY61" i="5"/>
  <c r="CZ61" i="5"/>
  <c r="DA61" i="5"/>
  <c r="DB61" i="5"/>
  <c r="DC61" i="5"/>
  <c r="DD61" i="5"/>
  <c r="DE61" i="5"/>
  <c r="DF61" i="5"/>
  <c r="DG61" i="5"/>
  <c r="DH61" i="5"/>
  <c r="DI61" i="5"/>
  <c r="DJ61" i="5"/>
  <c r="DK61" i="5"/>
  <c r="DL61" i="5"/>
  <c r="DM61" i="5"/>
  <c r="DN61" i="5"/>
  <c r="DO61" i="5"/>
  <c r="DP61" i="5"/>
  <c r="DQ61" i="5"/>
  <c r="DR61" i="5"/>
  <c r="DS61" i="5"/>
  <c r="DT61" i="5"/>
  <c r="DU61" i="5"/>
  <c r="DV61" i="5"/>
  <c r="DW61" i="5"/>
  <c r="DX61" i="5"/>
  <c r="DY61" i="5"/>
  <c r="DZ61" i="5"/>
  <c r="EA61" i="5"/>
  <c r="EB61" i="5"/>
  <c r="EC61" i="5"/>
  <c r="ED61" i="5"/>
  <c r="EE61" i="5"/>
  <c r="EF61" i="5"/>
  <c r="EG61" i="5"/>
  <c r="EH61" i="5"/>
  <c r="EI61" i="5"/>
  <c r="EJ61" i="5"/>
  <c r="EK61" i="5"/>
  <c r="EL61" i="5"/>
  <c r="EM61" i="5"/>
  <c r="EN61" i="5"/>
  <c r="EO61" i="5"/>
  <c r="EP61" i="5"/>
  <c r="EQ61" i="5"/>
  <c r="ER61" i="5"/>
  <c r="ES61" i="5"/>
  <c r="ET61" i="5"/>
  <c r="EU61" i="5"/>
  <c r="EV61" i="5"/>
  <c r="EW61" i="5"/>
  <c r="EX61" i="5"/>
  <c r="EY61" i="5"/>
  <c r="EZ61" i="5"/>
  <c r="FA61" i="5"/>
  <c r="FB61" i="5"/>
  <c r="FC61" i="5"/>
  <c r="FD61" i="5"/>
  <c r="FE61" i="5"/>
  <c r="FF61" i="5"/>
  <c r="FG61" i="5"/>
  <c r="FH61" i="5"/>
  <c r="FI61" i="5"/>
  <c r="FJ61" i="5"/>
  <c r="FK61" i="5"/>
  <c r="FL61" i="5"/>
  <c r="FM61" i="5"/>
  <c r="FN61" i="5"/>
  <c r="FO61" i="5"/>
  <c r="FP61" i="5"/>
  <c r="FQ61" i="5"/>
  <c r="FR61" i="5"/>
  <c r="FS61" i="5"/>
  <c r="FT61" i="5"/>
  <c r="FU61" i="5"/>
  <c r="FV61" i="5"/>
  <c r="FW61" i="5"/>
  <c r="FX61" i="5"/>
  <c r="FY61" i="5"/>
  <c r="FZ61" i="5"/>
  <c r="GA61" i="5"/>
  <c r="GB61" i="5"/>
  <c r="GC61" i="5"/>
  <c r="GD61" i="5"/>
  <c r="GE61" i="5"/>
  <c r="GF61" i="5"/>
  <c r="GG61" i="5"/>
  <c r="GH61" i="5"/>
  <c r="GI61" i="5"/>
  <c r="GJ61" i="5"/>
  <c r="GK61" i="5"/>
  <c r="GL61" i="5"/>
  <c r="GM61" i="5"/>
  <c r="GN61" i="5"/>
  <c r="GO61" i="5"/>
  <c r="GP61" i="5"/>
  <c r="GQ61" i="5"/>
  <c r="GR61" i="5"/>
  <c r="GS61" i="5"/>
  <c r="GT61" i="5"/>
  <c r="GU61" i="5"/>
  <c r="GV61" i="5"/>
  <c r="GW61" i="5"/>
  <c r="GX61" i="5"/>
  <c r="GY61" i="5"/>
  <c r="GZ61" i="5"/>
  <c r="HA61" i="5"/>
  <c r="HB61" i="5"/>
  <c r="HC61" i="5"/>
  <c r="HD61" i="5"/>
  <c r="HE61" i="5"/>
  <c r="HF61" i="5"/>
  <c r="HG61" i="5"/>
  <c r="HH61" i="5"/>
  <c r="HI61" i="5"/>
  <c r="HJ61" i="5"/>
  <c r="HK61" i="5"/>
  <c r="HL61" i="5"/>
  <c r="HM61" i="5"/>
  <c r="HN61" i="5"/>
  <c r="HO61" i="5"/>
  <c r="HP61" i="5"/>
  <c r="HQ61" i="5"/>
  <c r="HR61" i="5"/>
  <c r="HS61" i="5"/>
  <c r="HT61" i="5"/>
  <c r="HU61" i="5"/>
  <c r="HV61" i="5"/>
  <c r="HW61" i="5"/>
  <c r="HX61" i="5"/>
  <c r="HY61" i="5"/>
  <c r="HZ61" i="5"/>
  <c r="IA61" i="5"/>
  <c r="IB61" i="5"/>
  <c r="IC61" i="5"/>
  <c r="ID61" i="5"/>
  <c r="IE61" i="5"/>
  <c r="IF61" i="5"/>
  <c r="IG61" i="5"/>
  <c r="IH61" i="5"/>
  <c r="II61" i="5"/>
  <c r="IJ61" i="5"/>
  <c r="IK61" i="5"/>
  <c r="IL61" i="5"/>
  <c r="IM61" i="5"/>
  <c r="IN61" i="5"/>
  <c r="IO61" i="5"/>
  <c r="IP61" i="5"/>
  <c r="IQ61" i="5"/>
  <c r="IR61" i="5"/>
  <c r="IS61" i="5"/>
  <c r="IT61" i="5"/>
  <c r="IU61" i="5"/>
  <c r="IV61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BK60" i="5"/>
  <c r="BL60" i="5"/>
  <c r="BM60" i="5"/>
  <c r="BN60" i="5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P60" i="5"/>
  <c r="CQ60" i="5"/>
  <c r="CR60" i="5"/>
  <c r="CS60" i="5"/>
  <c r="CT60" i="5"/>
  <c r="CU60" i="5"/>
  <c r="CV60" i="5"/>
  <c r="CW60" i="5"/>
  <c r="CX60" i="5"/>
  <c r="CY60" i="5"/>
  <c r="CZ60" i="5"/>
  <c r="DA60" i="5"/>
  <c r="DB60" i="5"/>
  <c r="DC60" i="5"/>
  <c r="DD60" i="5"/>
  <c r="DE60" i="5"/>
  <c r="DF60" i="5"/>
  <c r="DG60" i="5"/>
  <c r="DH60" i="5"/>
  <c r="DI60" i="5"/>
  <c r="DJ60" i="5"/>
  <c r="DK60" i="5"/>
  <c r="DL60" i="5"/>
  <c r="DM60" i="5"/>
  <c r="DN60" i="5"/>
  <c r="DO60" i="5"/>
  <c r="DP60" i="5"/>
  <c r="DQ60" i="5"/>
  <c r="DR60" i="5"/>
  <c r="DS60" i="5"/>
  <c r="DT60" i="5"/>
  <c r="DU60" i="5"/>
  <c r="DV60" i="5"/>
  <c r="DW60" i="5"/>
  <c r="DX60" i="5"/>
  <c r="DY60" i="5"/>
  <c r="DZ60" i="5"/>
  <c r="EA60" i="5"/>
  <c r="EB60" i="5"/>
  <c r="EC60" i="5"/>
  <c r="ED60" i="5"/>
  <c r="EE60" i="5"/>
  <c r="EF60" i="5"/>
  <c r="EG60" i="5"/>
  <c r="EH60" i="5"/>
  <c r="EI60" i="5"/>
  <c r="EJ60" i="5"/>
  <c r="EK60" i="5"/>
  <c r="EL60" i="5"/>
  <c r="EM60" i="5"/>
  <c r="EN60" i="5"/>
  <c r="EO60" i="5"/>
  <c r="EP60" i="5"/>
  <c r="EQ60" i="5"/>
  <c r="ER60" i="5"/>
  <c r="ES60" i="5"/>
  <c r="ET60" i="5"/>
  <c r="EU60" i="5"/>
  <c r="EV60" i="5"/>
  <c r="EW60" i="5"/>
  <c r="EX60" i="5"/>
  <c r="EY60" i="5"/>
  <c r="EZ60" i="5"/>
  <c r="FA60" i="5"/>
  <c r="FB60" i="5"/>
  <c r="FC60" i="5"/>
  <c r="FD60" i="5"/>
  <c r="FE60" i="5"/>
  <c r="FF60" i="5"/>
  <c r="FG60" i="5"/>
  <c r="FH60" i="5"/>
  <c r="FI60" i="5"/>
  <c r="FJ60" i="5"/>
  <c r="FK60" i="5"/>
  <c r="FL60" i="5"/>
  <c r="FM60" i="5"/>
  <c r="FN60" i="5"/>
  <c r="FO60" i="5"/>
  <c r="FP60" i="5"/>
  <c r="FQ60" i="5"/>
  <c r="FR60" i="5"/>
  <c r="FS60" i="5"/>
  <c r="FT60" i="5"/>
  <c r="FU60" i="5"/>
  <c r="FV60" i="5"/>
  <c r="FW60" i="5"/>
  <c r="FX60" i="5"/>
  <c r="FY60" i="5"/>
  <c r="FZ60" i="5"/>
  <c r="GA60" i="5"/>
  <c r="GB60" i="5"/>
  <c r="GC60" i="5"/>
  <c r="GD60" i="5"/>
  <c r="GE60" i="5"/>
  <c r="GF60" i="5"/>
  <c r="GG60" i="5"/>
  <c r="GH60" i="5"/>
  <c r="GI60" i="5"/>
  <c r="GJ60" i="5"/>
  <c r="GK60" i="5"/>
  <c r="GL60" i="5"/>
  <c r="GM60" i="5"/>
  <c r="GN60" i="5"/>
  <c r="GO60" i="5"/>
  <c r="GP60" i="5"/>
  <c r="GQ60" i="5"/>
  <c r="GR60" i="5"/>
  <c r="GS60" i="5"/>
  <c r="GT60" i="5"/>
  <c r="GU60" i="5"/>
  <c r="GV60" i="5"/>
  <c r="GW60" i="5"/>
  <c r="GX60" i="5"/>
  <c r="GY60" i="5"/>
  <c r="GZ60" i="5"/>
  <c r="HA60" i="5"/>
  <c r="HB60" i="5"/>
  <c r="HC60" i="5"/>
  <c r="HD60" i="5"/>
  <c r="HE60" i="5"/>
  <c r="HF60" i="5"/>
  <c r="HG60" i="5"/>
  <c r="HH60" i="5"/>
  <c r="HI60" i="5"/>
  <c r="HJ60" i="5"/>
  <c r="HK60" i="5"/>
  <c r="HL60" i="5"/>
  <c r="HM60" i="5"/>
  <c r="HN60" i="5"/>
  <c r="HO60" i="5"/>
  <c r="HP60" i="5"/>
  <c r="HQ60" i="5"/>
  <c r="HR60" i="5"/>
  <c r="HS60" i="5"/>
  <c r="HT60" i="5"/>
  <c r="HU60" i="5"/>
  <c r="HV60" i="5"/>
  <c r="HW60" i="5"/>
  <c r="HX60" i="5"/>
  <c r="HY60" i="5"/>
  <c r="HZ60" i="5"/>
  <c r="IA60" i="5"/>
  <c r="IB60" i="5"/>
  <c r="IC60" i="5"/>
  <c r="ID60" i="5"/>
  <c r="IE60" i="5"/>
  <c r="IF60" i="5"/>
  <c r="IG60" i="5"/>
  <c r="IH60" i="5"/>
  <c r="II60" i="5"/>
  <c r="IJ60" i="5"/>
  <c r="IK60" i="5"/>
  <c r="IL60" i="5"/>
  <c r="IM60" i="5"/>
  <c r="IN60" i="5"/>
  <c r="IO60" i="5"/>
  <c r="IP60" i="5"/>
  <c r="IQ60" i="5"/>
  <c r="IR60" i="5"/>
  <c r="IS60" i="5"/>
  <c r="IT60" i="5"/>
  <c r="IU60" i="5"/>
  <c r="IV60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BL59" i="5"/>
  <c r="BM59" i="5"/>
  <c r="BN59" i="5"/>
  <c r="BO59" i="5"/>
  <c r="BP59" i="5"/>
  <c r="BQ59" i="5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P59" i="5"/>
  <c r="CQ59" i="5"/>
  <c r="CR59" i="5"/>
  <c r="CS59" i="5"/>
  <c r="CT59" i="5"/>
  <c r="CU59" i="5"/>
  <c r="CV59" i="5"/>
  <c r="CW59" i="5"/>
  <c r="CX59" i="5"/>
  <c r="CY59" i="5"/>
  <c r="CZ59" i="5"/>
  <c r="DA59" i="5"/>
  <c r="DB59" i="5"/>
  <c r="DC59" i="5"/>
  <c r="DD59" i="5"/>
  <c r="DE59" i="5"/>
  <c r="DF59" i="5"/>
  <c r="DG59" i="5"/>
  <c r="DH59" i="5"/>
  <c r="DI59" i="5"/>
  <c r="DJ59" i="5"/>
  <c r="DK59" i="5"/>
  <c r="DL59" i="5"/>
  <c r="DM59" i="5"/>
  <c r="DN59" i="5"/>
  <c r="DO59" i="5"/>
  <c r="DP59" i="5"/>
  <c r="DQ59" i="5"/>
  <c r="DR59" i="5"/>
  <c r="DS59" i="5"/>
  <c r="DT59" i="5"/>
  <c r="DU59" i="5"/>
  <c r="DV59" i="5"/>
  <c r="DW59" i="5"/>
  <c r="DX59" i="5"/>
  <c r="DY59" i="5"/>
  <c r="DZ59" i="5"/>
  <c r="EA59" i="5"/>
  <c r="EB59" i="5"/>
  <c r="EC59" i="5"/>
  <c r="ED59" i="5"/>
  <c r="EE59" i="5"/>
  <c r="EF59" i="5"/>
  <c r="EG59" i="5"/>
  <c r="EH59" i="5"/>
  <c r="EI59" i="5"/>
  <c r="EJ59" i="5"/>
  <c r="EK59" i="5"/>
  <c r="EL59" i="5"/>
  <c r="EM59" i="5"/>
  <c r="EN59" i="5"/>
  <c r="EO59" i="5"/>
  <c r="EP59" i="5"/>
  <c r="EQ59" i="5"/>
  <c r="ER59" i="5"/>
  <c r="ES59" i="5"/>
  <c r="ET59" i="5"/>
  <c r="EU59" i="5"/>
  <c r="EV59" i="5"/>
  <c r="EW59" i="5"/>
  <c r="EX59" i="5"/>
  <c r="EY59" i="5"/>
  <c r="EZ59" i="5"/>
  <c r="FA59" i="5"/>
  <c r="FB59" i="5"/>
  <c r="FC59" i="5"/>
  <c r="FD59" i="5"/>
  <c r="FE59" i="5"/>
  <c r="FF59" i="5"/>
  <c r="FG59" i="5"/>
  <c r="FH59" i="5"/>
  <c r="FI59" i="5"/>
  <c r="FJ59" i="5"/>
  <c r="FK59" i="5"/>
  <c r="FL59" i="5"/>
  <c r="FM59" i="5"/>
  <c r="FN59" i="5"/>
  <c r="FO59" i="5"/>
  <c r="FP59" i="5"/>
  <c r="FQ59" i="5"/>
  <c r="FR59" i="5"/>
  <c r="FS59" i="5"/>
  <c r="FT59" i="5"/>
  <c r="FU59" i="5"/>
  <c r="FV59" i="5"/>
  <c r="FW59" i="5"/>
  <c r="FX59" i="5"/>
  <c r="FY59" i="5"/>
  <c r="FZ59" i="5"/>
  <c r="GA59" i="5"/>
  <c r="GB59" i="5"/>
  <c r="GC59" i="5"/>
  <c r="GD59" i="5"/>
  <c r="GE59" i="5"/>
  <c r="GF59" i="5"/>
  <c r="GG59" i="5"/>
  <c r="GH59" i="5"/>
  <c r="GI59" i="5"/>
  <c r="GJ59" i="5"/>
  <c r="GK59" i="5"/>
  <c r="GL59" i="5"/>
  <c r="GM59" i="5"/>
  <c r="GN59" i="5"/>
  <c r="GO59" i="5"/>
  <c r="GP59" i="5"/>
  <c r="GQ59" i="5"/>
  <c r="GR59" i="5"/>
  <c r="GS59" i="5"/>
  <c r="GT59" i="5"/>
  <c r="GU59" i="5"/>
  <c r="GV59" i="5"/>
  <c r="GW59" i="5"/>
  <c r="GX59" i="5"/>
  <c r="GY59" i="5"/>
  <c r="GZ59" i="5"/>
  <c r="HA59" i="5"/>
  <c r="HB59" i="5"/>
  <c r="HC59" i="5"/>
  <c r="HD59" i="5"/>
  <c r="HE59" i="5"/>
  <c r="HF59" i="5"/>
  <c r="HG59" i="5"/>
  <c r="HH59" i="5"/>
  <c r="HI59" i="5"/>
  <c r="HJ59" i="5"/>
  <c r="HK59" i="5"/>
  <c r="HL59" i="5"/>
  <c r="HM59" i="5"/>
  <c r="HN59" i="5"/>
  <c r="HO59" i="5"/>
  <c r="HP59" i="5"/>
  <c r="HQ59" i="5"/>
  <c r="HR59" i="5"/>
  <c r="HS59" i="5"/>
  <c r="HT59" i="5"/>
  <c r="HU59" i="5"/>
  <c r="HV59" i="5"/>
  <c r="HW59" i="5"/>
  <c r="HX59" i="5"/>
  <c r="HY59" i="5"/>
  <c r="HZ59" i="5"/>
  <c r="IA59" i="5"/>
  <c r="IB59" i="5"/>
  <c r="IC59" i="5"/>
  <c r="ID59" i="5"/>
  <c r="IE59" i="5"/>
  <c r="IF59" i="5"/>
  <c r="IG59" i="5"/>
  <c r="IH59" i="5"/>
  <c r="II59" i="5"/>
  <c r="IJ59" i="5"/>
  <c r="IK59" i="5"/>
  <c r="IL59" i="5"/>
  <c r="IM59" i="5"/>
  <c r="IN59" i="5"/>
  <c r="IO59" i="5"/>
  <c r="IP59" i="5"/>
  <c r="IQ59" i="5"/>
  <c r="IR59" i="5"/>
  <c r="IS59" i="5"/>
  <c r="IT59" i="5"/>
  <c r="IU59" i="5"/>
  <c r="IV59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BL58" i="5"/>
  <c r="BM58" i="5"/>
  <c r="BN58" i="5"/>
  <c r="BO58" i="5"/>
  <c r="BP58" i="5"/>
  <c r="BQ58" i="5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CS58" i="5"/>
  <c r="CT58" i="5"/>
  <c r="CU58" i="5"/>
  <c r="CV58" i="5"/>
  <c r="CW58" i="5"/>
  <c r="CX58" i="5"/>
  <c r="CY58" i="5"/>
  <c r="CZ58" i="5"/>
  <c r="DA58" i="5"/>
  <c r="DB58" i="5"/>
  <c r="DC58" i="5"/>
  <c r="DD58" i="5"/>
  <c r="DE58" i="5"/>
  <c r="DF58" i="5"/>
  <c r="DG58" i="5"/>
  <c r="DH58" i="5"/>
  <c r="DI58" i="5"/>
  <c r="DJ58" i="5"/>
  <c r="DK58" i="5"/>
  <c r="DL58" i="5"/>
  <c r="DM58" i="5"/>
  <c r="DN58" i="5"/>
  <c r="DO58" i="5"/>
  <c r="DP58" i="5"/>
  <c r="DQ58" i="5"/>
  <c r="DR58" i="5"/>
  <c r="DS58" i="5"/>
  <c r="DT58" i="5"/>
  <c r="DU58" i="5"/>
  <c r="DV58" i="5"/>
  <c r="DW58" i="5"/>
  <c r="DX58" i="5"/>
  <c r="DY58" i="5"/>
  <c r="DZ58" i="5"/>
  <c r="EA58" i="5"/>
  <c r="EB58" i="5"/>
  <c r="EC58" i="5"/>
  <c r="ED58" i="5"/>
  <c r="EE58" i="5"/>
  <c r="EF58" i="5"/>
  <c r="EG58" i="5"/>
  <c r="EH58" i="5"/>
  <c r="EI58" i="5"/>
  <c r="EJ58" i="5"/>
  <c r="EK58" i="5"/>
  <c r="EL58" i="5"/>
  <c r="EM58" i="5"/>
  <c r="EN58" i="5"/>
  <c r="EO58" i="5"/>
  <c r="EP58" i="5"/>
  <c r="EQ58" i="5"/>
  <c r="ER58" i="5"/>
  <c r="ES58" i="5"/>
  <c r="ET58" i="5"/>
  <c r="EU58" i="5"/>
  <c r="EV58" i="5"/>
  <c r="EW58" i="5"/>
  <c r="EX58" i="5"/>
  <c r="EY58" i="5"/>
  <c r="EZ58" i="5"/>
  <c r="FA58" i="5"/>
  <c r="FB58" i="5"/>
  <c r="FC58" i="5"/>
  <c r="FD58" i="5"/>
  <c r="FE58" i="5"/>
  <c r="FF58" i="5"/>
  <c r="FG58" i="5"/>
  <c r="FH58" i="5"/>
  <c r="FI58" i="5"/>
  <c r="FJ58" i="5"/>
  <c r="FK58" i="5"/>
  <c r="FL58" i="5"/>
  <c r="FM58" i="5"/>
  <c r="FN58" i="5"/>
  <c r="FO58" i="5"/>
  <c r="FP58" i="5"/>
  <c r="FQ58" i="5"/>
  <c r="FR58" i="5"/>
  <c r="FS58" i="5"/>
  <c r="FT58" i="5"/>
  <c r="FU58" i="5"/>
  <c r="FV58" i="5"/>
  <c r="FW58" i="5"/>
  <c r="FX58" i="5"/>
  <c r="FY58" i="5"/>
  <c r="FZ58" i="5"/>
  <c r="GA58" i="5"/>
  <c r="GB58" i="5"/>
  <c r="GC58" i="5"/>
  <c r="GD58" i="5"/>
  <c r="GE58" i="5"/>
  <c r="GF58" i="5"/>
  <c r="GG58" i="5"/>
  <c r="GH58" i="5"/>
  <c r="GI58" i="5"/>
  <c r="GJ58" i="5"/>
  <c r="GK58" i="5"/>
  <c r="GL58" i="5"/>
  <c r="GM58" i="5"/>
  <c r="GN58" i="5"/>
  <c r="GO58" i="5"/>
  <c r="GP58" i="5"/>
  <c r="GQ58" i="5"/>
  <c r="GR58" i="5"/>
  <c r="GS58" i="5"/>
  <c r="GT58" i="5"/>
  <c r="GU58" i="5"/>
  <c r="GV58" i="5"/>
  <c r="GW58" i="5"/>
  <c r="GX58" i="5"/>
  <c r="GY58" i="5"/>
  <c r="GZ58" i="5"/>
  <c r="HA58" i="5"/>
  <c r="HB58" i="5"/>
  <c r="HC58" i="5"/>
  <c r="HD58" i="5"/>
  <c r="HE58" i="5"/>
  <c r="HF58" i="5"/>
  <c r="HG58" i="5"/>
  <c r="HH58" i="5"/>
  <c r="HI58" i="5"/>
  <c r="HJ58" i="5"/>
  <c r="HK58" i="5"/>
  <c r="HL58" i="5"/>
  <c r="HM58" i="5"/>
  <c r="HN58" i="5"/>
  <c r="HO58" i="5"/>
  <c r="HP58" i="5"/>
  <c r="HQ58" i="5"/>
  <c r="HR58" i="5"/>
  <c r="HS58" i="5"/>
  <c r="HT58" i="5"/>
  <c r="HU58" i="5"/>
  <c r="HV58" i="5"/>
  <c r="HW58" i="5"/>
  <c r="HX58" i="5"/>
  <c r="HY58" i="5"/>
  <c r="HZ58" i="5"/>
  <c r="IA58" i="5"/>
  <c r="IB58" i="5"/>
  <c r="IC58" i="5"/>
  <c r="ID58" i="5"/>
  <c r="IE58" i="5"/>
  <c r="IF58" i="5"/>
  <c r="IG58" i="5"/>
  <c r="IH58" i="5"/>
  <c r="II58" i="5"/>
  <c r="IJ58" i="5"/>
  <c r="IK58" i="5"/>
  <c r="IL58" i="5"/>
  <c r="IM58" i="5"/>
  <c r="IN58" i="5"/>
  <c r="IO58" i="5"/>
  <c r="IP58" i="5"/>
  <c r="IQ58" i="5"/>
  <c r="IR58" i="5"/>
  <c r="IS58" i="5"/>
  <c r="IT58" i="5"/>
  <c r="IU58" i="5"/>
  <c r="IV58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BL57" i="5"/>
  <c r="BM57" i="5"/>
  <c r="BN57" i="5"/>
  <c r="BO57" i="5"/>
  <c r="BP57" i="5"/>
  <c r="BQ57" i="5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CP57" i="5"/>
  <c r="CQ57" i="5"/>
  <c r="CR57" i="5"/>
  <c r="CS57" i="5"/>
  <c r="CT57" i="5"/>
  <c r="CU57" i="5"/>
  <c r="CV57" i="5"/>
  <c r="CW57" i="5"/>
  <c r="CX57" i="5"/>
  <c r="CY57" i="5"/>
  <c r="CZ57" i="5"/>
  <c r="DA57" i="5"/>
  <c r="DB57" i="5"/>
  <c r="DC57" i="5"/>
  <c r="DD57" i="5"/>
  <c r="DE57" i="5"/>
  <c r="DF57" i="5"/>
  <c r="DG57" i="5"/>
  <c r="DH57" i="5"/>
  <c r="DI57" i="5"/>
  <c r="DJ57" i="5"/>
  <c r="DK57" i="5"/>
  <c r="DL57" i="5"/>
  <c r="DM57" i="5"/>
  <c r="DN57" i="5"/>
  <c r="DO57" i="5"/>
  <c r="DP57" i="5"/>
  <c r="DQ57" i="5"/>
  <c r="DR57" i="5"/>
  <c r="DS57" i="5"/>
  <c r="DT57" i="5"/>
  <c r="DU57" i="5"/>
  <c r="DV57" i="5"/>
  <c r="DW57" i="5"/>
  <c r="DX57" i="5"/>
  <c r="DY57" i="5"/>
  <c r="DZ57" i="5"/>
  <c r="EA57" i="5"/>
  <c r="EB57" i="5"/>
  <c r="EC57" i="5"/>
  <c r="ED57" i="5"/>
  <c r="EE57" i="5"/>
  <c r="EF57" i="5"/>
  <c r="EG57" i="5"/>
  <c r="EH57" i="5"/>
  <c r="EI57" i="5"/>
  <c r="EJ57" i="5"/>
  <c r="EK57" i="5"/>
  <c r="EL57" i="5"/>
  <c r="EM57" i="5"/>
  <c r="EN57" i="5"/>
  <c r="EO57" i="5"/>
  <c r="EP57" i="5"/>
  <c r="EQ57" i="5"/>
  <c r="ER57" i="5"/>
  <c r="ES57" i="5"/>
  <c r="ET57" i="5"/>
  <c r="EU57" i="5"/>
  <c r="EV57" i="5"/>
  <c r="EW57" i="5"/>
  <c r="EX57" i="5"/>
  <c r="EY57" i="5"/>
  <c r="EZ57" i="5"/>
  <c r="FA57" i="5"/>
  <c r="FB57" i="5"/>
  <c r="FC57" i="5"/>
  <c r="FD57" i="5"/>
  <c r="FE57" i="5"/>
  <c r="FF57" i="5"/>
  <c r="FG57" i="5"/>
  <c r="FH57" i="5"/>
  <c r="FI57" i="5"/>
  <c r="FJ57" i="5"/>
  <c r="FK57" i="5"/>
  <c r="FL57" i="5"/>
  <c r="FM57" i="5"/>
  <c r="FN57" i="5"/>
  <c r="FO57" i="5"/>
  <c r="FP57" i="5"/>
  <c r="FQ57" i="5"/>
  <c r="FR57" i="5"/>
  <c r="FS57" i="5"/>
  <c r="FT57" i="5"/>
  <c r="FU57" i="5"/>
  <c r="FV57" i="5"/>
  <c r="FW57" i="5"/>
  <c r="FX57" i="5"/>
  <c r="FY57" i="5"/>
  <c r="FZ57" i="5"/>
  <c r="GA57" i="5"/>
  <c r="GB57" i="5"/>
  <c r="GC57" i="5"/>
  <c r="GD57" i="5"/>
  <c r="GE57" i="5"/>
  <c r="GF57" i="5"/>
  <c r="GG57" i="5"/>
  <c r="GH57" i="5"/>
  <c r="GI57" i="5"/>
  <c r="GJ57" i="5"/>
  <c r="GK57" i="5"/>
  <c r="GL57" i="5"/>
  <c r="GM57" i="5"/>
  <c r="GN57" i="5"/>
  <c r="GO57" i="5"/>
  <c r="GP57" i="5"/>
  <c r="GQ57" i="5"/>
  <c r="GR57" i="5"/>
  <c r="GS57" i="5"/>
  <c r="GT57" i="5"/>
  <c r="GU57" i="5"/>
  <c r="GV57" i="5"/>
  <c r="GW57" i="5"/>
  <c r="GX57" i="5"/>
  <c r="GY57" i="5"/>
  <c r="GZ57" i="5"/>
  <c r="HA57" i="5"/>
  <c r="HB57" i="5"/>
  <c r="HC57" i="5"/>
  <c r="HD57" i="5"/>
  <c r="HE57" i="5"/>
  <c r="HF57" i="5"/>
  <c r="HG57" i="5"/>
  <c r="HH57" i="5"/>
  <c r="HI57" i="5"/>
  <c r="HJ57" i="5"/>
  <c r="HK57" i="5"/>
  <c r="HL57" i="5"/>
  <c r="HM57" i="5"/>
  <c r="HN57" i="5"/>
  <c r="HO57" i="5"/>
  <c r="HP57" i="5"/>
  <c r="HQ57" i="5"/>
  <c r="HR57" i="5"/>
  <c r="HS57" i="5"/>
  <c r="HT57" i="5"/>
  <c r="HU57" i="5"/>
  <c r="HV57" i="5"/>
  <c r="HW57" i="5"/>
  <c r="HX57" i="5"/>
  <c r="HY57" i="5"/>
  <c r="HZ57" i="5"/>
  <c r="IA57" i="5"/>
  <c r="IB57" i="5"/>
  <c r="IC57" i="5"/>
  <c r="ID57" i="5"/>
  <c r="IE57" i="5"/>
  <c r="IF57" i="5"/>
  <c r="IG57" i="5"/>
  <c r="IH57" i="5"/>
  <c r="II57" i="5"/>
  <c r="IJ57" i="5"/>
  <c r="IK57" i="5"/>
  <c r="IL57" i="5"/>
  <c r="IM57" i="5"/>
  <c r="IN57" i="5"/>
  <c r="IO57" i="5"/>
  <c r="IP57" i="5"/>
  <c r="IQ57" i="5"/>
  <c r="IR57" i="5"/>
  <c r="IS57" i="5"/>
  <c r="IT57" i="5"/>
  <c r="IU57" i="5"/>
  <c r="IV57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BL56" i="5"/>
  <c r="BM56" i="5"/>
  <c r="BN56" i="5"/>
  <c r="BO56" i="5"/>
  <c r="BP56" i="5"/>
  <c r="BQ56" i="5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CP56" i="5"/>
  <c r="CQ56" i="5"/>
  <c r="CR56" i="5"/>
  <c r="CS56" i="5"/>
  <c r="CT56" i="5"/>
  <c r="CU56" i="5"/>
  <c r="CV56" i="5"/>
  <c r="CW56" i="5"/>
  <c r="CX56" i="5"/>
  <c r="CY56" i="5"/>
  <c r="CZ56" i="5"/>
  <c r="DA56" i="5"/>
  <c r="DB56" i="5"/>
  <c r="DC56" i="5"/>
  <c r="DD56" i="5"/>
  <c r="DE56" i="5"/>
  <c r="DF56" i="5"/>
  <c r="DG56" i="5"/>
  <c r="DH56" i="5"/>
  <c r="DI56" i="5"/>
  <c r="DJ56" i="5"/>
  <c r="DK56" i="5"/>
  <c r="DL56" i="5"/>
  <c r="DM56" i="5"/>
  <c r="DN56" i="5"/>
  <c r="DO56" i="5"/>
  <c r="DP56" i="5"/>
  <c r="DQ56" i="5"/>
  <c r="DR56" i="5"/>
  <c r="DS56" i="5"/>
  <c r="DT56" i="5"/>
  <c r="DU56" i="5"/>
  <c r="DV56" i="5"/>
  <c r="DW56" i="5"/>
  <c r="DX56" i="5"/>
  <c r="DY56" i="5"/>
  <c r="DZ56" i="5"/>
  <c r="EA56" i="5"/>
  <c r="EB56" i="5"/>
  <c r="EC56" i="5"/>
  <c r="ED56" i="5"/>
  <c r="EE56" i="5"/>
  <c r="EF56" i="5"/>
  <c r="EG56" i="5"/>
  <c r="EH56" i="5"/>
  <c r="EI56" i="5"/>
  <c r="EJ56" i="5"/>
  <c r="EK56" i="5"/>
  <c r="EL56" i="5"/>
  <c r="EM56" i="5"/>
  <c r="EN56" i="5"/>
  <c r="EO56" i="5"/>
  <c r="EP56" i="5"/>
  <c r="EQ56" i="5"/>
  <c r="ER56" i="5"/>
  <c r="ES56" i="5"/>
  <c r="ET56" i="5"/>
  <c r="EU56" i="5"/>
  <c r="EV56" i="5"/>
  <c r="EW56" i="5"/>
  <c r="EX56" i="5"/>
  <c r="EY56" i="5"/>
  <c r="EZ56" i="5"/>
  <c r="FA56" i="5"/>
  <c r="FB56" i="5"/>
  <c r="FC56" i="5"/>
  <c r="FD56" i="5"/>
  <c r="FE56" i="5"/>
  <c r="FF56" i="5"/>
  <c r="FG56" i="5"/>
  <c r="FH56" i="5"/>
  <c r="FI56" i="5"/>
  <c r="FJ56" i="5"/>
  <c r="FK56" i="5"/>
  <c r="FL56" i="5"/>
  <c r="FM56" i="5"/>
  <c r="FN56" i="5"/>
  <c r="FO56" i="5"/>
  <c r="FP56" i="5"/>
  <c r="FQ56" i="5"/>
  <c r="FR56" i="5"/>
  <c r="FS56" i="5"/>
  <c r="FT56" i="5"/>
  <c r="FU56" i="5"/>
  <c r="FV56" i="5"/>
  <c r="FW56" i="5"/>
  <c r="FX56" i="5"/>
  <c r="FY56" i="5"/>
  <c r="FZ56" i="5"/>
  <c r="GA56" i="5"/>
  <c r="GB56" i="5"/>
  <c r="GC56" i="5"/>
  <c r="GD56" i="5"/>
  <c r="GE56" i="5"/>
  <c r="GF56" i="5"/>
  <c r="GG56" i="5"/>
  <c r="GH56" i="5"/>
  <c r="GI56" i="5"/>
  <c r="GJ56" i="5"/>
  <c r="GK56" i="5"/>
  <c r="GL56" i="5"/>
  <c r="GM56" i="5"/>
  <c r="GN56" i="5"/>
  <c r="GO56" i="5"/>
  <c r="GP56" i="5"/>
  <c r="GQ56" i="5"/>
  <c r="GR56" i="5"/>
  <c r="GS56" i="5"/>
  <c r="GT56" i="5"/>
  <c r="GU56" i="5"/>
  <c r="GV56" i="5"/>
  <c r="GW56" i="5"/>
  <c r="GX56" i="5"/>
  <c r="GY56" i="5"/>
  <c r="GZ56" i="5"/>
  <c r="HA56" i="5"/>
  <c r="HB56" i="5"/>
  <c r="HC56" i="5"/>
  <c r="HD56" i="5"/>
  <c r="HE56" i="5"/>
  <c r="HF56" i="5"/>
  <c r="HG56" i="5"/>
  <c r="HH56" i="5"/>
  <c r="HI56" i="5"/>
  <c r="HJ56" i="5"/>
  <c r="HK56" i="5"/>
  <c r="HL56" i="5"/>
  <c r="HM56" i="5"/>
  <c r="HN56" i="5"/>
  <c r="HO56" i="5"/>
  <c r="HP56" i="5"/>
  <c r="HQ56" i="5"/>
  <c r="HR56" i="5"/>
  <c r="HS56" i="5"/>
  <c r="HT56" i="5"/>
  <c r="HU56" i="5"/>
  <c r="HV56" i="5"/>
  <c r="HW56" i="5"/>
  <c r="HX56" i="5"/>
  <c r="HY56" i="5"/>
  <c r="HZ56" i="5"/>
  <c r="IA56" i="5"/>
  <c r="IB56" i="5"/>
  <c r="IC56" i="5"/>
  <c r="ID56" i="5"/>
  <c r="IE56" i="5"/>
  <c r="IF56" i="5"/>
  <c r="IG56" i="5"/>
  <c r="IH56" i="5"/>
  <c r="II56" i="5"/>
  <c r="IJ56" i="5"/>
  <c r="IK56" i="5"/>
  <c r="IL56" i="5"/>
  <c r="IM56" i="5"/>
  <c r="IN56" i="5"/>
  <c r="IO56" i="5"/>
  <c r="IP56" i="5"/>
  <c r="IQ56" i="5"/>
  <c r="IR56" i="5"/>
  <c r="IS56" i="5"/>
  <c r="IT56" i="5"/>
  <c r="IU56" i="5"/>
  <c r="IV56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DN55" i="5"/>
  <c r="DO55" i="5"/>
  <c r="DP55" i="5"/>
  <c r="DQ55" i="5"/>
  <c r="DR55" i="5"/>
  <c r="DS55" i="5"/>
  <c r="DT55" i="5"/>
  <c r="DU55" i="5"/>
  <c r="DV55" i="5"/>
  <c r="DW55" i="5"/>
  <c r="DX55" i="5"/>
  <c r="DY55" i="5"/>
  <c r="DZ55" i="5"/>
  <c r="EA55" i="5"/>
  <c r="EB55" i="5"/>
  <c r="EC55" i="5"/>
  <c r="ED55" i="5"/>
  <c r="EE55" i="5"/>
  <c r="EF55" i="5"/>
  <c r="EG55" i="5"/>
  <c r="EH55" i="5"/>
  <c r="EI55" i="5"/>
  <c r="EJ55" i="5"/>
  <c r="EK55" i="5"/>
  <c r="EL55" i="5"/>
  <c r="EM55" i="5"/>
  <c r="EN55" i="5"/>
  <c r="EO55" i="5"/>
  <c r="EP55" i="5"/>
  <c r="EQ55" i="5"/>
  <c r="ER55" i="5"/>
  <c r="ES55" i="5"/>
  <c r="ET55" i="5"/>
  <c r="EU55" i="5"/>
  <c r="EV55" i="5"/>
  <c r="EW55" i="5"/>
  <c r="EX55" i="5"/>
  <c r="EY55" i="5"/>
  <c r="EZ55" i="5"/>
  <c r="FA55" i="5"/>
  <c r="FB55" i="5"/>
  <c r="FC55" i="5"/>
  <c r="FD55" i="5"/>
  <c r="FE55" i="5"/>
  <c r="FF55" i="5"/>
  <c r="FG55" i="5"/>
  <c r="FH55" i="5"/>
  <c r="FI55" i="5"/>
  <c r="FJ55" i="5"/>
  <c r="FK55" i="5"/>
  <c r="FL55" i="5"/>
  <c r="FM55" i="5"/>
  <c r="FN55" i="5"/>
  <c r="FO55" i="5"/>
  <c r="FP55" i="5"/>
  <c r="FQ55" i="5"/>
  <c r="FR55" i="5"/>
  <c r="FS55" i="5"/>
  <c r="FT55" i="5"/>
  <c r="FU55" i="5"/>
  <c r="FV55" i="5"/>
  <c r="FW55" i="5"/>
  <c r="FX55" i="5"/>
  <c r="FY55" i="5"/>
  <c r="FZ55" i="5"/>
  <c r="GA55" i="5"/>
  <c r="GB55" i="5"/>
  <c r="GC55" i="5"/>
  <c r="GD55" i="5"/>
  <c r="GE55" i="5"/>
  <c r="GF55" i="5"/>
  <c r="GG55" i="5"/>
  <c r="GH55" i="5"/>
  <c r="GI55" i="5"/>
  <c r="GJ55" i="5"/>
  <c r="GK55" i="5"/>
  <c r="GL55" i="5"/>
  <c r="GM55" i="5"/>
  <c r="GN55" i="5"/>
  <c r="GO55" i="5"/>
  <c r="GP55" i="5"/>
  <c r="GQ55" i="5"/>
  <c r="GR55" i="5"/>
  <c r="GS55" i="5"/>
  <c r="GT55" i="5"/>
  <c r="GU55" i="5"/>
  <c r="GV55" i="5"/>
  <c r="GW55" i="5"/>
  <c r="GX55" i="5"/>
  <c r="GY55" i="5"/>
  <c r="GZ55" i="5"/>
  <c r="HA55" i="5"/>
  <c r="HB55" i="5"/>
  <c r="HC55" i="5"/>
  <c r="HD55" i="5"/>
  <c r="HE55" i="5"/>
  <c r="HF55" i="5"/>
  <c r="HG55" i="5"/>
  <c r="HH55" i="5"/>
  <c r="HI55" i="5"/>
  <c r="HJ55" i="5"/>
  <c r="HK55" i="5"/>
  <c r="HL55" i="5"/>
  <c r="HM55" i="5"/>
  <c r="HN55" i="5"/>
  <c r="HO55" i="5"/>
  <c r="HP55" i="5"/>
  <c r="HQ55" i="5"/>
  <c r="HR55" i="5"/>
  <c r="HS55" i="5"/>
  <c r="HT55" i="5"/>
  <c r="HU55" i="5"/>
  <c r="HV55" i="5"/>
  <c r="HW55" i="5"/>
  <c r="HX55" i="5"/>
  <c r="HY55" i="5"/>
  <c r="HZ55" i="5"/>
  <c r="IA55" i="5"/>
  <c r="IB55" i="5"/>
  <c r="IC55" i="5"/>
  <c r="ID55" i="5"/>
  <c r="IE55" i="5"/>
  <c r="IF55" i="5"/>
  <c r="IG55" i="5"/>
  <c r="IH55" i="5"/>
  <c r="II55" i="5"/>
  <c r="IJ55" i="5"/>
  <c r="IK55" i="5"/>
  <c r="IL55" i="5"/>
  <c r="IM55" i="5"/>
  <c r="IN55" i="5"/>
  <c r="IO55" i="5"/>
  <c r="IP55" i="5"/>
  <c r="IQ55" i="5"/>
  <c r="IR55" i="5"/>
  <c r="IS55" i="5"/>
  <c r="IT55" i="5"/>
  <c r="IU55" i="5"/>
  <c r="IV55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BL54" i="5"/>
  <c r="BM54" i="5"/>
  <c r="BN54" i="5"/>
  <c r="BO54" i="5"/>
  <c r="BP54" i="5"/>
  <c r="BQ54" i="5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CP54" i="5"/>
  <c r="CQ54" i="5"/>
  <c r="CR54" i="5"/>
  <c r="CS54" i="5"/>
  <c r="CT54" i="5"/>
  <c r="CU54" i="5"/>
  <c r="CV54" i="5"/>
  <c r="CW54" i="5"/>
  <c r="CX54" i="5"/>
  <c r="CY54" i="5"/>
  <c r="CZ54" i="5"/>
  <c r="DA54" i="5"/>
  <c r="DB54" i="5"/>
  <c r="DC54" i="5"/>
  <c r="DD54" i="5"/>
  <c r="DE54" i="5"/>
  <c r="DF54" i="5"/>
  <c r="DG54" i="5"/>
  <c r="DH54" i="5"/>
  <c r="DI54" i="5"/>
  <c r="DJ54" i="5"/>
  <c r="DK54" i="5"/>
  <c r="DL54" i="5"/>
  <c r="DM54" i="5"/>
  <c r="DN54" i="5"/>
  <c r="DO54" i="5"/>
  <c r="DP54" i="5"/>
  <c r="DQ54" i="5"/>
  <c r="DR54" i="5"/>
  <c r="DS54" i="5"/>
  <c r="DT54" i="5"/>
  <c r="DU54" i="5"/>
  <c r="DV54" i="5"/>
  <c r="DW54" i="5"/>
  <c r="DX54" i="5"/>
  <c r="DY54" i="5"/>
  <c r="DZ54" i="5"/>
  <c r="EA54" i="5"/>
  <c r="EB54" i="5"/>
  <c r="EC54" i="5"/>
  <c r="ED54" i="5"/>
  <c r="EE54" i="5"/>
  <c r="EF54" i="5"/>
  <c r="EG54" i="5"/>
  <c r="EH54" i="5"/>
  <c r="EI54" i="5"/>
  <c r="EJ54" i="5"/>
  <c r="EK54" i="5"/>
  <c r="EL54" i="5"/>
  <c r="EM54" i="5"/>
  <c r="EN54" i="5"/>
  <c r="EO54" i="5"/>
  <c r="EP54" i="5"/>
  <c r="EQ54" i="5"/>
  <c r="ER54" i="5"/>
  <c r="ES54" i="5"/>
  <c r="ET54" i="5"/>
  <c r="EU54" i="5"/>
  <c r="EV54" i="5"/>
  <c r="EW54" i="5"/>
  <c r="EX54" i="5"/>
  <c r="EY54" i="5"/>
  <c r="EZ54" i="5"/>
  <c r="FA54" i="5"/>
  <c r="FB54" i="5"/>
  <c r="FC54" i="5"/>
  <c r="FD54" i="5"/>
  <c r="FE54" i="5"/>
  <c r="FF54" i="5"/>
  <c r="FG54" i="5"/>
  <c r="FH54" i="5"/>
  <c r="FI54" i="5"/>
  <c r="FJ54" i="5"/>
  <c r="FK54" i="5"/>
  <c r="FL54" i="5"/>
  <c r="FM54" i="5"/>
  <c r="FN54" i="5"/>
  <c r="FO54" i="5"/>
  <c r="FP54" i="5"/>
  <c r="FQ54" i="5"/>
  <c r="FR54" i="5"/>
  <c r="FS54" i="5"/>
  <c r="FT54" i="5"/>
  <c r="FU54" i="5"/>
  <c r="FV54" i="5"/>
  <c r="FW54" i="5"/>
  <c r="FX54" i="5"/>
  <c r="FY54" i="5"/>
  <c r="FZ54" i="5"/>
  <c r="GA54" i="5"/>
  <c r="GB54" i="5"/>
  <c r="GC54" i="5"/>
  <c r="GD54" i="5"/>
  <c r="GE54" i="5"/>
  <c r="GF54" i="5"/>
  <c r="GG54" i="5"/>
  <c r="GH54" i="5"/>
  <c r="GI54" i="5"/>
  <c r="GJ54" i="5"/>
  <c r="GK54" i="5"/>
  <c r="GL54" i="5"/>
  <c r="GM54" i="5"/>
  <c r="GN54" i="5"/>
  <c r="GO54" i="5"/>
  <c r="GP54" i="5"/>
  <c r="GQ54" i="5"/>
  <c r="GR54" i="5"/>
  <c r="GS54" i="5"/>
  <c r="GT54" i="5"/>
  <c r="GU54" i="5"/>
  <c r="GV54" i="5"/>
  <c r="GW54" i="5"/>
  <c r="GX54" i="5"/>
  <c r="GY54" i="5"/>
  <c r="GZ54" i="5"/>
  <c r="HA54" i="5"/>
  <c r="HB54" i="5"/>
  <c r="HC54" i="5"/>
  <c r="HD54" i="5"/>
  <c r="HE54" i="5"/>
  <c r="HF54" i="5"/>
  <c r="HG54" i="5"/>
  <c r="HH54" i="5"/>
  <c r="HI54" i="5"/>
  <c r="HJ54" i="5"/>
  <c r="HK54" i="5"/>
  <c r="HL54" i="5"/>
  <c r="HM54" i="5"/>
  <c r="HN54" i="5"/>
  <c r="HO54" i="5"/>
  <c r="HP54" i="5"/>
  <c r="HQ54" i="5"/>
  <c r="HR54" i="5"/>
  <c r="HS54" i="5"/>
  <c r="HT54" i="5"/>
  <c r="HU54" i="5"/>
  <c r="HV54" i="5"/>
  <c r="HW54" i="5"/>
  <c r="HX54" i="5"/>
  <c r="HY54" i="5"/>
  <c r="HZ54" i="5"/>
  <c r="IA54" i="5"/>
  <c r="IB54" i="5"/>
  <c r="IC54" i="5"/>
  <c r="ID54" i="5"/>
  <c r="IE54" i="5"/>
  <c r="IF54" i="5"/>
  <c r="IG54" i="5"/>
  <c r="IH54" i="5"/>
  <c r="II54" i="5"/>
  <c r="IJ54" i="5"/>
  <c r="IK54" i="5"/>
  <c r="IL54" i="5"/>
  <c r="IM54" i="5"/>
  <c r="IN54" i="5"/>
  <c r="IO54" i="5"/>
  <c r="IP54" i="5"/>
  <c r="IQ54" i="5"/>
  <c r="IR54" i="5"/>
  <c r="IS54" i="5"/>
  <c r="IT54" i="5"/>
  <c r="IU54" i="5"/>
  <c r="IV54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BL53" i="5"/>
  <c r="BM53" i="5"/>
  <c r="BN53" i="5"/>
  <c r="BO53" i="5"/>
  <c r="BP53" i="5"/>
  <c r="BQ53" i="5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CP53" i="5"/>
  <c r="CQ53" i="5"/>
  <c r="CR53" i="5"/>
  <c r="CS53" i="5"/>
  <c r="CT53" i="5"/>
  <c r="CU53" i="5"/>
  <c r="CV53" i="5"/>
  <c r="CW53" i="5"/>
  <c r="CX53" i="5"/>
  <c r="CY53" i="5"/>
  <c r="CZ53" i="5"/>
  <c r="DA53" i="5"/>
  <c r="DB53" i="5"/>
  <c r="DC53" i="5"/>
  <c r="DD53" i="5"/>
  <c r="DE53" i="5"/>
  <c r="DF53" i="5"/>
  <c r="DG53" i="5"/>
  <c r="DH53" i="5"/>
  <c r="DI53" i="5"/>
  <c r="DJ53" i="5"/>
  <c r="DK53" i="5"/>
  <c r="DL53" i="5"/>
  <c r="DM53" i="5"/>
  <c r="DN53" i="5"/>
  <c r="DO53" i="5"/>
  <c r="DP53" i="5"/>
  <c r="DQ53" i="5"/>
  <c r="DR53" i="5"/>
  <c r="DS53" i="5"/>
  <c r="DT53" i="5"/>
  <c r="DU53" i="5"/>
  <c r="DV53" i="5"/>
  <c r="DW53" i="5"/>
  <c r="DX53" i="5"/>
  <c r="DY53" i="5"/>
  <c r="DZ53" i="5"/>
  <c r="EA53" i="5"/>
  <c r="EB53" i="5"/>
  <c r="EC53" i="5"/>
  <c r="ED53" i="5"/>
  <c r="EE53" i="5"/>
  <c r="EF53" i="5"/>
  <c r="EG53" i="5"/>
  <c r="EH53" i="5"/>
  <c r="EI53" i="5"/>
  <c r="EJ53" i="5"/>
  <c r="EK53" i="5"/>
  <c r="EL53" i="5"/>
  <c r="EM53" i="5"/>
  <c r="EN53" i="5"/>
  <c r="EO53" i="5"/>
  <c r="EP53" i="5"/>
  <c r="EQ53" i="5"/>
  <c r="ER53" i="5"/>
  <c r="ES53" i="5"/>
  <c r="ET53" i="5"/>
  <c r="EU53" i="5"/>
  <c r="EV53" i="5"/>
  <c r="EW53" i="5"/>
  <c r="EX53" i="5"/>
  <c r="EY53" i="5"/>
  <c r="EZ53" i="5"/>
  <c r="FA53" i="5"/>
  <c r="FB53" i="5"/>
  <c r="FC53" i="5"/>
  <c r="FD53" i="5"/>
  <c r="FE53" i="5"/>
  <c r="FF53" i="5"/>
  <c r="FG53" i="5"/>
  <c r="FH53" i="5"/>
  <c r="FI53" i="5"/>
  <c r="FJ53" i="5"/>
  <c r="FK53" i="5"/>
  <c r="FL53" i="5"/>
  <c r="FM53" i="5"/>
  <c r="FN53" i="5"/>
  <c r="FO53" i="5"/>
  <c r="FP53" i="5"/>
  <c r="FQ53" i="5"/>
  <c r="FR53" i="5"/>
  <c r="FS53" i="5"/>
  <c r="FT53" i="5"/>
  <c r="FU53" i="5"/>
  <c r="FV53" i="5"/>
  <c r="FW53" i="5"/>
  <c r="FX53" i="5"/>
  <c r="FY53" i="5"/>
  <c r="FZ53" i="5"/>
  <c r="GA53" i="5"/>
  <c r="GB53" i="5"/>
  <c r="GC53" i="5"/>
  <c r="GD53" i="5"/>
  <c r="GE53" i="5"/>
  <c r="GF53" i="5"/>
  <c r="GG53" i="5"/>
  <c r="GH53" i="5"/>
  <c r="GI53" i="5"/>
  <c r="GJ53" i="5"/>
  <c r="GK53" i="5"/>
  <c r="GL53" i="5"/>
  <c r="GM53" i="5"/>
  <c r="GN53" i="5"/>
  <c r="GO53" i="5"/>
  <c r="GP53" i="5"/>
  <c r="GQ53" i="5"/>
  <c r="GR53" i="5"/>
  <c r="GS53" i="5"/>
  <c r="GT53" i="5"/>
  <c r="GU53" i="5"/>
  <c r="GV53" i="5"/>
  <c r="GW53" i="5"/>
  <c r="GX53" i="5"/>
  <c r="GY53" i="5"/>
  <c r="GZ53" i="5"/>
  <c r="HA53" i="5"/>
  <c r="HB53" i="5"/>
  <c r="HC53" i="5"/>
  <c r="HD53" i="5"/>
  <c r="HE53" i="5"/>
  <c r="HF53" i="5"/>
  <c r="HG53" i="5"/>
  <c r="HH53" i="5"/>
  <c r="HI53" i="5"/>
  <c r="HJ53" i="5"/>
  <c r="HK53" i="5"/>
  <c r="HL53" i="5"/>
  <c r="HM53" i="5"/>
  <c r="HN53" i="5"/>
  <c r="HO53" i="5"/>
  <c r="HP53" i="5"/>
  <c r="HQ53" i="5"/>
  <c r="HR53" i="5"/>
  <c r="HS53" i="5"/>
  <c r="HT53" i="5"/>
  <c r="HU53" i="5"/>
  <c r="HV53" i="5"/>
  <c r="HW53" i="5"/>
  <c r="HX53" i="5"/>
  <c r="HY53" i="5"/>
  <c r="HZ53" i="5"/>
  <c r="IA53" i="5"/>
  <c r="IB53" i="5"/>
  <c r="IC53" i="5"/>
  <c r="ID53" i="5"/>
  <c r="IE53" i="5"/>
  <c r="IF53" i="5"/>
  <c r="IG53" i="5"/>
  <c r="IH53" i="5"/>
  <c r="II53" i="5"/>
  <c r="IJ53" i="5"/>
  <c r="IK53" i="5"/>
  <c r="IL53" i="5"/>
  <c r="IM53" i="5"/>
  <c r="IN53" i="5"/>
  <c r="IO53" i="5"/>
  <c r="IP53" i="5"/>
  <c r="IQ53" i="5"/>
  <c r="IR53" i="5"/>
  <c r="IS53" i="5"/>
  <c r="IT53" i="5"/>
  <c r="IU53" i="5"/>
  <c r="IV53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BK52" i="5"/>
  <c r="BL52" i="5"/>
  <c r="BM52" i="5"/>
  <c r="BN52" i="5"/>
  <c r="BO52" i="5"/>
  <c r="BP52" i="5"/>
  <c r="BQ52" i="5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CP52" i="5"/>
  <c r="CQ52" i="5"/>
  <c r="CR52" i="5"/>
  <c r="CS52" i="5"/>
  <c r="CT52" i="5"/>
  <c r="CU52" i="5"/>
  <c r="CV52" i="5"/>
  <c r="CW52" i="5"/>
  <c r="CX52" i="5"/>
  <c r="CY52" i="5"/>
  <c r="CZ52" i="5"/>
  <c r="DA52" i="5"/>
  <c r="DB52" i="5"/>
  <c r="DC52" i="5"/>
  <c r="DD52" i="5"/>
  <c r="DE52" i="5"/>
  <c r="DF52" i="5"/>
  <c r="DG52" i="5"/>
  <c r="DH52" i="5"/>
  <c r="DI52" i="5"/>
  <c r="DJ52" i="5"/>
  <c r="DK52" i="5"/>
  <c r="DL52" i="5"/>
  <c r="DM52" i="5"/>
  <c r="DN52" i="5"/>
  <c r="DO52" i="5"/>
  <c r="DP52" i="5"/>
  <c r="DQ52" i="5"/>
  <c r="DR52" i="5"/>
  <c r="DS52" i="5"/>
  <c r="DT52" i="5"/>
  <c r="DU52" i="5"/>
  <c r="DV52" i="5"/>
  <c r="DW52" i="5"/>
  <c r="DX52" i="5"/>
  <c r="DY52" i="5"/>
  <c r="DZ52" i="5"/>
  <c r="EA52" i="5"/>
  <c r="EB52" i="5"/>
  <c r="EC52" i="5"/>
  <c r="ED52" i="5"/>
  <c r="EE52" i="5"/>
  <c r="EF52" i="5"/>
  <c r="EG52" i="5"/>
  <c r="EH52" i="5"/>
  <c r="EI52" i="5"/>
  <c r="EJ52" i="5"/>
  <c r="EK52" i="5"/>
  <c r="EL52" i="5"/>
  <c r="EM52" i="5"/>
  <c r="EN52" i="5"/>
  <c r="EO52" i="5"/>
  <c r="EP52" i="5"/>
  <c r="EQ52" i="5"/>
  <c r="ER52" i="5"/>
  <c r="ES52" i="5"/>
  <c r="ET52" i="5"/>
  <c r="EU52" i="5"/>
  <c r="EV52" i="5"/>
  <c r="EW52" i="5"/>
  <c r="EX52" i="5"/>
  <c r="EY52" i="5"/>
  <c r="EZ52" i="5"/>
  <c r="FA52" i="5"/>
  <c r="FB52" i="5"/>
  <c r="FC52" i="5"/>
  <c r="FD52" i="5"/>
  <c r="FE52" i="5"/>
  <c r="FF52" i="5"/>
  <c r="FG52" i="5"/>
  <c r="FH52" i="5"/>
  <c r="FI52" i="5"/>
  <c r="FJ52" i="5"/>
  <c r="FK52" i="5"/>
  <c r="FL52" i="5"/>
  <c r="FM52" i="5"/>
  <c r="FN52" i="5"/>
  <c r="FO52" i="5"/>
  <c r="FP52" i="5"/>
  <c r="FQ52" i="5"/>
  <c r="FR52" i="5"/>
  <c r="FS52" i="5"/>
  <c r="FT52" i="5"/>
  <c r="FU52" i="5"/>
  <c r="FV52" i="5"/>
  <c r="FW52" i="5"/>
  <c r="FX52" i="5"/>
  <c r="FY52" i="5"/>
  <c r="FZ52" i="5"/>
  <c r="GA52" i="5"/>
  <c r="GB52" i="5"/>
  <c r="GC52" i="5"/>
  <c r="GD52" i="5"/>
  <c r="GE52" i="5"/>
  <c r="GF52" i="5"/>
  <c r="GG52" i="5"/>
  <c r="GH52" i="5"/>
  <c r="GI52" i="5"/>
  <c r="GJ52" i="5"/>
  <c r="GK52" i="5"/>
  <c r="GL52" i="5"/>
  <c r="GM52" i="5"/>
  <c r="GN52" i="5"/>
  <c r="GO52" i="5"/>
  <c r="GP52" i="5"/>
  <c r="GQ52" i="5"/>
  <c r="GR52" i="5"/>
  <c r="GS52" i="5"/>
  <c r="GT52" i="5"/>
  <c r="GU52" i="5"/>
  <c r="GV52" i="5"/>
  <c r="GW52" i="5"/>
  <c r="GX52" i="5"/>
  <c r="GY52" i="5"/>
  <c r="GZ52" i="5"/>
  <c r="HA52" i="5"/>
  <c r="HB52" i="5"/>
  <c r="HC52" i="5"/>
  <c r="HD52" i="5"/>
  <c r="HE52" i="5"/>
  <c r="HF52" i="5"/>
  <c r="HG52" i="5"/>
  <c r="HH52" i="5"/>
  <c r="HI52" i="5"/>
  <c r="HJ52" i="5"/>
  <c r="HK52" i="5"/>
  <c r="HL52" i="5"/>
  <c r="HM52" i="5"/>
  <c r="HN52" i="5"/>
  <c r="HO52" i="5"/>
  <c r="HP52" i="5"/>
  <c r="HQ52" i="5"/>
  <c r="HR52" i="5"/>
  <c r="HS52" i="5"/>
  <c r="HT52" i="5"/>
  <c r="HU52" i="5"/>
  <c r="HV52" i="5"/>
  <c r="HW52" i="5"/>
  <c r="HX52" i="5"/>
  <c r="HY52" i="5"/>
  <c r="HZ52" i="5"/>
  <c r="IA52" i="5"/>
  <c r="IB52" i="5"/>
  <c r="IC52" i="5"/>
  <c r="ID52" i="5"/>
  <c r="IE52" i="5"/>
  <c r="IF52" i="5"/>
  <c r="IG52" i="5"/>
  <c r="IH52" i="5"/>
  <c r="II52" i="5"/>
  <c r="IJ52" i="5"/>
  <c r="IK52" i="5"/>
  <c r="IL52" i="5"/>
  <c r="IM52" i="5"/>
  <c r="IN52" i="5"/>
  <c r="IO52" i="5"/>
  <c r="IP52" i="5"/>
  <c r="IQ52" i="5"/>
  <c r="IR52" i="5"/>
  <c r="IS52" i="5"/>
  <c r="IT52" i="5"/>
  <c r="IU52" i="5"/>
  <c r="IV52" i="5"/>
  <c r="A51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BL51" i="5"/>
  <c r="BM51" i="5"/>
  <c r="BN51" i="5"/>
  <c r="BO51" i="5"/>
  <c r="BP51" i="5"/>
  <c r="BQ51" i="5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CP51" i="5"/>
  <c r="CQ51" i="5"/>
  <c r="CR51" i="5"/>
  <c r="CS51" i="5"/>
  <c r="CT51" i="5"/>
  <c r="CU51" i="5"/>
  <c r="CV51" i="5"/>
  <c r="CW51" i="5"/>
  <c r="CX51" i="5"/>
  <c r="CY51" i="5"/>
  <c r="CZ51" i="5"/>
  <c r="DA51" i="5"/>
  <c r="DB51" i="5"/>
  <c r="DC51" i="5"/>
  <c r="DD51" i="5"/>
  <c r="DE51" i="5"/>
  <c r="DF51" i="5"/>
  <c r="DG51" i="5"/>
  <c r="DH51" i="5"/>
  <c r="DI51" i="5"/>
  <c r="DJ51" i="5"/>
  <c r="DK51" i="5"/>
  <c r="DL51" i="5"/>
  <c r="DM51" i="5"/>
  <c r="DN51" i="5"/>
  <c r="DO51" i="5"/>
  <c r="DP51" i="5"/>
  <c r="DQ51" i="5"/>
  <c r="DR51" i="5"/>
  <c r="DS51" i="5"/>
  <c r="DT51" i="5"/>
  <c r="DU51" i="5"/>
  <c r="DV51" i="5"/>
  <c r="DW51" i="5"/>
  <c r="DX51" i="5"/>
  <c r="DY51" i="5"/>
  <c r="DZ51" i="5"/>
  <c r="EA51" i="5"/>
  <c r="EB51" i="5"/>
  <c r="EC51" i="5"/>
  <c r="ED51" i="5"/>
  <c r="EE51" i="5"/>
  <c r="EF51" i="5"/>
  <c r="EG51" i="5"/>
  <c r="EH51" i="5"/>
  <c r="EI51" i="5"/>
  <c r="EJ51" i="5"/>
  <c r="EK51" i="5"/>
  <c r="EL51" i="5"/>
  <c r="EM51" i="5"/>
  <c r="EN51" i="5"/>
  <c r="EO51" i="5"/>
  <c r="EP51" i="5"/>
  <c r="EQ51" i="5"/>
  <c r="ER51" i="5"/>
  <c r="ES51" i="5"/>
  <c r="ET51" i="5"/>
  <c r="EU51" i="5"/>
  <c r="EV51" i="5"/>
  <c r="EW51" i="5"/>
  <c r="EX51" i="5"/>
  <c r="EY51" i="5"/>
  <c r="EZ51" i="5"/>
  <c r="FA51" i="5"/>
  <c r="FB51" i="5"/>
  <c r="FC51" i="5"/>
  <c r="FD51" i="5"/>
  <c r="FE51" i="5"/>
  <c r="FF51" i="5"/>
  <c r="FG51" i="5"/>
  <c r="FH51" i="5"/>
  <c r="FI51" i="5"/>
  <c r="FJ51" i="5"/>
  <c r="FK51" i="5"/>
  <c r="FL51" i="5"/>
  <c r="FM51" i="5"/>
  <c r="FN51" i="5"/>
  <c r="FO51" i="5"/>
  <c r="FP51" i="5"/>
  <c r="FQ51" i="5"/>
  <c r="FR51" i="5"/>
  <c r="FS51" i="5"/>
  <c r="FT51" i="5"/>
  <c r="FU51" i="5"/>
  <c r="FV51" i="5"/>
  <c r="FW51" i="5"/>
  <c r="FX51" i="5"/>
  <c r="FY51" i="5"/>
  <c r="FZ51" i="5"/>
  <c r="GA51" i="5"/>
  <c r="GB51" i="5"/>
  <c r="GC51" i="5"/>
  <c r="GD51" i="5"/>
  <c r="GE51" i="5"/>
  <c r="GF51" i="5"/>
  <c r="GG51" i="5"/>
  <c r="GH51" i="5"/>
  <c r="GI51" i="5"/>
  <c r="GJ51" i="5"/>
  <c r="GK51" i="5"/>
  <c r="GL51" i="5"/>
  <c r="GM51" i="5"/>
  <c r="GN51" i="5"/>
  <c r="GO51" i="5"/>
  <c r="GP51" i="5"/>
  <c r="GQ51" i="5"/>
  <c r="GR51" i="5"/>
  <c r="GS51" i="5"/>
  <c r="GT51" i="5"/>
  <c r="GU51" i="5"/>
  <c r="GV51" i="5"/>
  <c r="GW51" i="5"/>
  <c r="GX51" i="5"/>
  <c r="GY51" i="5"/>
  <c r="GZ51" i="5"/>
  <c r="HA51" i="5"/>
  <c r="HB51" i="5"/>
  <c r="HC51" i="5"/>
  <c r="HD51" i="5"/>
  <c r="HE51" i="5"/>
  <c r="HF51" i="5"/>
  <c r="HG51" i="5"/>
  <c r="HH51" i="5"/>
  <c r="HI51" i="5"/>
  <c r="HJ51" i="5"/>
  <c r="HK51" i="5"/>
  <c r="HL51" i="5"/>
  <c r="HM51" i="5"/>
  <c r="HN51" i="5"/>
  <c r="HO51" i="5"/>
  <c r="HP51" i="5"/>
  <c r="HQ51" i="5"/>
  <c r="HR51" i="5"/>
  <c r="HS51" i="5"/>
  <c r="HT51" i="5"/>
  <c r="HU51" i="5"/>
  <c r="HV51" i="5"/>
  <c r="HW51" i="5"/>
  <c r="HX51" i="5"/>
  <c r="HY51" i="5"/>
  <c r="HZ51" i="5"/>
  <c r="IA51" i="5"/>
  <c r="IB51" i="5"/>
  <c r="IC51" i="5"/>
  <c r="ID51" i="5"/>
  <c r="IE51" i="5"/>
  <c r="IF51" i="5"/>
  <c r="IG51" i="5"/>
  <c r="IH51" i="5"/>
  <c r="II51" i="5"/>
  <c r="IJ51" i="5"/>
  <c r="IK51" i="5"/>
  <c r="IL51" i="5"/>
  <c r="IM51" i="5"/>
  <c r="IN51" i="5"/>
  <c r="IO51" i="5"/>
  <c r="IP51" i="5"/>
  <c r="IQ51" i="5"/>
  <c r="IR51" i="5"/>
  <c r="IS51" i="5"/>
  <c r="IT51" i="5"/>
  <c r="IU51" i="5"/>
  <c r="IV51" i="5"/>
  <c r="A50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BL50" i="5"/>
  <c r="BM50" i="5"/>
  <c r="BN50" i="5"/>
  <c r="BO50" i="5"/>
  <c r="BP50" i="5"/>
  <c r="BQ50" i="5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DA50" i="5"/>
  <c r="DB50" i="5"/>
  <c r="DC50" i="5"/>
  <c r="DD50" i="5"/>
  <c r="DE50" i="5"/>
  <c r="DF50" i="5"/>
  <c r="DG50" i="5"/>
  <c r="DH50" i="5"/>
  <c r="DI50" i="5"/>
  <c r="DJ50" i="5"/>
  <c r="DK50" i="5"/>
  <c r="DL50" i="5"/>
  <c r="DM50" i="5"/>
  <c r="DN50" i="5"/>
  <c r="DO50" i="5"/>
  <c r="DP50" i="5"/>
  <c r="DQ50" i="5"/>
  <c r="DR50" i="5"/>
  <c r="DS50" i="5"/>
  <c r="DT50" i="5"/>
  <c r="DU50" i="5"/>
  <c r="DV50" i="5"/>
  <c r="DW50" i="5"/>
  <c r="DX50" i="5"/>
  <c r="DY50" i="5"/>
  <c r="DZ50" i="5"/>
  <c r="EA50" i="5"/>
  <c r="EB50" i="5"/>
  <c r="EC50" i="5"/>
  <c r="ED50" i="5"/>
  <c r="EE50" i="5"/>
  <c r="EF50" i="5"/>
  <c r="EG50" i="5"/>
  <c r="EH50" i="5"/>
  <c r="EI50" i="5"/>
  <c r="EJ50" i="5"/>
  <c r="EK50" i="5"/>
  <c r="EL50" i="5"/>
  <c r="EM50" i="5"/>
  <c r="EN50" i="5"/>
  <c r="EO50" i="5"/>
  <c r="EP50" i="5"/>
  <c r="EQ50" i="5"/>
  <c r="ER50" i="5"/>
  <c r="ES50" i="5"/>
  <c r="ET50" i="5"/>
  <c r="EU50" i="5"/>
  <c r="EV50" i="5"/>
  <c r="EW50" i="5"/>
  <c r="EX50" i="5"/>
  <c r="EY50" i="5"/>
  <c r="EZ50" i="5"/>
  <c r="FA50" i="5"/>
  <c r="FB50" i="5"/>
  <c r="FC50" i="5"/>
  <c r="FD50" i="5"/>
  <c r="FE50" i="5"/>
  <c r="FF50" i="5"/>
  <c r="FG50" i="5"/>
  <c r="FH50" i="5"/>
  <c r="FI50" i="5"/>
  <c r="FJ50" i="5"/>
  <c r="FK50" i="5"/>
  <c r="FL50" i="5"/>
  <c r="FM50" i="5"/>
  <c r="FN50" i="5"/>
  <c r="FO50" i="5"/>
  <c r="FP50" i="5"/>
  <c r="FQ50" i="5"/>
  <c r="FR50" i="5"/>
  <c r="FS50" i="5"/>
  <c r="FT50" i="5"/>
  <c r="FU50" i="5"/>
  <c r="FV50" i="5"/>
  <c r="FW50" i="5"/>
  <c r="FX50" i="5"/>
  <c r="FY50" i="5"/>
  <c r="FZ50" i="5"/>
  <c r="GA50" i="5"/>
  <c r="GB50" i="5"/>
  <c r="GC50" i="5"/>
  <c r="GD50" i="5"/>
  <c r="GE50" i="5"/>
  <c r="GF50" i="5"/>
  <c r="GG50" i="5"/>
  <c r="GH50" i="5"/>
  <c r="GI50" i="5"/>
  <c r="GJ50" i="5"/>
  <c r="GK50" i="5"/>
  <c r="GL50" i="5"/>
  <c r="GM50" i="5"/>
  <c r="GN50" i="5"/>
  <c r="GO50" i="5"/>
  <c r="GP50" i="5"/>
  <c r="GQ50" i="5"/>
  <c r="GR50" i="5"/>
  <c r="GS50" i="5"/>
  <c r="GT50" i="5"/>
  <c r="GU50" i="5"/>
  <c r="GV50" i="5"/>
  <c r="GW50" i="5"/>
  <c r="GX50" i="5"/>
  <c r="GY50" i="5"/>
  <c r="GZ50" i="5"/>
  <c r="HA50" i="5"/>
  <c r="HB50" i="5"/>
  <c r="HC50" i="5"/>
  <c r="HD50" i="5"/>
  <c r="HE50" i="5"/>
  <c r="HF50" i="5"/>
  <c r="HG50" i="5"/>
  <c r="HH50" i="5"/>
  <c r="HI50" i="5"/>
  <c r="HJ50" i="5"/>
  <c r="HK50" i="5"/>
  <c r="HL50" i="5"/>
  <c r="HM50" i="5"/>
  <c r="HN50" i="5"/>
  <c r="HO50" i="5"/>
  <c r="HP50" i="5"/>
  <c r="HQ50" i="5"/>
  <c r="HR50" i="5"/>
  <c r="HS50" i="5"/>
  <c r="HT50" i="5"/>
  <c r="HU50" i="5"/>
  <c r="HV50" i="5"/>
  <c r="HW50" i="5"/>
  <c r="HX50" i="5"/>
  <c r="HY50" i="5"/>
  <c r="HZ50" i="5"/>
  <c r="IA50" i="5"/>
  <c r="IB50" i="5"/>
  <c r="IC50" i="5"/>
  <c r="ID50" i="5"/>
  <c r="IE50" i="5"/>
  <c r="IF50" i="5"/>
  <c r="IG50" i="5"/>
  <c r="IH50" i="5"/>
  <c r="II50" i="5"/>
  <c r="IJ50" i="5"/>
  <c r="IK50" i="5"/>
  <c r="IL50" i="5"/>
  <c r="IM50" i="5"/>
  <c r="IN50" i="5"/>
  <c r="IO50" i="5"/>
  <c r="IP50" i="5"/>
  <c r="IQ50" i="5"/>
  <c r="IR50" i="5"/>
  <c r="IS50" i="5"/>
  <c r="IT50" i="5"/>
  <c r="IU50" i="5"/>
  <c r="IV50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BL49" i="5"/>
  <c r="BM49" i="5"/>
  <c r="BN49" i="5"/>
  <c r="BO49" i="5"/>
  <c r="BP49" i="5"/>
  <c r="BQ49" i="5"/>
  <c r="BR49" i="5"/>
  <c r="BS49" i="5"/>
  <c r="BT49" i="5"/>
  <c r="BU49" i="5"/>
  <c r="BV49" i="5"/>
  <c r="BW49" i="5"/>
  <c r="BX49" i="5"/>
  <c r="BY49" i="5"/>
  <c r="BZ49" i="5"/>
  <c r="CA49" i="5"/>
  <c r="CB49" i="5"/>
  <c r="CC49" i="5"/>
  <c r="CD49" i="5"/>
  <c r="CE49" i="5"/>
  <c r="CF49" i="5"/>
  <c r="CG49" i="5"/>
  <c r="CH49" i="5"/>
  <c r="CI49" i="5"/>
  <c r="CJ49" i="5"/>
  <c r="CK49" i="5"/>
  <c r="CL49" i="5"/>
  <c r="CM49" i="5"/>
  <c r="CN49" i="5"/>
  <c r="CO49" i="5"/>
  <c r="CP49" i="5"/>
  <c r="CQ49" i="5"/>
  <c r="CR49" i="5"/>
  <c r="CS49" i="5"/>
  <c r="CT49" i="5"/>
  <c r="CU49" i="5"/>
  <c r="CV49" i="5"/>
  <c r="CW49" i="5"/>
  <c r="CX49" i="5"/>
  <c r="CY49" i="5"/>
  <c r="CZ49" i="5"/>
  <c r="DA49" i="5"/>
  <c r="DB49" i="5"/>
  <c r="DC49" i="5"/>
  <c r="DD49" i="5"/>
  <c r="DE49" i="5"/>
  <c r="DF49" i="5"/>
  <c r="DG49" i="5"/>
  <c r="DH49" i="5"/>
  <c r="DI49" i="5"/>
  <c r="DJ49" i="5"/>
  <c r="DK49" i="5"/>
  <c r="DL49" i="5"/>
  <c r="DM49" i="5"/>
  <c r="DN49" i="5"/>
  <c r="DO49" i="5"/>
  <c r="DP49" i="5"/>
  <c r="DQ49" i="5"/>
  <c r="DR49" i="5"/>
  <c r="DS49" i="5"/>
  <c r="DT49" i="5"/>
  <c r="DU49" i="5"/>
  <c r="DV49" i="5"/>
  <c r="DW49" i="5"/>
  <c r="DX49" i="5"/>
  <c r="DY49" i="5"/>
  <c r="DZ49" i="5"/>
  <c r="EA49" i="5"/>
  <c r="EB49" i="5"/>
  <c r="EC49" i="5"/>
  <c r="ED49" i="5"/>
  <c r="EE49" i="5"/>
  <c r="EF49" i="5"/>
  <c r="EG49" i="5"/>
  <c r="EH49" i="5"/>
  <c r="EI49" i="5"/>
  <c r="EJ49" i="5"/>
  <c r="EK49" i="5"/>
  <c r="EL49" i="5"/>
  <c r="EM49" i="5"/>
  <c r="EN49" i="5"/>
  <c r="EO49" i="5"/>
  <c r="EP49" i="5"/>
  <c r="EQ49" i="5"/>
  <c r="ER49" i="5"/>
  <c r="ES49" i="5"/>
  <c r="ET49" i="5"/>
  <c r="EU49" i="5"/>
  <c r="EV49" i="5"/>
  <c r="EW49" i="5"/>
  <c r="EX49" i="5"/>
  <c r="EY49" i="5"/>
  <c r="EZ49" i="5"/>
  <c r="FA49" i="5"/>
  <c r="FB49" i="5"/>
  <c r="FC49" i="5"/>
  <c r="FD49" i="5"/>
  <c r="FE49" i="5"/>
  <c r="FF49" i="5"/>
  <c r="FG49" i="5"/>
  <c r="FH49" i="5"/>
  <c r="FI49" i="5"/>
  <c r="FJ49" i="5"/>
  <c r="FK49" i="5"/>
  <c r="FL49" i="5"/>
  <c r="FM49" i="5"/>
  <c r="FN49" i="5"/>
  <c r="FO49" i="5"/>
  <c r="FP49" i="5"/>
  <c r="FQ49" i="5"/>
  <c r="FR49" i="5"/>
  <c r="FS49" i="5"/>
  <c r="FT49" i="5"/>
  <c r="FU49" i="5"/>
  <c r="FV49" i="5"/>
  <c r="FW49" i="5"/>
  <c r="FX49" i="5"/>
  <c r="FY49" i="5"/>
  <c r="FZ49" i="5"/>
  <c r="GA49" i="5"/>
  <c r="GB49" i="5"/>
  <c r="GC49" i="5"/>
  <c r="GD49" i="5"/>
  <c r="GE49" i="5"/>
  <c r="GF49" i="5"/>
  <c r="GG49" i="5"/>
  <c r="GH49" i="5"/>
  <c r="GI49" i="5"/>
  <c r="GJ49" i="5"/>
  <c r="GK49" i="5"/>
  <c r="GL49" i="5"/>
  <c r="GM49" i="5"/>
  <c r="GN49" i="5"/>
  <c r="GO49" i="5"/>
  <c r="GP49" i="5"/>
  <c r="GQ49" i="5"/>
  <c r="GR49" i="5"/>
  <c r="GS49" i="5"/>
  <c r="GT49" i="5"/>
  <c r="GU49" i="5"/>
  <c r="GV49" i="5"/>
  <c r="GW49" i="5"/>
  <c r="GX49" i="5"/>
  <c r="GY49" i="5"/>
  <c r="GZ49" i="5"/>
  <c r="HA49" i="5"/>
  <c r="HB49" i="5"/>
  <c r="HC49" i="5"/>
  <c r="HD49" i="5"/>
  <c r="HE49" i="5"/>
  <c r="HF49" i="5"/>
  <c r="HG49" i="5"/>
  <c r="HH49" i="5"/>
  <c r="HI49" i="5"/>
  <c r="HJ49" i="5"/>
  <c r="HK49" i="5"/>
  <c r="HL49" i="5"/>
  <c r="HM49" i="5"/>
  <c r="HN49" i="5"/>
  <c r="HO49" i="5"/>
  <c r="HP49" i="5"/>
  <c r="HQ49" i="5"/>
  <c r="HR49" i="5"/>
  <c r="HS49" i="5"/>
  <c r="HT49" i="5"/>
  <c r="HU49" i="5"/>
  <c r="HV49" i="5"/>
  <c r="HW49" i="5"/>
  <c r="HX49" i="5"/>
  <c r="HY49" i="5"/>
  <c r="HZ49" i="5"/>
  <c r="IA49" i="5"/>
  <c r="IB49" i="5"/>
  <c r="IC49" i="5"/>
  <c r="ID49" i="5"/>
  <c r="IE49" i="5"/>
  <c r="IF49" i="5"/>
  <c r="IG49" i="5"/>
  <c r="IH49" i="5"/>
  <c r="II49" i="5"/>
  <c r="IJ49" i="5"/>
  <c r="IK49" i="5"/>
  <c r="IL49" i="5"/>
  <c r="IM49" i="5"/>
  <c r="IN49" i="5"/>
  <c r="IO49" i="5"/>
  <c r="IP49" i="5"/>
  <c r="IQ49" i="5"/>
  <c r="IR49" i="5"/>
  <c r="IS49" i="5"/>
  <c r="IT49" i="5"/>
  <c r="IU49" i="5"/>
  <c r="IV49" i="5"/>
  <c r="A48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BL48" i="5"/>
  <c r="BM48" i="5"/>
  <c r="BN48" i="5"/>
  <c r="BO48" i="5"/>
  <c r="BP48" i="5"/>
  <c r="BQ48" i="5"/>
  <c r="BR48" i="5"/>
  <c r="BS48" i="5"/>
  <c r="BT48" i="5"/>
  <c r="BU48" i="5"/>
  <c r="BV48" i="5"/>
  <c r="BW48" i="5"/>
  <c r="BX48" i="5"/>
  <c r="BY48" i="5"/>
  <c r="BZ48" i="5"/>
  <c r="CA48" i="5"/>
  <c r="CB48" i="5"/>
  <c r="CC48" i="5"/>
  <c r="CD48" i="5"/>
  <c r="CE48" i="5"/>
  <c r="CF48" i="5"/>
  <c r="CG48" i="5"/>
  <c r="CH48" i="5"/>
  <c r="CI48" i="5"/>
  <c r="CJ48" i="5"/>
  <c r="CK48" i="5"/>
  <c r="CL48" i="5"/>
  <c r="CM48" i="5"/>
  <c r="CN48" i="5"/>
  <c r="CO48" i="5"/>
  <c r="CP48" i="5"/>
  <c r="CQ48" i="5"/>
  <c r="CR48" i="5"/>
  <c r="CS48" i="5"/>
  <c r="CT48" i="5"/>
  <c r="CU48" i="5"/>
  <c r="CV48" i="5"/>
  <c r="CW48" i="5"/>
  <c r="CX48" i="5"/>
  <c r="CY48" i="5"/>
  <c r="CZ48" i="5"/>
  <c r="DA48" i="5"/>
  <c r="DB48" i="5"/>
  <c r="DC48" i="5"/>
  <c r="DD48" i="5"/>
  <c r="DE48" i="5"/>
  <c r="DF48" i="5"/>
  <c r="DG48" i="5"/>
  <c r="DH48" i="5"/>
  <c r="DI48" i="5"/>
  <c r="DJ48" i="5"/>
  <c r="DK48" i="5"/>
  <c r="DL48" i="5"/>
  <c r="DM48" i="5"/>
  <c r="DN48" i="5"/>
  <c r="DO48" i="5"/>
  <c r="DP48" i="5"/>
  <c r="DQ48" i="5"/>
  <c r="DR48" i="5"/>
  <c r="DS48" i="5"/>
  <c r="DT48" i="5"/>
  <c r="DU48" i="5"/>
  <c r="DV48" i="5"/>
  <c r="DW48" i="5"/>
  <c r="DX48" i="5"/>
  <c r="DY48" i="5"/>
  <c r="DZ48" i="5"/>
  <c r="EA48" i="5"/>
  <c r="EB48" i="5"/>
  <c r="EC48" i="5"/>
  <c r="ED48" i="5"/>
  <c r="EE48" i="5"/>
  <c r="EF48" i="5"/>
  <c r="EG48" i="5"/>
  <c r="EH48" i="5"/>
  <c r="EI48" i="5"/>
  <c r="EJ48" i="5"/>
  <c r="EK48" i="5"/>
  <c r="EL48" i="5"/>
  <c r="EM48" i="5"/>
  <c r="EN48" i="5"/>
  <c r="EO48" i="5"/>
  <c r="EP48" i="5"/>
  <c r="EQ48" i="5"/>
  <c r="ER48" i="5"/>
  <c r="ES48" i="5"/>
  <c r="ET48" i="5"/>
  <c r="EU48" i="5"/>
  <c r="EV48" i="5"/>
  <c r="EW48" i="5"/>
  <c r="EX48" i="5"/>
  <c r="EY48" i="5"/>
  <c r="EZ48" i="5"/>
  <c r="FA48" i="5"/>
  <c r="FB48" i="5"/>
  <c r="FC48" i="5"/>
  <c r="FD48" i="5"/>
  <c r="FE48" i="5"/>
  <c r="FF48" i="5"/>
  <c r="FG48" i="5"/>
  <c r="FH48" i="5"/>
  <c r="FI48" i="5"/>
  <c r="FJ48" i="5"/>
  <c r="FK48" i="5"/>
  <c r="FL48" i="5"/>
  <c r="FM48" i="5"/>
  <c r="FN48" i="5"/>
  <c r="FO48" i="5"/>
  <c r="FP48" i="5"/>
  <c r="FQ48" i="5"/>
  <c r="FR48" i="5"/>
  <c r="FS48" i="5"/>
  <c r="FT48" i="5"/>
  <c r="FU48" i="5"/>
  <c r="FV48" i="5"/>
  <c r="FW48" i="5"/>
  <c r="FX48" i="5"/>
  <c r="FY48" i="5"/>
  <c r="FZ48" i="5"/>
  <c r="GA48" i="5"/>
  <c r="GB48" i="5"/>
  <c r="GC48" i="5"/>
  <c r="GD48" i="5"/>
  <c r="GE48" i="5"/>
  <c r="GF48" i="5"/>
  <c r="GG48" i="5"/>
  <c r="GH48" i="5"/>
  <c r="GI48" i="5"/>
  <c r="GJ48" i="5"/>
  <c r="GK48" i="5"/>
  <c r="GL48" i="5"/>
  <c r="GM48" i="5"/>
  <c r="GN48" i="5"/>
  <c r="GO48" i="5"/>
  <c r="GP48" i="5"/>
  <c r="GQ48" i="5"/>
  <c r="GR48" i="5"/>
  <c r="GS48" i="5"/>
  <c r="GT48" i="5"/>
  <c r="GU48" i="5"/>
  <c r="GV48" i="5"/>
  <c r="GW48" i="5"/>
  <c r="GX48" i="5"/>
  <c r="GY48" i="5"/>
  <c r="GZ48" i="5"/>
  <c r="HA48" i="5"/>
  <c r="HB48" i="5"/>
  <c r="HC48" i="5"/>
  <c r="HD48" i="5"/>
  <c r="HE48" i="5"/>
  <c r="HF48" i="5"/>
  <c r="HG48" i="5"/>
  <c r="HH48" i="5"/>
  <c r="HI48" i="5"/>
  <c r="HJ48" i="5"/>
  <c r="HK48" i="5"/>
  <c r="HL48" i="5"/>
  <c r="HM48" i="5"/>
  <c r="HN48" i="5"/>
  <c r="HO48" i="5"/>
  <c r="HP48" i="5"/>
  <c r="HQ48" i="5"/>
  <c r="HR48" i="5"/>
  <c r="HS48" i="5"/>
  <c r="HT48" i="5"/>
  <c r="HU48" i="5"/>
  <c r="HV48" i="5"/>
  <c r="HW48" i="5"/>
  <c r="HX48" i="5"/>
  <c r="HY48" i="5"/>
  <c r="HZ48" i="5"/>
  <c r="IA48" i="5"/>
  <c r="IB48" i="5"/>
  <c r="IC48" i="5"/>
  <c r="ID48" i="5"/>
  <c r="IE48" i="5"/>
  <c r="IF48" i="5"/>
  <c r="IG48" i="5"/>
  <c r="IH48" i="5"/>
  <c r="II48" i="5"/>
  <c r="IJ48" i="5"/>
  <c r="IK48" i="5"/>
  <c r="IL48" i="5"/>
  <c r="IM48" i="5"/>
  <c r="IN48" i="5"/>
  <c r="IO48" i="5"/>
  <c r="IP48" i="5"/>
  <c r="IQ48" i="5"/>
  <c r="IR48" i="5"/>
  <c r="IS48" i="5"/>
  <c r="IT48" i="5"/>
  <c r="IU48" i="5"/>
  <c r="IV48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DN47" i="5"/>
  <c r="DO47" i="5"/>
  <c r="DP47" i="5"/>
  <c r="DQ47" i="5"/>
  <c r="DR47" i="5"/>
  <c r="DS47" i="5"/>
  <c r="DT47" i="5"/>
  <c r="DU47" i="5"/>
  <c r="DV47" i="5"/>
  <c r="DW47" i="5"/>
  <c r="DX47" i="5"/>
  <c r="DY47" i="5"/>
  <c r="DZ47" i="5"/>
  <c r="EA47" i="5"/>
  <c r="EB47" i="5"/>
  <c r="EC47" i="5"/>
  <c r="ED47" i="5"/>
  <c r="EE47" i="5"/>
  <c r="EF47" i="5"/>
  <c r="EG47" i="5"/>
  <c r="EH47" i="5"/>
  <c r="EI47" i="5"/>
  <c r="EJ47" i="5"/>
  <c r="EK47" i="5"/>
  <c r="EL47" i="5"/>
  <c r="EM47" i="5"/>
  <c r="EN47" i="5"/>
  <c r="EO47" i="5"/>
  <c r="EP47" i="5"/>
  <c r="EQ47" i="5"/>
  <c r="ER47" i="5"/>
  <c r="ES47" i="5"/>
  <c r="ET47" i="5"/>
  <c r="EU47" i="5"/>
  <c r="EV47" i="5"/>
  <c r="EW47" i="5"/>
  <c r="EX47" i="5"/>
  <c r="EY47" i="5"/>
  <c r="EZ47" i="5"/>
  <c r="FA47" i="5"/>
  <c r="FB47" i="5"/>
  <c r="FC47" i="5"/>
  <c r="FD47" i="5"/>
  <c r="FE47" i="5"/>
  <c r="FF47" i="5"/>
  <c r="FG47" i="5"/>
  <c r="FH47" i="5"/>
  <c r="FI47" i="5"/>
  <c r="FJ47" i="5"/>
  <c r="FK47" i="5"/>
  <c r="FL47" i="5"/>
  <c r="FM47" i="5"/>
  <c r="FN47" i="5"/>
  <c r="FO47" i="5"/>
  <c r="FP47" i="5"/>
  <c r="FQ47" i="5"/>
  <c r="FR47" i="5"/>
  <c r="FS47" i="5"/>
  <c r="FT47" i="5"/>
  <c r="FU47" i="5"/>
  <c r="FV47" i="5"/>
  <c r="FW47" i="5"/>
  <c r="FX47" i="5"/>
  <c r="FY47" i="5"/>
  <c r="FZ47" i="5"/>
  <c r="GA47" i="5"/>
  <c r="GB47" i="5"/>
  <c r="GC47" i="5"/>
  <c r="GD47" i="5"/>
  <c r="GE47" i="5"/>
  <c r="GF47" i="5"/>
  <c r="GG47" i="5"/>
  <c r="GH47" i="5"/>
  <c r="GI47" i="5"/>
  <c r="GJ47" i="5"/>
  <c r="GK47" i="5"/>
  <c r="GL47" i="5"/>
  <c r="GM47" i="5"/>
  <c r="GN47" i="5"/>
  <c r="GO47" i="5"/>
  <c r="GP47" i="5"/>
  <c r="GQ47" i="5"/>
  <c r="GR47" i="5"/>
  <c r="GS47" i="5"/>
  <c r="GT47" i="5"/>
  <c r="GU47" i="5"/>
  <c r="GV47" i="5"/>
  <c r="GW47" i="5"/>
  <c r="GX47" i="5"/>
  <c r="GY47" i="5"/>
  <c r="GZ47" i="5"/>
  <c r="HA47" i="5"/>
  <c r="HB47" i="5"/>
  <c r="HC47" i="5"/>
  <c r="HD47" i="5"/>
  <c r="HE47" i="5"/>
  <c r="HF47" i="5"/>
  <c r="HG47" i="5"/>
  <c r="HH47" i="5"/>
  <c r="HI47" i="5"/>
  <c r="HJ47" i="5"/>
  <c r="HK47" i="5"/>
  <c r="HL47" i="5"/>
  <c r="HM47" i="5"/>
  <c r="HN47" i="5"/>
  <c r="HO47" i="5"/>
  <c r="HP47" i="5"/>
  <c r="HQ47" i="5"/>
  <c r="HR47" i="5"/>
  <c r="HS47" i="5"/>
  <c r="HT47" i="5"/>
  <c r="HU47" i="5"/>
  <c r="HV47" i="5"/>
  <c r="HW47" i="5"/>
  <c r="HX47" i="5"/>
  <c r="HY47" i="5"/>
  <c r="HZ47" i="5"/>
  <c r="IA47" i="5"/>
  <c r="IB47" i="5"/>
  <c r="IC47" i="5"/>
  <c r="ID47" i="5"/>
  <c r="IE47" i="5"/>
  <c r="IF47" i="5"/>
  <c r="IG47" i="5"/>
  <c r="IH47" i="5"/>
  <c r="II47" i="5"/>
  <c r="IJ47" i="5"/>
  <c r="IK47" i="5"/>
  <c r="IL47" i="5"/>
  <c r="IM47" i="5"/>
  <c r="IN47" i="5"/>
  <c r="IO47" i="5"/>
  <c r="IP47" i="5"/>
  <c r="IQ47" i="5"/>
  <c r="IR47" i="5"/>
  <c r="IS47" i="5"/>
  <c r="IT47" i="5"/>
  <c r="IU47" i="5"/>
  <c r="IV47" i="5"/>
  <c r="A46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BL46" i="5"/>
  <c r="BM46" i="5"/>
  <c r="BN46" i="5"/>
  <c r="BO46" i="5"/>
  <c r="BP46" i="5"/>
  <c r="BQ46" i="5"/>
  <c r="BR46" i="5"/>
  <c r="BS46" i="5"/>
  <c r="BT46" i="5"/>
  <c r="BU46" i="5"/>
  <c r="BV46" i="5"/>
  <c r="BW46" i="5"/>
  <c r="BX46" i="5"/>
  <c r="BY46" i="5"/>
  <c r="BZ46" i="5"/>
  <c r="CA46" i="5"/>
  <c r="CB46" i="5"/>
  <c r="CC46" i="5"/>
  <c r="CD46" i="5"/>
  <c r="CE46" i="5"/>
  <c r="CF46" i="5"/>
  <c r="CG46" i="5"/>
  <c r="CH46" i="5"/>
  <c r="CI46" i="5"/>
  <c r="CJ46" i="5"/>
  <c r="CK46" i="5"/>
  <c r="CL46" i="5"/>
  <c r="CM46" i="5"/>
  <c r="CN46" i="5"/>
  <c r="CO46" i="5"/>
  <c r="CP46" i="5"/>
  <c r="CQ46" i="5"/>
  <c r="CR46" i="5"/>
  <c r="CS46" i="5"/>
  <c r="CT46" i="5"/>
  <c r="CU46" i="5"/>
  <c r="CV46" i="5"/>
  <c r="CW46" i="5"/>
  <c r="CX46" i="5"/>
  <c r="CY46" i="5"/>
  <c r="CZ46" i="5"/>
  <c r="DA46" i="5"/>
  <c r="DB46" i="5"/>
  <c r="DC46" i="5"/>
  <c r="DD46" i="5"/>
  <c r="DE46" i="5"/>
  <c r="DF46" i="5"/>
  <c r="DG46" i="5"/>
  <c r="DH46" i="5"/>
  <c r="DI46" i="5"/>
  <c r="DJ46" i="5"/>
  <c r="DK46" i="5"/>
  <c r="DL46" i="5"/>
  <c r="DM46" i="5"/>
  <c r="DN46" i="5"/>
  <c r="DO46" i="5"/>
  <c r="DP46" i="5"/>
  <c r="DQ46" i="5"/>
  <c r="DR46" i="5"/>
  <c r="DS46" i="5"/>
  <c r="DT46" i="5"/>
  <c r="DU46" i="5"/>
  <c r="DV46" i="5"/>
  <c r="DW46" i="5"/>
  <c r="DX46" i="5"/>
  <c r="DY46" i="5"/>
  <c r="DZ46" i="5"/>
  <c r="EA46" i="5"/>
  <c r="EB46" i="5"/>
  <c r="EC46" i="5"/>
  <c r="ED46" i="5"/>
  <c r="EE46" i="5"/>
  <c r="EF46" i="5"/>
  <c r="EG46" i="5"/>
  <c r="EH46" i="5"/>
  <c r="EI46" i="5"/>
  <c r="EJ46" i="5"/>
  <c r="EK46" i="5"/>
  <c r="EL46" i="5"/>
  <c r="EM46" i="5"/>
  <c r="EN46" i="5"/>
  <c r="EO46" i="5"/>
  <c r="EP46" i="5"/>
  <c r="EQ46" i="5"/>
  <c r="ER46" i="5"/>
  <c r="ES46" i="5"/>
  <c r="ET46" i="5"/>
  <c r="EU46" i="5"/>
  <c r="EV46" i="5"/>
  <c r="EW46" i="5"/>
  <c r="EX46" i="5"/>
  <c r="EY46" i="5"/>
  <c r="EZ46" i="5"/>
  <c r="FA46" i="5"/>
  <c r="FB46" i="5"/>
  <c r="FC46" i="5"/>
  <c r="FD46" i="5"/>
  <c r="FE46" i="5"/>
  <c r="FF46" i="5"/>
  <c r="FG46" i="5"/>
  <c r="FH46" i="5"/>
  <c r="FI46" i="5"/>
  <c r="FJ46" i="5"/>
  <c r="FK46" i="5"/>
  <c r="FL46" i="5"/>
  <c r="FM46" i="5"/>
  <c r="FN46" i="5"/>
  <c r="FO46" i="5"/>
  <c r="FP46" i="5"/>
  <c r="FQ46" i="5"/>
  <c r="FR46" i="5"/>
  <c r="FS46" i="5"/>
  <c r="FT46" i="5"/>
  <c r="FU46" i="5"/>
  <c r="FV46" i="5"/>
  <c r="FW46" i="5"/>
  <c r="FX46" i="5"/>
  <c r="FY46" i="5"/>
  <c r="FZ46" i="5"/>
  <c r="GA46" i="5"/>
  <c r="GB46" i="5"/>
  <c r="GC46" i="5"/>
  <c r="GD46" i="5"/>
  <c r="GE46" i="5"/>
  <c r="GF46" i="5"/>
  <c r="GG46" i="5"/>
  <c r="GH46" i="5"/>
  <c r="GI46" i="5"/>
  <c r="GJ46" i="5"/>
  <c r="GK46" i="5"/>
  <c r="GL46" i="5"/>
  <c r="GM46" i="5"/>
  <c r="GN46" i="5"/>
  <c r="GO46" i="5"/>
  <c r="GP46" i="5"/>
  <c r="GQ46" i="5"/>
  <c r="GR46" i="5"/>
  <c r="GS46" i="5"/>
  <c r="GT46" i="5"/>
  <c r="GU46" i="5"/>
  <c r="GV46" i="5"/>
  <c r="GW46" i="5"/>
  <c r="GX46" i="5"/>
  <c r="GY46" i="5"/>
  <c r="GZ46" i="5"/>
  <c r="HA46" i="5"/>
  <c r="HB46" i="5"/>
  <c r="HC46" i="5"/>
  <c r="HD46" i="5"/>
  <c r="HE46" i="5"/>
  <c r="HF46" i="5"/>
  <c r="HG46" i="5"/>
  <c r="HH46" i="5"/>
  <c r="HI46" i="5"/>
  <c r="HJ46" i="5"/>
  <c r="HK46" i="5"/>
  <c r="HL46" i="5"/>
  <c r="HM46" i="5"/>
  <c r="HN46" i="5"/>
  <c r="HO46" i="5"/>
  <c r="HP46" i="5"/>
  <c r="HQ46" i="5"/>
  <c r="HR46" i="5"/>
  <c r="HS46" i="5"/>
  <c r="HT46" i="5"/>
  <c r="HU46" i="5"/>
  <c r="HV46" i="5"/>
  <c r="HW46" i="5"/>
  <c r="HX46" i="5"/>
  <c r="HY46" i="5"/>
  <c r="HZ46" i="5"/>
  <c r="IA46" i="5"/>
  <c r="IB46" i="5"/>
  <c r="IC46" i="5"/>
  <c r="ID46" i="5"/>
  <c r="IE46" i="5"/>
  <c r="IF46" i="5"/>
  <c r="IG46" i="5"/>
  <c r="IH46" i="5"/>
  <c r="II46" i="5"/>
  <c r="IJ46" i="5"/>
  <c r="IK46" i="5"/>
  <c r="IL46" i="5"/>
  <c r="IM46" i="5"/>
  <c r="IN46" i="5"/>
  <c r="IO46" i="5"/>
  <c r="IP46" i="5"/>
  <c r="IQ46" i="5"/>
  <c r="IR46" i="5"/>
  <c r="IS46" i="5"/>
  <c r="IT46" i="5"/>
  <c r="IU46" i="5"/>
  <c r="IV46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BL45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Y45" i="5"/>
  <c r="BZ45" i="5"/>
  <c r="CA45" i="5"/>
  <c r="CB45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CO45" i="5"/>
  <c r="CP45" i="5"/>
  <c r="CQ45" i="5"/>
  <c r="CR45" i="5"/>
  <c r="CS45" i="5"/>
  <c r="CT45" i="5"/>
  <c r="CU45" i="5"/>
  <c r="CV45" i="5"/>
  <c r="CW45" i="5"/>
  <c r="CX45" i="5"/>
  <c r="CY45" i="5"/>
  <c r="CZ45" i="5"/>
  <c r="DA45" i="5"/>
  <c r="DB45" i="5"/>
  <c r="DC45" i="5"/>
  <c r="DD45" i="5"/>
  <c r="DE45" i="5"/>
  <c r="DF45" i="5"/>
  <c r="DG45" i="5"/>
  <c r="DH45" i="5"/>
  <c r="DI45" i="5"/>
  <c r="DJ45" i="5"/>
  <c r="DK45" i="5"/>
  <c r="DL45" i="5"/>
  <c r="DM45" i="5"/>
  <c r="DN45" i="5"/>
  <c r="DO45" i="5"/>
  <c r="DP45" i="5"/>
  <c r="DQ45" i="5"/>
  <c r="DR45" i="5"/>
  <c r="DS45" i="5"/>
  <c r="DT45" i="5"/>
  <c r="DU45" i="5"/>
  <c r="DV45" i="5"/>
  <c r="DW45" i="5"/>
  <c r="DX45" i="5"/>
  <c r="DY45" i="5"/>
  <c r="DZ45" i="5"/>
  <c r="EA45" i="5"/>
  <c r="EB45" i="5"/>
  <c r="EC45" i="5"/>
  <c r="ED45" i="5"/>
  <c r="EE45" i="5"/>
  <c r="EF45" i="5"/>
  <c r="EG45" i="5"/>
  <c r="EH45" i="5"/>
  <c r="EI45" i="5"/>
  <c r="EJ45" i="5"/>
  <c r="EK45" i="5"/>
  <c r="EL45" i="5"/>
  <c r="EM45" i="5"/>
  <c r="EN45" i="5"/>
  <c r="EO45" i="5"/>
  <c r="EP45" i="5"/>
  <c r="EQ45" i="5"/>
  <c r="ER45" i="5"/>
  <c r="ES45" i="5"/>
  <c r="ET45" i="5"/>
  <c r="EU45" i="5"/>
  <c r="EV45" i="5"/>
  <c r="EW45" i="5"/>
  <c r="EX45" i="5"/>
  <c r="EY45" i="5"/>
  <c r="EZ45" i="5"/>
  <c r="FA45" i="5"/>
  <c r="FB45" i="5"/>
  <c r="FC45" i="5"/>
  <c r="FD45" i="5"/>
  <c r="FE45" i="5"/>
  <c r="FF45" i="5"/>
  <c r="FG45" i="5"/>
  <c r="FH45" i="5"/>
  <c r="FI45" i="5"/>
  <c r="FJ45" i="5"/>
  <c r="FK45" i="5"/>
  <c r="FL45" i="5"/>
  <c r="FM45" i="5"/>
  <c r="FN45" i="5"/>
  <c r="FO45" i="5"/>
  <c r="FP45" i="5"/>
  <c r="FQ45" i="5"/>
  <c r="FR45" i="5"/>
  <c r="FS45" i="5"/>
  <c r="FT45" i="5"/>
  <c r="FU45" i="5"/>
  <c r="FV45" i="5"/>
  <c r="FW45" i="5"/>
  <c r="FX45" i="5"/>
  <c r="FY45" i="5"/>
  <c r="FZ45" i="5"/>
  <c r="GA45" i="5"/>
  <c r="GB45" i="5"/>
  <c r="GC45" i="5"/>
  <c r="GD45" i="5"/>
  <c r="GE45" i="5"/>
  <c r="GF45" i="5"/>
  <c r="GG45" i="5"/>
  <c r="GH45" i="5"/>
  <c r="GI45" i="5"/>
  <c r="GJ45" i="5"/>
  <c r="GK45" i="5"/>
  <c r="GL45" i="5"/>
  <c r="GM45" i="5"/>
  <c r="GN45" i="5"/>
  <c r="GO45" i="5"/>
  <c r="GP45" i="5"/>
  <c r="GQ45" i="5"/>
  <c r="GR45" i="5"/>
  <c r="GS45" i="5"/>
  <c r="GT45" i="5"/>
  <c r="GU45" i="5"/>
  <c r="GV45" i="5"/>
  <c r="GW45" i="5"/>
  <c r="GX45" i="5"/>
  <c r="GY45" i="5"/>
  <c r="GZ45" i="5"/>
  <c r="HA45" i="5"/>
  <c r="HB45" i="5"/>
  <c r="HC45" i="5"/>
  <c r="HD45" i="5"/>
  <c r="HE45" i="5"/>
  <c r="HF45" i="5"/>
  <c r="HG45" i="5"/>
  <c r="HH45" i="5"/>
  <c r="HI45" i="5"/>
  <c r="HJ45" i="5"/>
  <c r="HK45" i="5"/>
  <c r="HL45" i="5"/>
  <c r="HM45" i="5"/>
  <c r="HN45" i="5"/>
  <c r="HO45" i="5"/>
  <c r="HP45" i="5"/>
  <c r="HQ45" i="5"/>
  <c r="HR45" i="5"/>
  <c r="HS45" i="5"/>
  <c r="HT45" i="5"/>
  <c r="HU45" i="5"/>
  <c r="HV45" i="5"/>
  <c r="HW45" i="5"/>
  <c r="HX45" i="5"/>
  <c r="HY45" i="5"/>
  <c r="HZ45" i="5"/>
  <c r="IA45" i="5"/>
  <c r="IB45" i="5"/>
  <c r="IC45" i="5"/>
  <c r="ID45" i="5"/>
  <c r="IE45" i="5"/>
  <c r="IF45" i="5"/>
  <c r="IG45" i="5"/>
  <c r="IH45" i="5"/>
  <c r="II45" i="5"/>
  <c r="IJ45" i="5"/>
  <c r="IK45" i="5"/>
  <c r="IL45" i="5"/>
  <c r="IM45" i="5"/>
  <c r="IN45" i="5"/>
  <c r="IO45" i="5"/>
  <c r="IP45" i="5"/>
  <c r="IQ45" i="5"/>
  <c r="IR45" i="5"/>
  <c r="IS45" i="5"/>
  <c r="IT45" i="5"/>
  <c r="IU45" i="5"/>
  <c r="IV45" i="5"/>
  <c r="A44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CO44" i="5"/>
  <c r="CP44" i="5"/>
  <c r="CQ44" i="5"/>
  <c r="CR44" i="5"/>
  <c r="CS44" i="5"/>
  <c r="CT44" i="5"/>
  <c r="CU44" i="5"/>
  <c r="CV44" i="5"/>
  <c r="CW44" i="5"/>
  <c r="CX44" i="5"/>
  <c r="CY44" i="5"/>
  <c r="CZ44" i="5"/>
  <c r="DA44" i="5"/>
  <c r="DB44" i="5"/>
  <c r="DC44" i="5"/>
  <c r="DD44" i="5"/>
  <c r="DE44" i="5"/>
  <c r="DF44" i="5"/>
  <c r="DG44" i="5"/>
  <c r="DH44" i="5"/>
  <c r="DI44" i="5"/>
  <c r="DJ44" i="5"/>
  <c r="DK44" i="5"/>
  <c r="DL44" i="5"/>
  <c r="DM44" i="5"/>
  <c r="DN44" i="5"/>
  <c r="DO44" i="5"/>
  <c r="DP44" i="5"/>
  <c r="DQ44" i="5"/>
  <c r="DR44" i="5"/>
  <c r="DS44" i="5"/>
  <c r="DT44" i="5"/>
  <c r="DU44" i="5"/>
  <c r="DV44" i="5"/>
  <c r="DW44" i="5"/>
  <c r="DX44" i="5"/>
  <c r="DY44" i="5"/>
  <c r="DZ44" i="5"/>
  <c r="EA44" i="5"/>
  <c r="EB44" i="5"/>
  <c r="EC44" i="5"/>
  <c r="ED44" i="5"/>
  <c r="EE44" i="5"/>
  <c r="EF44" i="5"/>
  <c r="EG44" i="5"/>
  <c r="EH44" i="5"/>
  <c r="EI44" i="5"/>
  <c r="EJ44" i="5"/>
  <c r="EK44" i="5"/>
  <c r="EL44" i="5"/>
  <c r="EM44" i="5"/>
  <c r="EN44" i="5"/>
  <c r="EO44" i="5"/>
  <c r="EP44" i="5"/>
  <c r="EQ44" i="5"/>
  <c r="ER44" i="5"/>
  <c r="ES44" i="5"/>
  <c r="ET44" i="5"/>
  <c r="EU44" i="5"/>
  <c r="EV44" i="5"/>
  <c r="EW44" i="5"/>
  <c r="EX44" i="5"/>
  <c r="EY44" i="5"/>
  <c r="EZ44" i="5"/>
  <c r="FA44" i="5"/>
  <c r="FB44" i="5"/>
  <c r="FC44" i="5"/>
  <c r="FD44" i="5"/>
  <c r="FE44" i="5"/>
  <c r="FF44" i="5"/>
  <c r="FG44" i="5"/>
  <c r="FH44" i="5"/>
  <c r="FI44" i="5"/>
  <c r="FJ44" i="5"/>
  <c r="FK44" i="5"/>
  <c r="FL44" i="5"/>
  <c r="FM44" i="5"/>
  <c r="FN44" i="5"/>
  <c r="FO44" i="5"/>
  <c r="FP44" i="5"/>
  <c r="FQ44" i="5"/>
  <c r="FR44" i="5"/>
  <c r="FS44" i="5"/>
  <c r="FT44" i="5"/>
  <c r="FU44" i="5"/>
  <c r="FV44" i="5"/>
  <c r="FW44" i="5"/>
  <c r="FX44" i="5"/>
  <c r="FY44" i="5"/>
  <c r="FZ44" i="5"/>
  <c r="GA44" i="5"/>
  <c r="GB44" i="5"/>
  <c r="GC44" i="5"/>
  <c r="GD44" i="5"/>
  <c r="GE44" i="5"/>
  <c r="GF44" i="5"/>
  <c r="GG44" i="5"/>
  <c r="GH44" i="5"/>
  <c r="GI44" i="5"/>
  <c r="GJ44" i="5"/>
  <c r="GK44" i="5"/>
  <c r="GL44" i="5"/>
  <c r="GM44" i="5"/>
  <c r="GN44" i="5"/>
  <c r="GO44" i="5"/>
  <c r="GP44" i="5"/>
  <c r="GQ44" i="5"/>
  <c r="GR44" i="5"/>
  <c r="GS44" i="5"/>
  <c r="GT44" i="5"/>
  <c r="GU44" i="5"/>
  <c r="GV44" i="5"/>
  <c r="GW44" i="5"/>
  <c r="GX44" i="5"/>
  <c r="GY44" i="5"/>
  <c r="GZ44" i="5"/>
  <c r="HA44" i="5"/>
  <c r="HB44" i="5"/>
  <c r="HC44" i="5"/>
  <c r="HD44" i="5"/>
  <c r="HE44" i="5"/>
  <c r="HF44" i="5"/>
  <c r="HG44" i="5"/>
  <c r="HH44" i="5"/>
  <c r="HI44" i="5"/>
  <c r="HJ44" i="5"/>
  <c r="HK44" i="5"/>
  <c r="HL44" i="5"/>
  <c r="HM44" i="5"/>
  <c r="HN44" i="5"/>
  <c r="HO44" i="5"/>
  <c r="HP44" i="5"/>
  <c r="HQ44" i="5"/>
  <c r="HR44" i="5"/>
  <c r="HS44" i="5"/>
  <c r="HT44" i="5"/>
  <c r="HU44" i="5"/>
  <c r="HV44" i="5"/>
  <c r="HW44" i="5"/>
  <c r="HX44" i="5"/>
  <c r="HY44" i="5"/>
  <c r="HZ44" i="5"/>
  <c r="IA44" i="5"/>
  <c r="IB44" i="5"/>
  <c r="IC44" i="5"/>
  <c r="ID44" i="5"/>
  <c r="IE44" i="5"/>
  <c r="IF44" i="5"/>
  <c r="IG44" i="5"/>
  <c r="IH44" i="5"/>
  <c r="II44" i="5"/>
  <c r="IJ44" i="5"/>
  <c r="IK44" i="5"/>
  <c r="IL44" i="5"/>
  <c r="IM44" i="5"/>
  <c r="IN44" i="5"/>
  <c r="IO44" i="5"/>
  <c r="IP44" i="5"/>
  <c r="IQ44" i="5"/>
  <c r="IR44" i="5"/>
  <c r="IS44" i="5"/>
  <c r="IT44" i="5"/>
  <c r="IU44" i="5"/>
  <c r="IV44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BL43" i="5"/>
  <c r="BM43" i="5"/>
  <c r="BN43" i="5"/>
  <c r="BO43" i="5"/>
  <c r="BP43" i="5"/>
  <c r="BQ43" i="5"/>
  <c r="BR43" i="5"/>
  <c r="BS43" i="5"/>
  <c r="BT43" i="5"/>
  <c r="BU43" i="5"/>
  <c r="BV43" i="5"/>
  <c r="BW43" i="5"/>
  <c r="BX43" i="5"/>
  <c r="BY43" i="5"/>
  <c r="BZ43" i="5"/>
  <c r="CA43" i="5"/>
  <c r="CB43" i="5"/>
  <c r="CC43" i="5"/>
  <c r="CD43" i="5"/>
  <c r="CE43" i="5"/>
  <c r="CF43" i="5"/>
  <c r="CG43" i="5"/>
  <c r="CH43" i="5"/>
  <c r="CI43" i="5"/>
  <c r="CJ43" i="5"/>
  <c r="CK43" i="5"/>
  <c r="CL43" i="5"/>
  <c r="CM43" i="5"/>
  <c r="CN43" i="5"/>
  <c r="CO43" i="5"/>
  <c r="CP43" i="5"/>
  <c r="CQ43" i="5"/>
  <c r="CR43" i="5"/>
  <c r="CS43" i="5"/>
  <c r="CT43" i="5"/>
  <c r="CU43" i="5"/>
  <c r="CV43" i="5"/>
  <c r="CW43" i="5"/>
  <c r="CX43" i="5"/>
  <c r="CY43" i="5"/>
  <c r="CZ43" i="5"/>
  <c r="DA43" i="5"/>
  <c r="DB43" i="5"/>
  <c r="DC43" i="5"/>
  <c r="DD43" i="5"/>
  <c r="DE43" i="5"/>
  <c r="DF43" i="5"/>
  <c r="DG43" i="5"/>
  <c r="DH43" i="5"/>
  <c r="DI43" i="5"/>
  <c r="DJ43" i="5"/>
  <c r="DK43" i="5"/>
  <c r="DL43" i="5"/>
  <c r="DM43" i="5"/>
  <c r="DN43" i="5"/>
  <c r="DO43" i="5"/>
  <c r="DP43" i="5"/>
  <c r="DQ43" i="5"/>
  <c r="DR43" i="5"/>
  <c r="DS43" i="5"/>
  <c r="DT43" i="5"/>
  <c r="DU43" i="5"/>
  <c r="DV43" i="5"/>
  <c r="DW43" i="5"/>
  <c r="DX43" i="5"/>
  <c r="DY43" i="5"/>
  <c r="DZ43" i="5"/>
  <c r="EA43" i="5"/>
  <c r="EB43" i="5"/>
  <c r="EC43" i="5"/>
  <c r="ED43" i="5"/>
  <c r="EE43" i="5"/>
  <c r="EF43" i="5"/>
  <c r="EG43" i="5"/>
  <c r="EH43" i="5"/>
  <c r="EI43" i="5"/>
  <c r="EJ43" i="5"/>
  <c r="EK43" i="5"/>
  <c r="EL43" i="5"/>
  <c r="EM43" i="5"/>
  <c r="EN43" i="5"/>
  <c r="EO43" i="5"/>
  <c r="EP43" i="5"/>
  <c r="EQ43" i="5"/>
  <c r="ER43" i="5"/>
  <c r="ES43" i="5"/>
  <c r="ET43" i="5"/>
  <c r="EU43" i="5"/>
  <c r="EV43" i="5"/>
  <c r="EW43" i="5"/>
  <c r="EX43" i="5"/>
  <c r="EY43" i="5"/>
  <c r="EZ43" i="5"/>
  <c r="FA43" i="5"/>
  <c r="FB43" i="5"/>
  <c r="FC43" i="5"/>
  <c r="FD43" i="5"/>
  <c r="FE43" i="5"/>
  <c r="FF43" i="5"/>
  <c r="FG43" i="5"/>
  <c r="FH43" i="5"/>
  <c r="FI43" i="5"/>
  <c r="FJ43" i="5"/>
  <c r="FK43" i="5"/>
  <c r="FL43" i="5"/>
  <c r="FM43" i="5"/>
  <c r="FN43" i="5"/>
  <c r="FO43" i="5"/>
  <c r="FP43" i="5"/>
  <c r="FQ43" i="5"/>
  <c r="FR43" i="5"/>
  <c r="FS43" i="5"/>
  <c r="FT43" i="5"/>
  <c r="FU43" i="5"/>
  <c r="FV43" i="5"/>
  <c r="FW43" i="5"/>
  <c r="FX43" i="5"/>
  <c r="FY43" i="5"/>
  <c r="FZ43" i="5"/>
  <c r="GA43" i="5"/>
  <c r="GB43" i="5"/>
  <c r="GC43" i="5"/>
  <c r="GD43" i="5"/>
  <c r="GE43" i="5"/>
  <c r="GF43" i="5"/>
  <c r="GG43" i="5"/>
  <c r="GH43" i="5"/>
  <c r="GI43" i="5"/>
  <c r="GJ43" i="5"/>
  <c r="GK43" i="5"/>
  <c r="GL43" i="5"/>
  <c r="GM43" i="5"/>
  <c r="GN43" i="5"/>
  <c r="GO43" i="5"/>
  <c r="GP43" i="5"/>
  <c r="GQ43" i="5"/>
  <c r="GR43" i="5"/>
  <c r="GS43" i="5"/>
  <c r="GT43" i="5"/>
  <c r="GU43" i="5"/>
  <c r="GV43" i="5"/>
  <c r="GW43" i="5"/>
  <c r="GX43" i="5"/>
  <c r="GY43" i="5"/>
  <c r="GZ43" i="5"/>
  <c r="HA43" i="5"/>
  <c r="HB43" i="5"/>
  <c r="HC43" i="5"/>
  <c r="HD43" i="5"/>
  <c r="HE43" i="5"/>
  <c r="HF43" i="5"/>
  <c r="HG43" i="5"/>
  <c r="HH43" i="5"/>
  <c r="HI43" i="5"/>
  <c r="HJ43" i="5"/>
  <c r="HK43" i="5"/>
  <c r="HL43" i="5"/>
  <c r="HM43" i="5"/>
  <c r="HN43" i="5"/>
  <c r="HO43" i="5"/>
  <c r="HP43" i="5"/>
  <c r="HQ43" i="5"/>
  <c r="HR43" i="5"/>
  <c r="HS43" i="5"/>
  <c r="HT43" i="5"/>
  <c r="HU43" i="5"/>
  <c r="HV43" i="5"/>
  <c r="HW43" i="5"/>
  <c r="HX43" i="5"/>
  <c r="HY43" i="5"/>
  <c r="HZ43" i="5"/>
  <c r="IA43" i="5"/>
  <c r="IB43" i="5"/>
  <c r="IC43" i="5"/>
  <c r="ID43" i="5"/>
  <c r="IE43" i="5"/>
  <c r="IF43" i="5"/>
  <c r="IG43" i="5"/>
  <c r="IH43" i="5"/>
  <c r="II43" i="5"/>
  <c r="IJ43" i="5"/>
  <c r="IK43" i="5"/>
  <c r="IL43" i="5"/>
  <c r="IM43" i="5"/>
  <c r="IN43" i="5"/>
  <c r="IO43" i="5"/>
  <c r="IP43" i="5"/>
  <c r="IQ43" i="5"/>
  <c r="IR43" i="5"/>
  <c r="IS43" i="5"/>
  <c r="IT43" i="5"/>
  <c r="IU43" i="5"/>
  <c r="IV43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BK42" i="5"/>
  <c r="BL42" i="5"/>
  <c r="BM42" i="5"/>
  <c r="BN42" i="5"/>
  <c r="BO42" i="5"/>
  <c r="BP42" i="5"/>
  <c r="BQ42" i="5"/>
  <c r="BR42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CX42" i="5"/>
  <c r="CY42" i="5"/>
  <c r="CZ42" i="5"/>
  <c r="DA42" i="5"/>
  <c r="DB42" i="5"/>
  <c r="DC42" i="5"/>
  <c r="DD42" i="5"/>
  <c r="DE42" i="5"/>
  <c r="DF42" i="5"/>
  <c r="DG42" i="5"/>
  <c r="DH42" i="5"/>
  <c r="DI42" i="5"/>
  <c r="DJ42" i="5"/>
  <c r="DK42" i="5"/>
  <c r="DL42" i="5"/>
  <c r="DM42" i="5"/>
  <c r="DN42" i="5"/>
  <c r="DO42" i="5"/>
  <c r="DP42" i="5"/>
  <c r="DQ42" i="5"/>
  <c r="DR42" i="5"/>
  <c r="DS42" i="5"/>
  <c r="DT42" i="5"/>
  <c r="DU42" i="5"/>
  <c r="DV42" i="5"/>
  <c r="DW42" i="5"/>
  <c r="DX42" i="5"/>
  <c r="DY42" i="5"/>
  <c r="DZ42" i="5"/>
  <c r="EA42" i="5"/>
  <c r="EB42" i="5"/>
  <c r="EC42" i="5"/>
  <c r="ED42" i="5"/>
  <c r="EE42" i="5"/>
  <c r="EF42" i="5"/>
  <c r="EG42" i="5"/>
  <c r="EH42" i="5"/>
  <c r="EI42" i="5"/>
  <c r="EJ42" i="5"/>
  <c r="EK42" i="5"/>
  <c r="EL42" i="5"/>
  <c r="EM42" i="5"/>
  <c r="EN42" i="5"/>
  <c r="EO42" i="5"/>
  <c r="EP42" i="5"/>
  <c r="EQ42" i="5"/>
  <c r="ER42" i="5"/>
  <c r="ES42" i="5"/>
  <c r="ET42" i="5"/>
  <c r="EU42" i="5"/>
  <c r="EV42" i="5"/>
  <c r="EW42" i="5"/>
  <c r="EX42" i="5"/>
  <c r="EY42" i="5"/>
  <c r="EZ42" i="5"/>
  <c r="FA42" i="5"/>
  <c r="FB42" i="5"/>
  <c r="FC42" i="5"/>
  <c r="FD42" i="5"/>
  <c r="FE42" i="5"/>
  <c r="FF42" i="5"/>
  <c r="FG42" i="5"/>
  <c r="FH42" i="5"/>
  <c r="FI42" i="5"/>
  <c r="FJ42" i="5"/>
  <c r="FK42" i="5"/>
  <c r="FL42" i="5"/>
  <c r="FM42" i="5"/>
  <c r="FN42" i="5"/>
  <c r="FO42" i="5"/>
  <c r="FP42" i="5"/>
  <c r="FQ42" i="5"/>
  <c r="FR42" i="5"/>
  <c r="FS42" i="5"/>
  <c r="FT42" i="5"/>
  <c r="FU42" i="5"/>
  <c r="FV42" i="5"/>
  <c r="FW42" i="5"/>
  <c r="FX42" i="5"/>
  <c r="FY42" i="5"/>
  <c r="FZ42" i="5"/>
  <c r="GA42" i="5"/>
  <c r="GB42" i="5"/>
  <c r="GC42" i="5"/>
  <c r="GD42" i="5"/>
  <c r="GE42" i="5"/>
  <c r="GF42" i="5"/>
  <c r="GG42" i="5"/>
  <c r="GH42" i="5"/>
  <c r="GI42" i="5"/>
  <c r="GJ42" i="5"/>
  <c r="GK42" i="5"/>
  <c r="GL42" i="5"/>
  <c r="GM42" i="5"/>
  <c r="GN42" i="5"/>
  <c r="GO42" i="5"/>
  <c r="GP42" i="5"/>
  <c r="GQ42" i="5"/>
  <c r="GR42" i="5"/>
  <c r="GS42" i="5"/>
  <c r="GT42" i="5"/>
  <c r="GU42" i="5"/>
  <c r="GV42" i="5"/>
  <c r="GW42" i="5"/>
  <c r="GX42" i="5"/>
  <c r="GY42" i="5"/>
  <c r="GZ42" i="5"/>
  <c r="HA42" i="5"/>
  <c r="HB42" i="5"/>
  <c r="HC42" i="5"/>
  <c r="HD42" i="5"/>
  <c r="HE42" i="5"/>
  <c r="HF42" i="5"/>
  <c r="HG42" i="5"/>
  <c r="HH42" i="5"/>
  <c r="HI42" i="5"/>
  <c r="HJ42" i="5"/>
  <c r="HK42" i="5"/>
  <c r="HL42" i="5"/>
  <c r="HM42" i="5"/>
  <c r="HN42" i="5"/>
  <c r="HO42" i="5"/>
  <c r="HP42" i="5"/>
  <c r="HQ42" i="5"/>
  <c r="HR42" i="5"/>
  <c r="HS42" i="5"/>
  <c r="HT42" i="5"/>
  <c r="HU42" i="5"/>
  <c r="HV42" i="5"/>
  <c r="HW42" i="5"/>
  <c r="HX42" i="5"/>
  <c r="HY42" i="5"/>
  <c r="HZ42" i="5"/>
  <c r="IA42" i="5"/>
  <c r="IB42" i="5"/>
  <c r="IC42" i="5"/>
  <c r="ID42" i="5"/>
  <c r="IE42" i="5"/>
  <c r="IF42" i="5"/>
  <c r="IG42" i="5"/>
  <c r="IH42" i="5"/>
  <c r="II42" i="5"/>
  <c r="IJ42" i="5"/>
  <c r="IK42" i="5"/>
  <c r="IL42" i="5"/>
  <c r="IM42" i="5"/>
  <c r="IN42" i="5"/>
  <c r="IO42" i="5"/>
  <c r="IP42" i="5"/>
  <c r="IQ42" i="5"/>
  <c r="IR42" i="5"/>
  <c r="IS42" i="5"/>
  <c r="IT42" i="5"/>
  <c r="IU42" i="5"/>
  <c r="IV42" i="5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S41" i="5"/>
  <c r="CT41" i="5"/>
  <c r="CU41" i="5"/>
  <c r="CV41" i="5"/>
  <c r="CW41" i="5"/>
  <c r="CX41" i="5"/>
  <c r="CY41" i="5"/>
  <c r="CZ41" i="5"/>
  <c r="DA41" i="5"/>
  <c r="DB41" i="5"/>
  <c r="DC41" i="5"/>
  <c r="DD41" i="5"/>
  <c r="DE41" i="5"/>
  <c r="DF41" i="5"/>
  <c r="DG41" i="5"/>
  <c r="DH41" i="5"/>
  <c r="DI41" i="5"/>
  <c r="DJ41" i="5"/>
  <c r="DK41" i="5"/>
  <c r="DL41" i="5"/>
  <c r="DM41" i="5"/>
  <c r="DN41" i="5"/>
  <c r="DO41" i="5"/>
  <c r="DP41" i="5"/>
  <c r="DQ41" i="5"/>
  <c r="DR41" i="5"/>
  <c r="DS41" i="5"/>
  <c r="DT41" i="5"/>
  <c r="DU41" i="5"/>
  <c r="DV41" i="5"/>
  <c r="DW41" i="5"/>
  <c r="DX41" i="5"/>
  <c r="DY41" i="5"/>
  <c r="DZ41" i="5"/>
  <c r="EA41" i="5"/>
  <c r="EB41" i="5"/>
  <c r="EC41" i="5"/>
  <c r="ED41" i="5"/>
  <c r="EE41" i="5"/>
  <c r="EF41" i="5"/>
  <c r="EG41" i="5"/>
  <c r="EH41" i="5"/>
  <c r="EI41" i="5"/>
  <c r="EJ41" i="5"/>
  <c r="EK41" i="5"/>
  <c r="EL41" i="5"/>
  <c r="EM41" i="5"/>
  <c r="EN41" i="5"/>
  <c r="EO41" i="5"/>
  <c r="EP41" i="5"/>
  <c r="EQ41" i="5"/>
  <c r="ER41" i="5"/>
  <c r="ES41" i="5"/>
  <c r="ET41" i="5"/>
  <c r="EU41" i="5"/>
  <c r="EV41" i="5"/>
  <c r="EW41" i="5"/>
  <c r="EX41" i="5"/>
  <c r="EY41" i="5"/>
  <c r="EZ41" i="5"/>
  <c r="FA41" i="5"/>
  <c r="FB41" i="5"/>
  <c r="FC41" i="5"/>
  <c r="FD41" i="5"/>
  <c r="FE41" i="5"/>
  <c r="FF41" i="5"/>
  <c r="FG41" i="5"/>
  <c r="FH41" i="5"/>
  <c r="FI41" i="5"/>
  <c r="FJ41" i="5"/>
  <c r="FK41" i="5"/>
  <c r="FL41" i="5"/>
  <c r="FM41" i="5"/>
  <c r="FN41" i="5"/>
  <c r="FO41" i="5"/>
  <c r="FP41" i="5"/>
  <c r="FQ41" i="5"/>
  <c r="FR41" i="5"/>
  <c r="FS41" i="5"/>
  <c r="FT41" i="5"/>
  <c r="FU41" i="5"/>
  <c r="FV41" i="5"/>
  <c r="FW41" i="5"/>
  <c r="FX41" i="5"/>
  <c r="FY41" i="5"/>
  <c r="FZ41" i="5"/>
  <c r="GA41" i="5"/>
  <c r="GB41" i="5"/>
  <c r="GC41" i="5"/>
  <c r="GD41" i="5"/>
  <c r="GE41" i="5"/>
  <c r="GF41" i="5"/>
  <c r="GG41" i="5"/>
  <c r="GH41" i="5"/>
  <c r="GI41" i="5"/>
  <c r="GJ41" i="5"/>
  <c r="GK41" i="5"/>
  <c r="GL41" i="5"/>
  <c r="GM41" i="5"/>
  <c r="GN41" i="5"/>
  <c r="GO41" i="5"/>
  <c r="GP41" i="5"/>
  <c r="GQ41" i="5"/>
  <c r="GR41" i="5"/>
  <c r="GS41" i="5"/>
  <c r="GT41" i="5"/>
  <c r="GU41" i="5"/>
  <c r="GV41" i="5"/>
  <c r="GW41" i="5"/>
  <c r="GX41" i="5"/>
  <c r="GY41" i="5"/>
  <c r="GZ41" i="5"/>
  <c r="HA41" i="5"/>
  <c r="HB41" i="5"/>
  <c r="HC41" i="5"/>
  <c r="HD41" i="5"/>
  <c r="HE41" i="5"/>
  <c r="HF41" i="5"/>
  <c r="HG41" i="5"/>
  <c r="HH41" i="5"/>
  <c r="HI41" i="5"/>
  <c r="HJ41" i="5"/>
  <c r="HK41" i="5"/>
  <c r="HL41" i="5"/>
  <c r="HM41" i="5"/>
  <c r="HN41" i="5"/>
  <c r="HO41" i="5"/>
  <c r="HP41" i="5"/>
  <c r="HQ41" i="5"/>
  <c r="HR41" i="5"/>
  <c r="HS41" i="5"/>
  <c r="HT41" i="5"/>
  <c r="HU41" i="5"/>
  <c r="HV41" i="5"/>
  <c r="HW41" i="5"/>
  <c r="HX41" i="5"/>
  <c r="HY41" i="5"/>
  <c r="HZ41" i="5"/>
  <c r="IA41" i="5"/>
  <c r="IB41" i="5"/>
  <c r="IC41" i="5"/>
  <c r="ID41" i="5"/>
  <c r="IE41" i="5"/>
  <c r="IF41" i="5"/>
  <c r="IG41" i="5"/>
  <c r="IH41" i="5"/>
  <c r="II41" i="5"/>
  <c r="IJ41" i="5"/>
  <c r="IK41" i="5"/>
  <c r="IL41" i="5"/>
  <c r="IM41" i="5"/>
  <c r="IN41" i="5"/>
  <c r="IO41" i="5"/>
  <c r="IP41" i="5"/>
  <c r="IQ41" i="5"/>
  <c r="IR41" i="5"/>
  <c r="IS41" i="5"/>
  <c r="IT41" i="5"/>
  <c r="IU41" i="5"/>
  <c r="IV41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CS38" i="5"/>
  <c r="CT38" i="5"/>
  <c r="CU38" i="5"/>
  <c r="CV38" i="5"/>
  <c r="CW38" i="5"/>
  <c r="CX38" i="5"/>
  <c r="CY38" i="5"/>
  <c r="CZ38" i="5"/>
  <c r="DA38" i="5"/>
  <c r="DB38" i="5"/>
  <c r="DC38" i="5"/>
  <c r="DD38" i="5"/>
  <c r="DE38" i="5"/>
  <c r="DF38" i="5"/>
  <c r="DG38" i="5"/>
  <c r="DH38" i="5"/>
  <c r="DI38" i="5"/>
  <c r="DJ38" i="5"/>
  <c r="DK38" i="5"/>
  <c r="DL38" i="5"/>
  <c r="DM38" i="5"/>
  <c r="DN38" i="5"/>
  <c r="DO38" i="5"/>
  <c r="DP38" i="5"/>
  <c r="DQ38" i="5"/>
  <c r="DR38" i="5"/>
  <c r="DS38" i="5"/>
  <c r="DT38" i="5"/>
  <c r="DU38" i="5"/>
  <c r="DV38" i="5"/>
  <c r="DW38" i="5"/>
  <c r="DX38" i="5"/>
  <c r="DY38" i="5"/>
  <c r="DZ38" i="5"/>
  <c r="EA38" i="5"/>
  <c r="EB38" i="5"/>
  <c r="EC38" i="5"/>
  <c r="ED38" i="5"/>
  <c r="EE38" i="5"/>
  <c r="EF38" i="5"/>
  <c r="EG38" i="5"/>
  <c r="EH38" i="5"/>
  <c r="EI38" i="5"/>
  <c r="EJ38" i="5"/>
  <c r="EK38" i="5"/>
  <c r="EL38" i="5"/>
  <c r="EM38" i="5"/>
  <c r="EN38" i="5"/>
  <c r="EO38" i="5"/>
  <c r="EP38" i="5"/>
  <c r="EQ38" i="5"/>
  <c r="ER38" i="5"/>
  <c r="ES38" i="5"/>
  <c r="ET38" i="5"/>
  <c r="EU38" i="5"/>
  <c r="EV38" i="5"/>
  <c r="EW38" i="5"/>
  <c r="EX38" i="5"/>
  <c r="EY38" i="5"/>
  <c r="EZ38" i="5"/>
  <c r="FA38" i="5"/>
  <c r="FB38" i="5"/>
  <c r="FC38" i="5"/>
  <c r="FD38" i="5"/>
  <c r="FE38" i="5"/>
  <c r="FF38" i="5"/>
  <c r="FG38" i="5"/>
  <c r="FH38" i="5"/>
  <c r="FI38" i="5"/>
  <c r="FJ38" i="5"/>
  <c r="FK38" i="5"/>
  <c r="FL38" i="5"/>
  <c r="FM38" i="5"/>
  <c r="FN38" i="5"/>
  <c r="FO38" i="5"/>
  <c r="FP38" i="5"/>
  <c r="FQ38" i="5"/>
  <c r="FR38" i="5"/>
  <c r="FS38" i="5"/>
  <c r="FT38" i="5"/>
  <c r="FU38" i="5"/>
  <c r="FV38" i="5"/>
  <c r="FW38" i="5"/>
  <c r="FX38" i="5"/>
  <c r="FY38" i="5"/>
  <c r="FZ38" i="5"/>
  <c r="GA38" i="5"/>
  <c r="GB38" i="5"/>
  <c r="GC38" i="5"/>
  <c r="GD38" i="5"/>
  <c r="GE38" i="5"/>
  <c r="GF38" i="5"/>
  <c r="GG38" i="5"/>
  <c r="GH38" i="5"/>
  <c r="GI38" i="5"/>
  <c r="GJ38" i="5"/>
  <c r="GK38" i="5"/>
  <c r="GL38" i="5"/>
  <c r="GM38" i="5"/>
  <c r="GN38" i="5"/>
  <c r="GO38" i="5"/>
  <c r="GP38" i="5"/>
  <c r="GQ38" i="5"/>
  <c r="GR38" i="5"/>
  <c r="GS38" i="5"/>
  <c r="GT38" i="5"/>
  <c r="GU38" i="5"/>
  <c r="GV38" i="5"/>
  <c r="GW38" i="5"/>
  <c r="GX38" i="5"/>
  <c r="GY38" i="5"/>
  <c r="GZ38" i="5"/>
  <c r="HA38" i="5"/>
  <c r="HB38" i="5"/>
  <c r="HC38" i="5"/>
  <c r="HD38" i="5"/>
  <c r="HE38" i="5"/>
  <c r="HF38" i="5"/>
  <c r="HG38" i="5"/>
  <c r="HH38" i="5"/>
  <c r="HI38" i="5"/>
  <c r="HJ38" i="5"/>
  <c r="HK38" i="5"/>
  <c r="HL38" i="5"/>
  <c r="HM38" i="5"/>
  <c r="HN38" i="5"/>
  <c r="HO38" i="5"/>
  <c r="HP38" i="5"/>
  <c r="HQ38" i="5"/>
  <c r="HR38" i="5"/>
  <c r="HS38" i="5"/>
  <c r="HT38" i="5"/>
  <c r="HU38" i="5"/>
  <c r="HV38" i="5"/>
  <c r="HW38" i="5"/>
  <c r="HX38" i="5"/>
  <c r="HY38" i="5"/>
  <c r="HZ38" i="5"/>
  <c r="IA38" i="5"/>
  <c r="IB38" i="5"/>
  <c r="IC38" i="5"/>
  <c r="ID38" i="5"/>
  <c r="IE38" i="5"/>
  <c r="IF38" i="5"/>
  <c r="IG38" i="5"/>
  <c r="IH38" i="5"/>
  <c r="II38" i="5"/>
  <c r="IJ38" i="5"/>
  <c r="IK38" i="5"/>
  <c r="IL38" i="5"/>
  <c r="IM38" i="5"/>
  <c r="IN38" i="5"/>
  <c r="IO38" i="5"/>
  <c r="IP38" i="5"/>
  <c r="IQ38" i="5"/>
  <c r="IR38" i="5"/>
  <c r="IS38" i="5"/>
  <c r="IT38" i="5"/>
  <c r="IU38" i="5"/>
  <c r="IV38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Q37" i="5"/>
  <c r="DR37" i="5"/>
  <c r="DS37" i="5"/>
  <c r="DT37" i="5"/>
  <c r="DU37" i="5"/>
  <c r="DV37" i="5"/>
  <c r="DW37" i="5"/>
  <c r="DX37" i="5"/>
  <c r="DY37" i="5"/>
  <c r="DZ37" i="5"/>
  <c r="EA37" i="5"/>
  <c r="EB37" i="5"/>
  <c r="EC37" i="5"/>
  <c r="ED37" i="5"/>
  <c r="EE37" i="5"/>
  <c r="EF37" i="5"/>
  <c r="EG37" i="5"/>
  <c r="EH37" i="5"/>
  <c r="EI37" i="5"/>
  <c r="EJ37" i="5"/>
  <c r="EK37" i="5"/>
  <c r="EL37" i="5"/>
  <c r="EM37" i="5"/>
  <c r="EN37" i="5"/>
  <c r="EO37" i="5"/>
  <c r="EP37" i="5"/>
  <c r="EQ37" i="5"/>
  <c r="ER37" i="5"/>
  <c r="ES37" i="5"/>
  <c r="ET37" i="5"/>
  <c r="EU37" i="5"/>
  <c r="EV37" i="5"/>
  <c r="EW37" i="5"/>
  <c r="EX37" i="5"/>
  <c r="EY37" i="5"/>
  <c r="EZ37" i="5"/>
  <c r="FA37" i="5"/>
  <c r="FB37" i="5"/>
  <c r="FC37" i="5"/>
  <c r="FD37" i="5"/>
  <c r="FE37" i="5"/>
  <c r="FF37" i="5"/>
  <c r="FG37" i="5"/>
  <c r="FH37" i="5"/>
  <c r="FI37" i="5"/>
  <c r="FJ37" i="5"/>
  <c r="FK37" i="5"/>
  <c r="FL37" i="5"/>
  <c r="FM37" i="5"/>
  <c r="FN37" i="5"/>
  <c r="FO37" i="5"/>
  <c r="FP37" i="5"/>
  <c r="FQ37" i="5"/>
  <c r="FR37" i="5"/>
  <c r="FS37" i="5"/>
  <c r="FT37" i="5"/>
  <c r="FU37" i="5"/>
  <c r="FV37" i="5"/>
  <c r="FW37" i="5"/>
  <c r="FX37" i="5"/>
  <c r="FY37" i="5"/>
  <c r="FZ37" i="5"/>
  <c r="GA37" i="5"/>
  <c r="GB37" i="5"/>
  <c r="GC37" i="5"/>
  <c r="GD37" i="5"/>
  <c r="GE37" i="5"/>
  <c r="GF37" i="5"/>
  <c r="GG37" i="5"/>
  <c r="GH37" i="5"/>
  <c r="GI37" i="5"/>
  <c r="GJ37" i="5"/>
  <c r="GK37" i="5"/>
  <c r="GL37" i="5"/>
  <c r="GM37" i="5"/>
  <c r="GN37" i="5"/>
  <c r="GO37" i="5"/>
  <c r="GP37" i="5"/>
  <c r="GQ37" i="5"/>
  <c r="GR37" i="5"/>
  <c r="GS37" i="5"/>
  <c r="GT37" i="5"/>
  <c r="GU37" i="5"/>
  <c r="GV37" i="5"/>
  <c r="GW37" i="5"/>
  <c r="GX37" i="5"/>
  <c r="GY37" i="5"/>
  <c r="GZ37" i="5"/>
  <c r="HA37" i="5"/>
  <c r="HB37" i="5"/>
  <c r="HC37" i="5"/>
  <c r="HD37" i="5"/>
  <c r="HE37" i="5"/>
  <c r="HF37" i="5"/>
  <c r="HG37" i="5"/>
  <c r="HH37" i="5"/>
  <c r="HI37" i="5"/>
  <c r="HJ37" i="5"/>
  <c r="HK37" i="5"/>
  <c r="HL37" i="5"/>
  <c r="HM37" i="5"/>
  <c r="HN37" i="5"/>
  <c r="HO37" i="5"/>
  <c r="HP37" i="5"/>
  <c r="HQ37" i="5"/>
  <c r="HR37" i="5"/>
  <c r="HS37" i="5"/>
  <c r="HT37" i="5"/>
  <c r="HU37" i="5"/>
  <c r="HV37" i="5"/>
  <c r="HW37" i="5"/>
  <c r="HX37" i="5"/>
  <c r="HY37" i="5"/>
  <c r="HZ37" i="5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IU37" i="5"/>
  <c r="IV37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CS36" i="5"/>
  <c r="CT36" i="5"/>
  <c r="CU36" i="5"/>
  <c r="CV36" i="5"/>
  <c r="CW36" i="5"/>
  <c r="CX36" i="5"/>
  <c r="CY36" i="5"/>
  <c r="CZ36" i="5"/>
  <c r="DA36" i="5"/>
  <c r="DB36" i="5"/>
  <c r="DC36" i="5"/>
  <c r="DD36" i="5"/>
  <c r="DE36" i="5"/>
  <c r="DF36" i="5"/>
  <c r="DG36" i="5"/>
  <c r="DH36" i="5"/>
  <c r="DI36" i="5"/>
  <c r="DJ36" i="5"/>
  <c r="DK36" i="5"/>
  <c r="DL36" i="5"/>
  <c r="DM36" i="5"/>
  <c r="DN36" i="5"/>
  <c r="DO36" i="5"/>
  <c r="DP36" i="5"/>
  <c r="DQ36" i="5"/>
  <c r="DR36" i="5"/>
  <c r="DS36" i="5"/>
  <c r="DT36" i="5"/>
  <c r="DU36" i="5"/>
  <c r="DV36" i="5"/>
  <c r="DW36" i="5"/>
  <c r="DX36" i="5"/>
  <c r="DY36" i="5"/>
  <c r="DZ36" i="5"/>
  <c r="EA36" i="5"/>
  <c r="EB36" i="5"/>
  <c r="EC36" i="5"/>
  <c r="ED36" i="5"/>
  <c r="EE36" i="5"/>
  <c r="EF36" i="5"/>
  <c r="EG36" i="5"/>
  <c r="EH36" i="5"/>
  <c r="EI36" i="5"/>
  <c r="EJ36" i="5"/>
  <c r="EK36" i="5"/>
  <c r="EL36" i="5"/>
  <c r="EM36" i="5"/>
  <c r="EN36" i="5"/>
  <c r="EO36" i="5"/>
  <c r="EP36" i="5"/>
  <c r="EQ36" i="5"/>
  <c r="ER36" i="5"/>
  <c r="ES36" i="5"/>
  <c r="ET36" i="5"/>
  <c r="EU36" i="5"/>
  <c r="EV36" i="5"/>
  <c r="EW36" i="5"/>
  <c r="EX36" i="5"/>
  <c r="EY36" i="5"/>
  <c r="EZ36" i="5"/>
  <c r="FA36" i="5"/>
  <c r="FB36" i="5"/>
  <c r="FC36" i="5"/>
  <c r="FD36" i="5"/>
  <c r="FE36" i="5"/>
  <c r="FF36" i="5"/>
  <c r="FG36" i="5"/>
  <c r="FH36" i="5"/>
  <c r="FI36" i="5"/>
  <c r="FJ36" i="5"/>
  <c r="FK36" i="5"/>
  <c r="FL36" i="5"/>
  <c r="FM36" i="5"/>
  <c r="FN36" i="5"/>
  <c r="FO36" i="5"/>
  <c r="FP36" i="5"/>
  <c r="FQ36" i="5"/>
  <c r="FR36" i="5"/>
  <c r="FS36" i="5"/>
  <c r="FT36" i="5"/>
  <c r="FU36" i="5"/>
  <c r="FV36" i="5"/>
  <c r="FW36" i="5"/>
  <c r="FX36" i="5"/>
  <c r="FY36" i="5"/>
  <c r="FZ36" i="5"/>
  <c r="GA36" i="5"/>
  <c r="GB36" i="5"/>
  <c r="GC36" i="5"/>
  <c r="GD36" i="5"/>
  <c r="GE36" i="5"/>
  <c r="GF36" i="5"/>
  <c r="GG36" i="5"/>
  <c r="GH36" i="5"/>
  <c r="GI36" i="5"/>
  <c r="GJ36" i="5"/>
  <c r="GK36" i="5"/>
  <c r="GL36" i="5"/>
  <c r="GM36" i="5"/>
  <c r="GN36" i="5"/>
  <c r="GO36" i="5"/>
  <c r="GP36" i="5"/>
  <c r="GQ36" i="5"/>
  <c r="GR36" i="5"/>
  <c r="GS36" i="5"/>
  <c r="GT36" i="5"/>
  <c r="GU36" i="5"/>
  <c r="GV36" i="5"/>
  <c r="GW36" i="5"/>
  <c r="GX36" i="5"/>
  <c r="GY36" i="5"/>
  <c r="GZ36" i="5"/>
  <c r="HA36" i="5"/>
  <c r="HB36" i="5"/>
  <c r="HC36" i="5"/>
  <c r="HD36" i="5"/>
  <c r="HE36" i="5"/>
  <c r="HF36" i="5"/>
  <c r="HG36" i="5"/>
  <c r="HH36" i="5"/>
  <c r="HI36" i="5"/>
  <c r="HJ36" i="5"/>
  <c r="HK36" i="5"/>
  <c r="HL36" i="5"/>
  <c r="HM36" i="5"/>
  <c r="HN36" i="5"/>
  <c r="HO36" i="5"/>
  <c r="HP36" i="5"/>
  <c r="HQ36" i="5"/>
  <c r="HR36" i="5"/>
  <c r="HS36" i="5"/>
  <c r="HT36" i="5"/>
  <c r="HU36" i="5"/>
  <c r="HV36" i="5"/>
  <c r="HW36" i="5"/>
  <c r="HX36" i="5"/>
  <c r="HY36" i="5"/>
  <c r="HZ36" i="5"/>
  <c r="IA36" i="5"/>
  <c r="IB36" i="5"/>
  <c r="IC36" i="5"/>
  <c r="ID36" i="5"/>
  <c r="IE36" i="5"/>
  <c r="IF36" i="5"/>
  <c r="IG36" i="5"/>
  <c r="IH36" i="5"/>
  <c r="II36" i="5"/>
  <c r="IJ36" i="5"/>
  <c r="IK36" i="5"/>
  <c r="IL36" i="5"/>
  <c r="IM36" i="5"/>
  <c r="IN36" i="5"/>
  <c r="IO36" i="5"/>
  <c r="IP36" i="5"/>
  <c r="IQ36" i="5"/>
  <c r="IR36" i="5"/>
  <c r="IS36" i="5"/>
  <c r="IT36" i="5"/>
  <c r="IU36" i="5"/>
  <c r="IV36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DA35" i="5"/>
  <c r="DB35" i="5"/>
  <c r="DC35" i="5"/>
  <c r="DD35" i="5"/>
  <c r="DE35" i="5"/>
  <c r="DF35" i="5"/>
  <c r="DG35" i="5"/>
  <c r="DH35" i="5"/>
  <c r="DI35" i="5"/>
  <c r="DJ35" i="5"/>
  <c r="DK35" i="5"/>
  <c r="DL35" i="5"/>
  <c r="DM35" i="5"/>
  <c r="DN35" i="5"/>
  <c r="DO35" i="5"/>
  <c r="DP35" i="5"/>
  <c r="DQ35" i="5"/>
  <c r="DR35" i="5"/>
  <c r="DS35" i="5"/>
  <c r="DT35" i="5"/>
  <c r="DU35" i="5"/>
  <c r="DV35" i="5"/>
  <c r="DW35" i="5"/>
  <c r="DX35" i="5"/>
  <c r="DY35" i="5"/>
  <c r="DZ35" i="5"/>
  <c r="EA35" i="5"/>
  <c r="EB35" i="5"/>
  <c r="EC35" i="5"/>
  <c r="ED35" i="5"/>
  <c r="EE35" i="5"/>
  <c r="EF35" i="5"/>
  <c r="EG35" i="5"/>
  <c r="EH35" i="5"/>
  <c r="EI35" i="5"/>
  <c r="EJ35" i="5"/>
  <c r="EK35" i="5"/>
  <c r="EL35" i="5"/>
  <c r="EM35" i="5"/>
  <c r="EN35" i="5"/>
  <c r="EO35" i="5"/>
  <c r="EP35" i="5"/>
  <c r="EQ35" i="5"/>
  <c r="ER35" i="5"/>
  <c r="ES35" i="5"/>
  <c r="ET35" i="5"/>
  <c r="EU35" i="5"/>
  <c r="EV35" i="5"/>
  <c r="EW35" i="5"/>
  <c r="EX35" i="5"/>
  <c r="EY35" i="5"/>
  <c r="EZ35" i="5"/>
  <c r="FA35" i="5"/>
  <c r="FB35" i="5"/>
  <c r="FC35" i="5"/>
  <c r="FD35" i="5"/>
  <c r="FE35" i="5"/>
  <c r="FF35" i="5"/>
  <c r="FG35" i="5"/>
  <c r="FH35" i="5"/>
  <c r="FI35" i="5"/>
  <c r="FJ35" i="5"/>
  <c r="FK35" i="5"/>
  <c r="FL35" i="5"/>
  <c r="FM35" i="5"/>
  <c r="FN35" i="5"/>
  <c r="FO35" i="5"/>
  <c r="FP35" i="5"/>
  <c r="FQ35" i="5"/>
  <c r="FR35" i="5"/>
  <c r="FS35" i="5"/>
  <c r="FT35" i="5"/>
  <c r="FU35" i="5"/>
  <c r="FV35" i="5"/>
  <c r="FW35" i="5"/>
  <c r="FX35" i="5"/>
  <c r="FY35" i="5"/>
  <c r="FZ35" i="5"/>
  <c r="GA35" i="5"/>
  <c r="GB35" i="5"/>
  <c r="GC35" i="5"/>
  <c r="GD35" i="5"/>
  <c r="GE35" i="5"/>
  <c r="GF35" i="5"/>
  <c r="GG35" i="5"/>
  <c r="GH35" i="5"/>
  <c r="GI35" i="5"/>
  <c r="GJ35" i="5"/>
  <c r="GK35" i="5"/>
  <c r="GL35" i="5"/>
  <c r="GM35" i="5"/>
  <c r="GN35" i="5"/>
  <c r="GO35" i="5"/>
  <c r="GP35" i="5"/>
  <c r="GQ35" i="5"/>
  <c r="GR35" i="5"/>
  <c r="GS35" i="5"/>
  <c r="GT35" i="5"/>
  <c r="GU35" i="5"/>
  <c r="GV35" i="5"/>
  <c r="GW35" i="5"/>
  <c r="GX35" i="5"/>
  <c r="GY35" i="5"/>
  <c r="GZ35" i="5"/>
  <c r="HA35" i="5"/>
  <c r="HB35" i="5"/>
  <c r="HC35" i="5"/>
  <c r="HD35" i="5"/>
  <c r="HE35" i="5"/>
  <c r="HF35" i="5"/>
  <c r="HG35" i="5"/>
  <c r="HH35" i="5"/>
  <c r="HI35" i="5"/>
  <c r="HJ35" i="5"/>
  <c r="HK35" i="5"/>
  <c r="HL35" i="5"/>
  <c r="HM35" i="5"/>
  <c r="HN35" i="5"/>
  <c r="HO35" i="5"/>
  <c r="HP35" i="5"/>
  <c r="HQ35" i="5"/>
  <c r="HR35" i="5"/>
  <c r="HS35" i="5"/>
  <c r="HT35" i="5"/>
  <c r="HU35" i="5"/>
  <c r="HV35" i="5"/>
  <c r="HW35" i="5"/>
  <c r="HX35" i="5"/>
  <c r="HY35" i="5"/>
  <c r="HZ35" i="5"/>
  <c r="IA35" i="5"/>
  <c r="IB35" i="5"/>
  <c r="IC35" i="5"/>
  <c r="ID35" i="5"/>
  <c r="IE35" i="5"/>
  <c r="IF35" i="5"/>
  <c r="IG35" i="5"/>
  <c r="IH35" i="5"/>
  <c r="II35" i="5"/>
  <c r="IJ35" i="5"/>
  <c r="IK35" i="5"/>
  <c r="IL35" i="5"/>
  <c r="IM35" i="5"/>
  <c r="IN35" i="5"/>
  <c r="IO35" i="5"/>
  <c r="IP35" i="5"/>
  <c r="IQ35" i="5"/>
  <c r="IR35" i="5"/>
  <c r="IS35" i="5"/>
  <c r="IT35" i="5"/>
  <c r="IU35" i="5"/>
  <c r="IV35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DN34" i="5"/>
  <c r="DO34" i="5"/>
  <c r="DP34" i="5"/>
  <c r="DQ34" i="5"/>
  <c r="DR34" i="5"/>
  <c r="DS34" i="5"/>
  <c r="DT34" i="5"/>
  <c r="DU34" i="5"/>
  <c r="DV34" i="5"/>
  <c r="DW34" i="5"/>
  <c r="DX34" i="5"/>
  <c r="DY34" i="5"/>
  <c r="DZ34" i="5"/>
  <c r="EA34" i="5"/>
  <c r="EB34" i="5"/>
  <c r="EC34" i="5"/>
  <c r="ED34" i="5"/>
  <c r="EE34" i="5"/>
  <c r="EF34" i="5"/>
  <c r="EG34" i="5"/>
  <c r="EH34" i="5"/>
  <c r="EI34" i="5"/>
  <c r="EJ34" i="5"/>
  <c r="EK34" i="5"/>
  <c r="EL34" i="5"/>
  <c r="EM34" i="5"/>
  <c r="EN34" i="5"/>
  <c r="EO34" i="5"/>
  <c r="EP34" i="5"/>
  <c r="EQ34" i="5"/>
  <c r="ER34" i="5"/>
  <c r="ES34" i="5"/>
  <c r="ET34" i="5"/>
  <c r="EU34" i="5"/>
  <c r="EV34" i="5"/>
  <c r="EW34" i="5"/>
  <c r="EX34" i="5"/>
  <c r="EY34" i="5"/>
  <c r="EZ34" i="5"/>
  <c r="FA34" i="5"/>
  <c r="FB34" i="5"/>
  <c r="FC34" i="5"/>
  <c r="FD34" i="5"/>
  <c r="FE34" i="5"/>
  <c r="FF34" i="5"/>
  <c r="FG34" i="5"/>
  <c r="FH34" i="5"/>
  <c r="FI34" i="5"/>
  <c r="FJ34" i="5"/>
  <c r="FK34" i="5"/>
  <c r="FL34" i="5"/>
  <c r="FM34" i="5"/>
  <c r="FN34" i="5"/>
  <c r="FO34" i="5"/>
  <c r="FP34" i="5"/>
  <c r="FQ34" i="5"/>
  <c r="FR34" i="5"/>
  <c r="FS34" i="5"/>
  <c r="FT34" i="5"/>
  <c r="FU34" i="5"/>
  <c r="FV34" i="5"/>
  <c r="FW34" i="5"/>
  <c r="FX34" i="5"/>
  <c r="FY34" i="5"/>
  <c r="FZ34" i="5"/>
  <c r="GA34" i="5"/>
  <c r="GB34" i="5"/>
  <c r="GC34" i="5"/>
  <c r="GD34" i="5"/>
  <c r="GE34" i="5"/>
  <c r="GF34" i="5"/>
  <c r="GG34" i="5"/>
  <c r="GH34" i="5"/>
  <c r="GI34" i="5"/>
  <c r="GJ34" i="5"/>
  <c r="GK34" i="5"/>
  <c r="GL34" i="5"/>
  <c r="GM34" i="5"/>
  <c r="GN34" i="5"/>
  <c r="GO34" i="5"/>
  <c r="GP34" i="5"/>
  <c r="GQ34" i="5"/>
  <c r="GR34" i="5"/>
  <c r="GS34" i="5"/>
  <c r="GT34" i="5"/>
  <c r="GU34" i="5"/>
  <c r="GV34" i="5"/>
  <c r="GW34" i="5"/>
  <c r="GX34" i="5"/>
  <c r="GY34" i="5"/>
  <c r="GZ34" i="5"/>
  <c r="HA34" i="5"/>
  <c r="HB34" i="5"/>
  <c r="HC34" i="5"/>
  <c r="HD34" i="5"/>
  <c r="HE34" i="5"/>
  <c r="HF34" i="5"/>
  <c r="HG34" i="5"/>
  <c r="HH34" i="5"/>
  <c r="HI34" i="5"/>
  <c r="HJ34" i="5"/>
  <c r="HK34" i="5"/>
  <c r="HL34" i="5"/>
  <c r="HM34" i="5"/>
  <c r="HN34" i="5"/>
  <c r="HO34" i="5"/>
  <c r="HP34" i="5"/>
  <c r="HQ34" i="5"/>
  <c r="HR34" i="5"/>
  <c r="HS34" i="5"/>
  <c r="HT34" i="5"/>
  <c r="HU34" i="5"/>
  <c r="HV34" i="5"/>
  <c r="HW34" i="5"/>
  <c r="HX34" i="5"/>
  <c r="HY34" i="5"/>
  <c r="HZ34" i="5"/>
  <c r="IA34" i="5"/>
  <c r="IB34" i="5"/>
  <c r="IC34" i="5"/>
  <c r="ID34" i="5"/>
  <c r="IE34" i="5"/>
  <c r="IF34" i="5"/>
  <c r="IG34" i="5"/>
  <c r="IH34" i="5"/>
  <c r="II34" i="5"/>
  <c r="IJ34" i="5"/>
  <c r="IK34" i="5"/>
  <c r="IL34" i="5"/>
  <c r="IM34" i="5"/>
  <c r="IN34" i="5"/>
  <c r="IO34" i="5"/>
  <c r="IP34" i="5"/>
  <c r="IQ34" i="5"/>
  <c r="IR34" i="5"/>
  <c r="IS34" i="5"/>
  <c r="IT34" i="5"/>
  <c r="IU34" i="5"/>
  <c r="IV34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CO33" i="5"/>
  <c r="CP33" i="5"/>
  <c r="CQ33" i="5"/>
  <c r="CR33" i="5"/>
  <c r="CS33" i="5"/>
  <c r="CT33" i="5"/>
  <c r="CU33" i="5"/>
  <c r="CV33" i="5"/>
  <c r="CW33" i="5"/>
  <c r="CX33" i="5"/>
  <c r="CY33" i="5"/>
  <c r="CZ33" i="5"/>
  <c r="DA33" i="5"/>
  <c r="DB33" i="5"/>
  <c r="DC33" i="5"/>
  <c r="DD33" i="5"/>
  <c r="DE33" i="5"/>
  <c r="DF33" i="5"/>
  <c r="DG33" i="5"/>
  <c r="DH33" i="5"/>
  <c r="DI33" i="5"/>
  <c r="DJ33" i="5"/>
  <c r="DK33" i="5"/>
  <c r="DL33" i="5"/>
  <c r="DM33" i="5"/>
  <c r="DN33" i="5"/>
  <c r="DO33" i="5"/>
  <c r="DP33" i="5"/>
  <c r="DQ33" i="5"/>
  <c r="DR33" i="5"/>
  <c r="DS33" i="5"/>
  <c r="DT33" i="5"/>
  <c r="DU33" i="5"/>
  <c r="DV33" i="5"/>
  <c r="DW33" i="5"/>
  <c r="DX33" i="5"/>
  <c r="DY33" i="5"/>
  <c r="DZ33" i="5"/>
  <c r="EA33" i="5"/>
  <c r="EB33" i="5"/>
  <c r="EC33" i="5"/>
  <c r="ED33" i="5"/>
  <c r="EE33" i="5"/>
  <c r="EF33" i="5"/>
  <c r="EG33" i="5"/>
  <c r="EH33" i="5"/>
  <c r="EI33" i="5"/>
  <c r="EJ33" i="5"/>
  <c r="EK33" i="5"/>
  <c r="EL33" i="5"/>
  <c r="EM33" i="5"/>
  <c r="EN33" i="5"/>
  <c r="EO33" i="5"/>
  <c r="EP33" i="5"/>
  <c r="EQ33" i="5"/>
  <c r="ER33" i="5"/>
  <c r="ES33" i="5"/>
  <c r="ET33" i="5"/>
  <c r="EU33" i="5"/>
  <c r="EV33" i="5"/>
  <c r="EW33" i="5"/>
  <c r="EX33" i="5"/>
  <c r="EY33" i="5"/>
  <c r="EZ33" i="5"/>
  <c r="FA33" i="5"/>
  <c r="FB33" i="5"/>
  <c r="FC33" i="5"/>
  <c r="FD33" i="5"/>
  <c r="FE33" i="5"/>
  <c r="FF33" i="5"/>
  <c r="FG33" i="5"/>
  <c r="FH33" i="5"/>
  <c r="FI33" i="5"/>
  <c r="FJ33" i="5"/>
  <c r="FK33" i="5"/>
  <c r="FL33" i="5"/>
  <c r="FM33" i="5"/>
  <c r="FN33" i="5"/>
  <c r="FO33" i="5"/>
  <c r="FP33" i="5"/>
  <c r="FQ33" i="5"/>
  <c r="FR33" i="5"/>
  <c r="FS33" i="5"/>
  <c r="FT33" i="5"/>
  <c r="FU33" i="5"/>
  <c r="FV33" i="5"/>
  <c r="FW33" i="5"/>
  <c r="FX33" i="5"/>
  <c r="FY33" i="5"/>
  <c r="FZ33" i="5"/>
  <c r="GA33" i="5"/>
  <c r="GB33" i="5"/>
  <c r="GC33" i="5"/>
  <c r="GD33" i="5"/>
  <c r="GE33" i="5"/>
  <c r="GF33" i="5"/>
  <c r="GG33" i="5"/>
  <c r="GH33" i="5"/>
  <c r="GI33" i="5"/>
  <c r="GJ33" i="5"/>
  <c r="GK33" i="5"/>
  <c r="GL33" i="5"/>
  <c r="GM33" i="5"/>
  <c r="GN33" i="5"/>
  <c r="GO33" i="5"/>
  <c r="GP33" i="5"/>
  <c r="GQ33" i="5"/>
  <c r="GR33" i="5"/>
  <c r="GS33" i="5"/>
  <c r="GT33" i="5"/>
  <c r="GU33" i="5"/>
  <c r="GV33" i="5"/>
  <c r="GW33" i="5"/>
  <c r="GX33" i="5"/>
  <c r="GY33" i="5"/>
  <c r="GZ33" i="5"/>
  <c r="HA33" i="5"/>
  <c r="HB33" i="5"/>
  <c r="HC33" i="5"/>
  <c r="HD33" i="5"/>
  <c r="HE33" i="5"/>
  <c r="HF33" i="5"/>
  <c r="HG33" i="5"/>
  <c r="HH33" i="5"/>
  <c r="HI33" i="5"/>
  <c r="HJ33" i="5"/>
  <c r="HK33" i="5"/>
  <c r="HL33" i="5"/>
  <c r="HM33" i="5"/>
  <c r="HN33" i="5"/>
  <c r="HO33" i="5"/>
  <c r="HP33" i="5"/>
  <c r="HQ33" i="5"/>
  <c r="HR33" i="5"/>
  <c r="HS33" i="5"/>
  <c r="HT33" i="5"/>
  <c r="HU33" i="5"/>
  <c r="HV33" i="5"/>
  <c r="HW33" i="5"/>
  <c r="HX33" i="5"/>
  <c r="HY33" i="5"/>
  <c r="HZ33" i="5"/>
  <c r="IA33" i="5"/>
  <c r="IB33" i="5"/>
  <c r="IC33" i="5"/>
  <c r="ID33" i="5"/>
  <c r="IE33" i="5"/>
  <c r="IF33" i="5"/>
  <c r="IG33" i="5"/>
  <c r="IH33" i="5"/>
  <c r="II33" i="5"/>
  <c r="IJ33" i="5"/>
  <c r="IK33" i="5"/>
  <c r="IL33" i="5"/>
  <c r="IM33" i="5"/>
  <c r="IN33" i="5"/>
  <c r="IO33" i="5"/>
  <c r="IP33" i="5"/>
  <c r="IQ33" i="5"/>
  <c r="IR33" i="5"/>
  <c r="IS33" i="5"/>
  <c r="IT33" i="5"/>
  <c r="IU33" i="5"/>
  <c r="IV33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S32" i="5"/>
  <c r="CT32" i="5"/>
  <c r="CU32" i="5"/>
  <c r="CV32" i="5"/>
  <c r="CW32" i="5"/>
  <c r="CX32" i="5"/>
  <c r="CY32" i="5"/>
  <c r="CZ32" i="5"/>
  <c r="DA32" i="5"/>
  <c r="DB32" i="5"/>
  <c r="DC32" i="5"/>
  <c r="DD32" i="5"/>
  <c r="DE32" i="5"/>
  <c r="DF32" i="5"/>
  <c r="DG32" i="5"/>
  <c r="DH32" i="5"/>
  <c r="DI32" i="5"/>
  <c r="DJ32" i="5"/>
  <c r="DK32" i="5"/>
  <c r="DL32" i="5"/>
  <c r="DM32" i="5"/>
  <c r="DN32" i="5"/>
  <c r="DO32" i="5"/>
  <c r="DP32" i="5"/>
  <c r="DQ32" i="5"/>
  <c r="DR32" i="5"/>
  <c r="DS32" i="5"/>
  <c r="DT32" i="5"/>
  <c r="DU32" i="5"/>
  <c r="DV32" i="5"/>
  <c r="DW32" i="5"/>
  <c r="DX32" i="5"/>
  <c r="DY32" i="5"/>
  <c r="DZ32" i="5"/>
  <c r="EA32" i="5"/>
  <c r="EB32" i="5"/>
  <c r="EC32" i="5"/>
  <c r="ED32" i="5"/>
  <c r="EE32" i="5"/>
  <c r="EF32" i="5"/>
  <c r="EG32" i="5"/>
  <c r="EH32" i="5"/>
  <c r="EI32" i="5"/>
  <c r="EJ32" i="5"/>
  <c r="EK32" i="5"/>
  <c r="EL32" i="5"/>
  <c r="EM32" i="5"/>
  <c r="EN32" i="5"/>
  <c r="EO32" i="5"/>
  <c r="EP32" i="5"/>
  <c r="EQ32" i="5"/>
  <c r="ER32" i="5"/>
  <c r="ES32" i="5"/>
  <c r="ET32" i="5"/>
  <c r="EU32" i="5"/>
  <c r="EV32" i="5"/>
  <c r="EW32" i="5"/>
  <c r="EX32" i="5"/>
  <c r="EY32" i="5"/>
  <c r="EZ32" i="5"/>
  <c r="FA32" i="5"/>
  <c r="FB32" i="5"/>
  <c r="FC32" i="5"/>
  <c r="FD32" i="5"/>
  <c r="FE32" i="5"/>
  <c r="FF32" i="5"/>
  <c r="FG32" i="5"/>
  <c r="FH32" i="5"/>
  <c r="FI32" i="5"/>
  <c r="FJ32" i="5"/>
  <c r="FK32" i="5"/>
  <c r="FL32" i="5"/>
  <c r="FM32" i="5"/>
  <c r="FN32" i="5"/>
  <c r="FO32" i="5"/>
  <c r="FP32" i="5"/>
  <c r="FQ32" i="5"/>
  <c r="FR32" i="5"/>
  <c r="FS32" i="5"/>
  <c r="FT32" i="5"/>
  <c r="FU32" i="5"/>
  <c r="FV32" i="5"/>
  <c r="FW32" i="5"/>
  <c r="FX32" i="5"/>
  <c r="FY32" i="5"/>
  <c r="FZ32" i="5"/>
  <c r="GA32" i="5"/>
  <c r="GB32" i="5"/>
  <c r="GC32" i="5"/>
  <c r="GD32" i="5"/>
  <c r="GE32" i="5"/>
  <c r="GF32" i="5"/>
  <c r="GG32" i="5"/>
  <c r="GH32" i="5"/>
  <c r="GI32" i="5"/>
  <c r="GJ32" i="5"/>
  <c r="GK32" i="5"/>
  <c r="GL32" i="5"/>
  <c r="GM32" i="5"/>
  <c r="GN32" i="5"/>
  <c r="GO32" i="5"/>
  <c r="GP32" i="5"/>
  <c r="GQ32" i="5"/>
  <c r="GR32" i="5"/>
  <c r="GS32" i="5"/>
  <c r="GT32" i="5"/>
  <c r="GU32" i="5"/>
  <c r="GV32" i="5"/>
  <c r="GW32" i="5"/>
  <c r="GX32" i="5"/>
  <c r="GY32" i="5"/>
  <c r="GZ32" i="5"/>
  <c r="HA32" i="5"/>
  <c r="HB32" i="5"/>
  <c r="HC32" i="5"/>
  <c r="HD32" i="5"/>
  <c r="HE32" i="5"/>
  <c r="HF32" i="5"/>
  <c r="HG32" i="5"/>
  <c r="HH32" i="5"/>
  <c r="HI32" i="5"/>
  <c r="HJ32" i="5"/>
  <c r="HK32" i="5"/>
  <c r="HL32" i="5"/>
  <c r="HM32" i="5"/>
  <c r="HN32" i="5"/>
  <c r="HO32" i="5"/>
  <c r="HP32" i="5"/>
  <c r="HQ32" i="5"/>
  <c r="HR32" i="5"/>
  <c r="HS32" i="5"/>
  <c r="HT32" i="5"/>
  <c r="HU32" i="5"/>
  <c r="HV32" i="5"/>
  <c r="HW32" i="5"/>
  <c r="HX32" i="5"/>
  <c r="HY32" i="5"/>
  <c r="HZ32" i="5"/>
  <c r="IA32" i="5"/>
  <c r="IB32" i="5"/>
  <c r="IC32" i="5"/>
  <c r="ID32" i="5"/>
  <c r="IE32" i="5"/>
  <c r="IF32" i="5"/>
  <c r="IG32" i="5"/>
  <c r="IH32" i="5"/>
  <c r="II32" i="5"/>
  <c r="IJ32" i="5"/>
  <c r="IK32" i="5"/>
  <c r="IL32" i="5"/>
  <c r="IM32" i="5"/>
  <c r="IN32" i="5"/>
  <c r="IO32" i="5"/>
  <c r="IP32" i="5"/>
  <c r="IQ32" i="5"/>
  <c r="IR32" i="5"/>
  <c r="IS32" i="5"/>
  <c r="IT32" i="5"/>
  <c r="IU32" i="5"/>
  <c r="IV32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DN31" i="5"/>
  <c r="DO31" i="5"/>
  <c r="DP31" i="5"/>
  <c r="DQ31" i="5"/>
  <c r="DR31" i="5"/>
  <c r="DS31" i="5"/>
  <c r="DT31" i="5"/>
  <c r="DU31" i="5"/>
  <c r="DV31" i="5"/>
  <c r="DW31" i="5"/>
  <c r="DX31" i="5"/>
  <c r="DY31" i="5"/>
  <c r="DZ31" i="5"/>
  <c r="EA31" i="5"/>
  <c r="EB31" i="5"/>
  <c r="EC31" i="5"/>
  <c r="ED31" i="5"/>
  <c r="EE31" i="5"/>
  <c r="EF31" i="5"/>
  <c r="EG31" i="5"/>
  <c r="EH31" i="5"/>
  <c r="EI31" i="5"/>
  <c r="EJ31" i="5"/>
  <c r="EK31" i="5"/>
  <c r="EL31" i="5"/>
  <c r="EM31" i="5"/>
  <c r="EN31" i="5"/>
  <c r="EO31" i="5"/>
  <c r="EP31" i="5"/>
  <c r="EQ31" i="5"/>
  <c r="ER31" i="5"/>
  <c r="ES31" i="5"/>
  <c r="ET31" i="5"/>
  <c r="EU31" i="5"/>
  <c r="EV31" i="5"/>
  <c r="EW31" i="5"/>
  <c r="EX31" i="5"/>
  <c r="EY31" i="5"/>
  <c r="EZ31" i="5"/>
  <c r="FA31" i="5"/>
  <c r="FB31" i="5"/>
  <c r="FC31" i="5"/>
  <c r="FD31" i="5"/>
  <c r="FE31" i="5"/>
  <c r="FF31" i="5"/>
  <c r="FG31" i="5"/>
  <c r="FH31" i="5"/>
  <c r="FI31" i="5"/>
  <c r="FJ31" i="5"/>
  <c r="FK31" i="5"/>
  <c r="FL31" i="5"/>
  <c r="FM31" i="5"/>
  <c r="FN31" i="5"/>
  <c r="FO31" i="5"/>
  <c r="FP31" i="5"/>
  <c r="FQ31" i="5"/>
  <c r="FR31" i="5"/>
  <c r="FS31" i="5"/>
  <c r="FT31" i="5"/>
  <c r="FU31" i="5"/>
  <c r="FV31" i="5"/>
  <c r="FW31" i="5"/>
  <c r="FX31" i="5"/>
  <c r="FY31" i="5"/>
  <c r="FZ31" i="5"/>
  <c r="GA31" i="5"/>
  <c r="GB31" i="5"/>
  <c r="GC31" i="5"/>
  <c r="GD31" i="5"/>
  <c r="GE31" i="5"/>
  <c r="GF31" i="5"/>
  <c r="GG31" i="5"/>
  <c r="GH31" i="5"/>
  <c r="GI31" i="5"/>
  <c r="GJ31" i="5"/>
  <c r="GK31" i="5"/>
  <c r="GL31" i="5"/>
  <c r="GM31" i="5"/>
  <c r="GN31" i="5"/>
  <c r="GO31" i="5"/>
  <c r="GP31" i="5"/>
  <c r="GQ31" i="5"/>
  <c r="GR31" i="5"/>
  <c r="GS31" i="5"/>
  <c r="GT31" i="5"/>
  <c r="GU31" i="5"/>
  <c r="GV31" i="5"/>
  <c r="GW31" i="5"/>
  <c r="GX31" i="5"/>
  <c r="GY31" i="5"/>
  <c r="GZ31" i="5"/>
  <c r="HA31" i="5"/>
  <c r="HB31" i="5"/>
  <c r="HC31" i="5"/>
  <c r="HD31" i="5"/>
  <c r="HE31" i="5"/>
  <c r="HF31" i="5"/>
  <c r="HG31" i="5"/>
  <c r="HH31" i="5"/>
  <c r="HI31" i="5"/>
  <c r="HJ31" i="5"/>
  <c r="HK31" i="5"/>
  <c r="HL31" i="5"/>
  <c r="HM31" i="5"/>
  <c r="HN31" i="5"/>
  <c r="HO31" i="5"/>
  <c r="HP31" i="5"/>
  <c r="HQ31" i="5"/>
  <c r="HR31" i="5"/>
  <c r="HS31" i="5"/>
  <c r="HT31" i="5"/>
  <c r="HU31" i="5"/>
  <c r="HV31" i="5"/>
  <c r="HW31" i="5"/>
  <c r="HX31" i="5"/>
  <c r="HY31" i="5"/>
  <c r="HZ31" i="5"/>
  <c r="IA31" i="5"/>
  <c r="IB31" i="5"/>
  <c r="IC31" i="5"/>
  <c r="ID31" i="5"/>
  <c r="IE31" i="5"/>
  <c r="IF31" i="5"/>
  <c r="IG31" i="5"/>
  <c r="IH31" i="5"/>
  <c r="II31" i="5"/>
  <c r="IJ31" i="5"/>
  <c r="IK31" i="5"/>
  <c r="IL31" i="5"/>
  <c r="IM31" i="5"/>
  <c r="IN31" i="5"/>
  <c r="IO31" i="5"/>
  <c r="IP31" i="5"/>
  <c r="IQ31" i="5"/>
  <c r="IR31" i="5"/>
  <c r="IS31" i="5"/>
  <c r="IT31" i="5"/>
  <c r="IU31" i="5"/>
  <c r="IV31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DA30" i="5"/>
  <c r="DB30" i="5"/>
  <c r="DC30" i="5"/>
  <c r="DD30" i="5"/>
  <c r="DE30" i="5"/>
  <c r="DF30" i="5"/>
  <c r="DG30" i="5"/>
  <c r="DH30" i="5"/>
  <c r="DI30" i="5"/>
  <c r="DJ30" i="5"/>
  <c r="DK30" i="5"/>
  <c r="DL30" i="5"/>
  <c r="DM30" i="5"/>
  <c r="DN30" i="5"/>
  <c r="DO30" i="5"/>
  <c r="DP30" i="5"/>
  <c r="DQ30" i="5"/>
  <c r="DR30" i="5"/>
  <c r="DS30" i="5"/>
  <c r="DT30" i="5"/>
  <c r="DU30" i="5"/>
  <c r="DV30" i="5"/>
  <c r="DW30" i="5"/>
  <c r="DX30" i="5"/>
  <c r="DY30" i="5"/>
  <c r="DZ30" i="5"/>
  <c r="EA30" i="5"/>
  <c r="EB30" i="5"/>
  <c r="EC30" i="5"/>
  <c r="ED30" i="5"/>
  <c r="EE30" i="5"/>
  <c r="EF30" i="5"/>
  <c r="EG30" i="5"/>
  <c r="EH30" i="5"/>
  <c r="EI30" i="5"/>
  <c r="EJ30" i="5"/>
  <c r="EK30" i="5"/>
  <c r="EL30" i="5"/>
  <c r="EM30" i="5"/>
  <c r="EN30" i="5"/>
  <c r="EO30" i="5"/>
  <c r="EP30" i="5"/>
  <c r="EQ30" i="5"/>
  <c r="ER30" i="5"/>
  <c r="ES30" i="5"/>
  <c r="ET30" i="5"/>
  <c r="EU30" i="5"/>
  <c r="EV30" i="5"/>
  <c r="EW30" i="5"/>
  <c r="EX30" i="5"/>
  <c r="EY30" i="5"/>
  <c r="EZ30" i="5"/>
  <c r="FA30" i="5"/>
  <c r="FB30" i="5"/>
  <c r="FC30" i="5"/>
  <c r="FD30" i="5"/>
  <c r="FE30" i="5"/>
  <c r="FF30" i="5"/>
  <c r="FG30" i="5"/>
  <c r="FH30" i="5"/>
  <c r="FI30" i="5"/>
  <c r="FJ30" i="5"/>
  <c r="FK30" i="5"/>
  <c r="FL30" i="5"/>
  <c r="FM30" i="5"/>
  <c r="FN30" i="5"/>
  <c r="FO30" i="5"/>
  <c r="FP30" i="5"/>
  <c r="FQ30" i="5"/>
  <c r="FR30" i="5"/>
  <c r="FS30" i="5"/>
  <c r="FT30" i="5"/>
  <c r="FU30" i="5"/>
  <c r="FV30" i="5"/>
  <c r="FW30" i="5"/>
  <c r="FX30" i="5"/>
  <c r="FY30" i="5"/>
  <c r="FZ30" i="5"/>
  <c r="GA30" i="5"/>
  <c r="GB30" i="5"/>
  <c r="GC30" i="5"/>
  <c r="GD30" i="5"/>
  <c r="GE30" i="5"/>
  <c r="GF30" i="5"/>
  <c r="GG30" i="5"/>
  <c r="GH30" i="5"/>
  <c r="GI30" i="5"/>
  <c r="GJ30" i="5"/>
  <c r="GK30" i="5"/>
  <c r="GL30" i="5"/>
  <c r="GM30" i="5"/>
  <c r="GN30" i="5"/>
  <c r="GO30" i="5"/>
  <c r="GP30" i="5"/>
  <c r="GQ30" i="5"/>
  <c r="GR30" i="5"/>
  <c r="GS30" i="5"/>
  <c r="GT30" i="5"/>
  <c r="GU30" i="5"/>
  <c r="GV30" i="5"/>
  <c r="GW30" i="5"/>
  <c r="GX30" i="5"/>
  <c r="GY30" i="5"/>
  <c r="GZ30" i="5"/>
  <c r="HA30" i="5"/>
  <c r="HB30" i="5"/>
  <c r="HC30" i="5"/>
  <c r="HD30" i="5"/>
  <c r="HE30" i="5"/>
  <c r="HF30" i="5"/>
  <c r="HG30" i="5"/>
  <c r="HH30" i="5"/>
  <c r="HI30" i="5"/>
  <c r="HJ30" i="5"/>
  <c r="HK30" i="5"/>
  <c r="HL30" i="5"/>
  <c r="HM30" i="5"/>
  <c r="HN30" i="5"/>
  <c r="HO30" i="5"/>
  <c r="HP30" i="5"/>
  <c r="HQ30" i="5"/>
  <c r="HR30" i="5"/>
  <c r="HS30" i="5"/>
  <c r="HT30" i="5"/>
  <c r="HU30" i="5"/>
  <c r="HV30" i="5"/>
  <c r="HW30" i="5"/>
  <c r="HX30" i="5"/>
  <c r="HY30" i="5"/>
  <c r="HZ30" i="5"/>
  <c r="IA30" i="5"/>
  <c r="IB30" i="5"/>
  <c r="IC30" i="5"/>
  <c r="ID30" i="5"/>
  <c r="IE30" i="5"/>
  <c r="IF30" i="5"/>
  <c r="IG30" i="5"/>
  <c r="IH30" i="5"/>
  <c r="II30" i="5"/>
  <c r="IJ30" i="5"/>
  <c r="IK30" i="5"/>
  <c r="IL30" i="5"/>
  <c r="IM30" i="5"/>
  <c r="IN30" i="5"/>
  <c r="IO30" i="5"/>
  <c r="IP30" i="5"/>
  <c r="IQ30" i="5"/>
  <c r="IR30" i="5"/>
  <c r="IS30" i="5"/>
  <c r="IT30" i="5"/>
  <c r="IU30" i="5"/>
  <c r="IV30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DA29" i="5"/>
  <c r="DB29" i="5"/>
  <c r="DC29" i="5"/>
  <c r="DD29" i="5"/>
  <c r="DE29" i="5"/>
  <c r="DF29" i="5"/>
  <c r="DG29" i="5"/>
  <c r="DH29" i="5"/>
  <c r="DI29" i="5"/>
  <c r="DJ29" i="5"/>
  <c r="DK29" i="5"/>
  <c r="DL29" i="5"/>
  <c r="DM29" i="5"/>
  <c r="DN29" i="5"/>
  <c r="DO29" i="5"/>
  <c r="DP29" i="5"/>
  <c r="DQ29" i="5"/>
  <c r="DR29" i="5"/>
  <c r="DS29" i="5"/>
  <c r="DT29" i="5"/>
  <c r="DU29" i="5"/>
  <c r="DV29" i="5"/>
  <c r="DW29" i="5"/>
  <c r="DX29" i="5"/>
  <c r="DY29" i="5"/>
  <c r="DZ29" i="5"/>
  <c r="EA29" i="5"/>
  <c r="EB29" i="5"/>
  <c r="EC29" i="5"/>
  <c r="ED29" i="5"/>
  <c r="EE29" i="5"/>
  <c r="EF29" i="5"/>
  <c r="EG29" i="5"/>
  <c r="EH29" i="5"/>
  <c r="EI29" i="5"/>
  <c r="EJ29" i="5"/>
  <c r="EK29" i="5"/>
  <c r="EL29" i="5"/>
  <c r="EM29" i="5"/>
  <c r="EN29" i="5"/>
  <c r="EO29" i="5"/>
  <c r="EP29" i="5"/>
  <c r="EQ29" i="5"/>
  <c r="ER29" i="5"/>
  <c r="ES29" i="5"/>
  <c r="ET29" i="5"/>
  <c r="EU29" i="5"/>
  <c r="EV29" i="5"/>
  <c r="EW29" i="5"/>
  <c r="EX29" i="5"/>
  <c r="EY29" i="5"/>
  <c r="EZ29" i="5"/>
  <c r="FA29" i="5"/>
  <c r="FB29" i="5"/>
  <c r="FC29" i="5"/>
  <c r="FD29" i="5"/>
  <c r="FE29" i="5"/>
  <c r="FF29" i="5"/>
  <c r="FG29" i="5"/>
  <c r="FH29" i="5"/>
  <c r="FI29" i="5"/>
  <c r="FJ29" i="5"/>
  <c r="FK29" i="5"/>
  <c r="FL29" i="5"/>
  <c r="FM29" i="5"/>
  <c r="FN29" i="5"/>
  <c r="FO29" i="5"/>
  <c r="FP29" i="5"/>
  <c r="FQ29" i="5"/>
  <c r="FR29" i="5"/>
  <c r="FS29" i="5"/>
  <c r="FT29" i="5"/>
  <c r="FU29" i="5"/>
  <c r="FV29" i="5"/>
  <c r="FW29" i="5"/>
  <c r="FX29" i="5"/>
  <c r="FY29" i="5"/>
  <c r="FZ29" i="5"/>
  <c r="GA29" i="5"/>
  <c r="GB29" i="5"/>
  <c r="GC29" i="5"/>
  <c r="GD29" i="5"/>
  <c r="GE29" i="5"/>
  <c r="GF29" i="5"/>
  <c r="GG29" i="5"/>
  <c r="GH29" i="5"/>
  <c r="GI29" i="5"/>
  <c r="GJ29" i="5"/>
  <c r="GK29" i="5"/>
  <c r="GL29" i="5"/>
  <c r="GM29" i="5"/>
  <c r="GN29" i="5"/>
  <c r="GO29" i="5"/>
  <c r="GP29" i="5"/>
  <c r="GQ29" i="5"/>
  <c r="GR29" i="5"/>
  <c r="GS29" i="5"/>
  <c r="GT29" i="5"/>
  <c r="GU29" i="5"/>
  <c r="GV29" i="5"/>
  <c r="GW29" i="5"/>
  <c r="GX29" i="5"/>
  <c r="GY29" i="5"/>
  <c r="GZ29" i="5"/>
  <c r="HA29" i="5"/>
  <c r="HB29" i="5"/>
  <c r="HC29" i="5"/>
  <c r="HD29" i="5"/>
  <c r="HE29" i="5"/>
  <c r="HF29" i="5"/>
  <c r="HG29" i="5"/>
  <c r="HH29" i="5"/>
  <c r="HI29" i="5"/>
  <c r="HJ29" i="5"/>
  <c r="HK29" i="5"/>
  <c r="HL29" i="5"/>
  <c r="HM29" i="5"/>
  <c r="HN29" i="5"/>
  <c r="HO29" i="5"/>
  <c r="HP29" i="5"/>
  <c r="HQ29" i="5"/>
  <c r="HR29" i="5"/>
  <c r="HS29" i="5"/>
  <c r="HT29" i="5"/>
  <c r="HU29" i="5"/>
  <c r="HV29" i="5"/>
  <c r="HW29" i="5"/>
  <c r="HX29" i="5"/>
  <c r="HY29" i="5"/>
  <c r="HZ29" i="5"/>
  <c r="IA29" i="5"/>
  <c r="IB29" i="5"/>
  <c r="IC29" i="5"/>
  <c r="ID29" i="5"/>
  <c r="IE29" i="5"/>
  <c r="IF29" i="5"/>
  <c r="IG29" i="5"/>
  <c r="IH29" i="5"/>
  <c r="II29" i="5"/>
  <c r="IJ29" i="5"/>
  <c r="IK29" i="5"/>
  <c r="IL29" i="5"/>
  <c r="IM29" i="5"/>
  <c r="IN29" i="5"/>
  <c r="IO29" i="5"/>
  <c r="IP29" i="5"/>
  <c r="IQ29" i="5"/>
  <c r="IR29" i="5"/>
  <c r="IS29" i="5"/>
  <c r="IT29" i="5"/>
  <c r="IU29" i="5"/>
  <c r="IV29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N28" i="5"/>
  <c r="DO28" i="5"/>
  <c r="DP28" i="5"/>
  <c r="DQ28" i="5"/>
  <c r="DR28" i="5"/>
  <c r="DS28" i="5"/>
  <c r="DT28" i="5"/>
  <c r="DU28" i="5"/>
  <c r="DV28" i="5"/>
  <c r="DW28" i="5"/>
  <c r="DX28" i="5"/>
  <c r="DY28" i="5"/>
  <c r="DZ28" i="5"/>
  <c r="EA28" i="5"/>
  <c r="EB28" i="5"/>
  <c r="EC28" i="5"/>
  <c r="ED28" i="5"/>
  <c r="EE28" i="5"/>
  <c r="EF28" i="5"/>
  <c r="EG28" i="5"/>
  <c r="EH28" i="5"/>
  <c r="EI28" i="5"/>
  <c r="EJ28" i="5"/>
  <c r="EK28" i="5"/>
  <c r="EL28" i="5"/>
  <c r="EM28" i="5"/>
  <c r="EN28" i="5"/>
  <c r="EO28" i="5"/>
  <c r="EP28" i="5"/>
  <c r="EQ28" i="5"/>
  <c r="ER28" i="5"/>
  <c r="ES28" i="5"/>
  <c r="ET28" i="5"/>
  <c r="EU28" i="5"/>
  <c r="EV28" i="5"/>
  <c r="EW28" i="5"/>
  <c r="EX28" i="5"/>
  <c r="EY28" i="5"/>
  <c r="EZ28" i="5"/>
  <c r="FA28" i="5"/>
  <c r="FB28" i="5"/>
  <c r="FC28" i="5"/>
  <c r="FD28" i="5"/>
  <c r="FE28" i="5"/>
  <c r="FF28" i="5"/>
  <c r="FG28" i="5"/>
  <c r="FH28" i="5"/>
  <c r="FI28" i="5"/>
  <c r="FJ28" i="5"/>
  <c r="FK28" i="5"/>
  <c r="FL28" i="5"/>
  <c r="FM28" i="5"/>
  <c r="FN28" i="5"/>
  <c r="FO28" i="5"/>
  <c r="FP28" i="5"/>
  <c r="FQ28" i="5"/>
  <c r="FR28" i="5"/>
  <c r="FS28" i="5"/>
  <c r="FT28" i="5"/>
  <c r="FU28" i="5"/>
  <c r="FV28" i="5"/>
  <c r="FW28" i="5"/>
  <c r="FX28" i="5"/>
  <c r="FY28" i="5"/>
  <c r="FZ28" i="5"/>
  <c r="GA28" i="5"/>
  <c r="GB28" i="5"/>
  <c r="GC28" i="5"/>
  <c r="GD28" i="5"/>
  <c r="GE28" i="5"/>
  <c r="GF28" i="5"/>
  <c r="GG28" i="5"/>
  <c r="GH28" i="5"/>
  <c r="GI28" i="5"/>
  <c r="GJ28" i="5"/>
  <c r="GK28" i="5"/>
  <c r="GL28" i="5"/>
  <c r="GM28" i="5"/>
  <c r="GN28" i="5"/>
  <c r="GO28" i="5"/>
  <c r="GP28" i="5"/>
  <c r="GQ28" i="5"/>
  <c r="GR28" i="5"/>
  <c r="GS28" i="5"/>
  <c r="GT28" i="5"/>
  <c r="GU28" i="5"/>
  <c r="GV28" i="5"/>
  <c r="GW28" i="5"/>
  <c r="GX28" i="5"/>
  <c r="GY28" i="5"/>
  <c r="GZ28" i="5"/>
  <c r="HA28" i="5"/>
  <c r="HB28" i="5"/>
  <c r="HC28" i="5"/>
  <c r="HD28" i="5"/>
  <c r="HE28" i="5"/>
  <c r="HF28" i="5"/>
  <c r="HG28" i="5"/>
  <c r="HH28" i="5"/>
  <c r="HI28" i="5"/>
  <c r="HJ28" i="5"/>
  <c r="HK28" i="5"/>
  <c r="HL28" i="5"/>
  <c r="HM28" i="5"/>
  <c r="HN28" i="5"/>
  <c r="HO28" i="5"/>
  <c r="HP28" i="5"/>
  <c r="HQ28" i="5"/>
  <c r="HR28" i="5"/>
  <c r="HS28" i="5"/>
  <c r="HT28" i="5"/>
  <c r="HU28" i="5"/>
  <c r="HV28" i="5"/>
  <c r="HW28" i="5"/>
  <c r="HX28" i="5"/>
  <c r="HY28" i="5"/>
  <c r="HZ28" i="5"/>
  <c r="IA28" i="5"/>
  <c r="IB28" i="5"/>
  <c r="IC28" i="5"/>
  <c r="ID28" i="5"/>
  <c r="IE28" i="5"/>
  <c r="IF28" i="5"/>
  <c r="IG28" i="5"/>
  <c r="IH28" i="5"/>
  <c r="II28" i="5"/>
  <c r="IJ28" i="5"/>
  <c r="IK28" i="5"/>
  <c r="IL28" i="5"/>
  <c r="IM28" i="5"/>
  <c r="IN28" i="5"/>
  <c r="IO28" i="5"/>
  <c r="IP28" i="5"/>
  <c r="IQ28" i="5"/>
  <c r="IR28" i="5"/>
  <c r="IS28" i="5"/>
  <c r="IT28" i="5"/>
  <c r="IU28" i="5"/>
  <c r="IV28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IU27" i="5"/>
  <c r="IV27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IU26" i="5"/>
  <c r="IV26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N25" i="5"/>
  <c r="DO25" i="5"/>
  <c r="DP25" i="5"/>
  <c r="DQ25" i="5"/>
  <c r="DR25" i="5"/>
  <c r="DS25" i="5"/>
  <c r="DT25" i="5"/>
  <c r="DU25" i="5"/>
  <c r="DV25" i="5"/>
  <c r="DW25" i="5"/>
  <c r="DX25" i="5"/>
  <c r="DY25" i="5"/>
  <c r="DZ25" i="5"/>
  <c r="EA25" i="5"/>
  <c r="EB25" i="5"/>
  <c r="EC25" i="5"/>
  <c r="ED25" i="5"/>
  <c r="EE25" i="5"/>
  <c r="EF25" i="5"/>
  <c r="EG25" i="5"/>
  <c r="EH25" i="5"/>
  <c r="EI25" i="5"/>
  <c r="EJ25" i="5"/>
  <c r="EK25" i="5"/>
  <c r="EL25" i="5"/>
  <c r="EM25" i="5"/>
  <c r="EN25" i="5"/>
  <c r="EO25" i="5"/>
  <c r="EP25" i="5"/>
  <c r="EQ25" i="5"/>
  <c r="ER25" i="5"/>
  <c r="ES25" i="5"/>
  <c r="ET25" i="5"/>
  <c r="EU25" i="5"/>
  <c r="EV25" i="5"/>
  <c r="EW25" i="5"/>
  <c r="EX25" i="5"/>
  <c r="EY25" i="5"/>
  <c r="EZ25" i="5"/>
  <c r="FA25" i="5"/>
  <c r="FB25" i="5"/>
  <c r="FC25" i="5"/>
  <c r="FD25" i="5"/>
  <c r="FE25" i="5"/>
  <c r="FF25" i="5"/>
  <c r="FG25" i="5"/>
  <c r="FH25" i="5"/>
  <c r="FI25" i="5"/>
  <c r="FJ25" i="5"/>
  <c r="FK25" i="5"/>
  <c r="FL25" i="5"/>
  <c r="FM25" i="5"/>
  <c r="FN25" i="5"/>
  <c r="FO25" i="5"/>
  <c r="FP25" i="5"/>
  <c r="FQ25" i="5"/>
  <c r="FR25" i="5"/>
  <c r="FS25" i="5"/>
  <c r="FT25" i="5"/>
  <c r="FU25" i="5"/>
  <c r="FV25" i="5"/>
  <c r="FW25" i="5"/>
  <c r="FX25" i="5"/>
  <c r="FY25" i="5"/>
  <c r="FZ25" i="5"/>
  <c r="GA25" i="5"/>
  <c r="GB25" i="5"/>
  <c r="GC25" i="5"/>
  <c r="GD25" i="5"/>
  <c r="GE25" i="5"/>
  <c r="GF25" i="5"/>
  <c r="GG25" i="5"/>
  <c r="GH25" i="5"/>
  <c r="GI25" i="5"/>
  <c r="GJ25" i="5"/>
  <c r="GK25" i="5"/>
  <c r="GL25" i="5"/>
  <c r="GM25" i="5"/>
  <c r="GN25" i="5"/>
  <c r="GO25" i="5"/>
  <c r="GP25" i="5"/>
  <c r="GQ25" i="5"/>
  <c r="GR25" i="5"/>
  <c r="GS25" i="5"/>
  <c r="GT25" i="5"/>
  <c r="GU25" i="5"/>
  <c r="GV25" i="5"/>
  <c r="GW25" i="5"/>
  <c r="GX25" i="5"/>
  <c r="GY25" i="5"/>
  <c r="GZ25" i="5"/>
  <c r="HA25" i="5"/>
  <c r="HB25" i="5"/>
  <c r="HC25" i="5"/>
  <c r="HD25" i="5"/>
  <c r="HE25" i="5"/>
  <c r="HF25" i="5"/>
  <c r="HG25" i="5"/>
  <c r="HH25" i="5"/>
  <c r="HI25" i="5"/>
  <c r="HJ25" i="5"/>
  <c r="HK25" i="5"/>
  <c r="HL25" i="5"/>
  <c r="HM25" i="5"/>
  <c r="HN25" i="5"/>
  <c r="HO25" i="5"/>
  <c r="HP25" i="5"/>
  <c r="HQ25" i="5"/>
  <c r="HR25" i="5"/>
  <c r="HS25" i="5"/>
  <c r="HT25" i="5"/>
  <c r="HU25" i="5"/>
  <c r="HV25" i="5"/>
  <c r="HW25" i="5"/>
  <c r="HX25" i="5"/>
  <c r="HY25" i="5"/>
  <c r="HZ25" i="5"/>
  <c r="IA25" i="5"/>
  <c r="IB25" i="5"/>
  <c r="IC25" i="5"/>
  <c r="ID25" i="5"/>
  <c r="IE25" i="5"/>
  <c r="IF25" i="5"/>
  <c r="IG25" i="5"/>
  <c r="IH25" i="5"/>
  <c r="II25" i="5"/>
  <c r="IJ25" i="5"/>
  <c r="IK25" i="5"/>
  <c r="IL25" i="5"/>
  <c r="IM25" i="5"/>
  <c r="IN25" i="5"/>
  <c r="IO25" i="5"/>
  <c r="IP25" i="5"/>
  <c r="IQ25" i="5"/>
  <c r="IR25" i="5"/>
  <c r="IS25" i="5"/>
  <c r="IT25" i="5"/>
  <c r="IU25" i="5"/>
  <c r="IV25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CX24" i="5"/>
  <c r="CY24" i="5"/>
  <c r="CZ24" i="5"/>
  <c r="DA24" i="5"/>
  <c r="DB24" i="5"/>
  <c r="DC24" i="5"/>
  <c r="DD24" i="5"/>
  <c r="DE24" i="5"/>
  <c r="DF24" i="5"/>
  <c r="DG24" i="5"/>
  <c r="DH24" i="5"/>
  <c r="DI24" i="5"/>
  <c r="DJ24" i="5"/>
  <c r="DK24" i="5"/>
  <c r="DL24" i="5"/>
  <c r="DM24" i="5"/>
  <c r="DN24" i="5"/>
  <c r="DO24" i="5"/>
  <c r="DP24" i="5"/>
  <c r="DQ24" i="5"/>
  <c r="DR24" i="5"/>
  <c r="DS24" i="5"/>
  <c r="DT24" i="5"/>
  <c r="DU24" i="5"/>
  <c r="DV24" i="5"/>
  <c r="DW24" i="5"/>
  <c r="DX24" i="5"/>
  <c r="DY24" i="5"/>
  <c r="DZ24" i="5"/>
  <c r="EA24" i="5"/>
  <c r="EB24" i="5"/>
  <c r="EC24" i="5"/>
  <c r="ED24" i="5"/>
  <c r="EE24" i="5"/>
  <c r="EF24" i="5"/>
  <c r="EG24" i="5"/>
  <c r="EH24" i="5"/>
  <c r="EI24" i="5"/>
  <c r="EJ24" i="5"/>
  <c r="EK24" i="5"/>
  <c r="EL24" i="5"/>
  <c r="EM24" i="5"/>
  <c r="EN24" i="5"/>
  <c r="EO24" i="5"/>
  <c r="EP24" i="5"/>
  <c r="EQ24" i="5"/>
  <c r="ER24" i="5"/>
  <c r="ES24" i="5"/>
  <c r="ET24" i="5"/>
  <c r="EU24" i="5"/>
  <c r="EV24" i="5"/>
  <c r="EW24" i="5"/>
  <c r="EX24" i="5"/>
  <c r="EY24" i="5"/>
  <c r="EZ24" i="5"/>
  <c r="FA24" i="5"/>
  <c r="FB24" i="5"/>
  <c r="FC24" i="5"/>
  <c r="FD24" i="5"/>
  <c r="FE24" i="5"/>
  <c r="FF24" i="5"/>
  <c r="FG24" i="5"/>
  <c r="FH24" i="5"/>
  <c r="FI24" i="5"/>
  <c r="FJ24" i="5"/>
  <c r="FK24" i="5"/>
  <c r="FL24" i="5"/>
  <c r="FM24" i="5"/>
  <c r="FN24" i="5"/>
  <c r="FO24" i="5"/>
  <c r="FP24" i="5"/>
  <c r="FQ24" i="5"/>
  <c r="FR24" i="5"/>
  <c r="FS24" i="5"/>
  <c r="FT24" i="5"/>
  <c r="FU24" i="5"/>
  <c r="FV24" i="5"/>
  <c r="FW24" i="5"/>
  <c r="FX24" i="5"/>
  <c r="FY24" i="5"/>
  <c r="FZ24" i="5"/>
  <c r="GA24" i="5"/>
  <c r="GB24" i="5"/>
  <c r="GC24" i="5"/>
  <c r="GD24" i="5"/>
  <c r="GE24" i="5"/>
  <c r="GF24" i="5"/>
  <c r="GG24" i="5"/>
  <c r="GH24" i="5"/>
  <c r="GI24" i="5"/>
  <c r="GJ24" i="5"/>
  <c r="GK24" i="5"/>
  <c r="GL24" i="5"/>
  <c r="GM24" i="5"/>
  <c r="GN24" i="5"/>
  <c r="GO24" i="5"/>
  <c r="GP24" i="5"/>
  <c r="GQ24" i="5"/>
  <c r="GR24" i="5"/>
  <c r="GS24" i="5"/>
  <c r="GT24" i="5"/>
  <c r="GU24" i="5"/>
  <c r="GV24" i="5"/>
  <c r="GW24" i="5"/>
  <c r="GX24" i="5"/>
  <c r="GY24" i="5"/>
  <c r="GZ24" i="5"/>
  <c r="HA24" i="5"/>
  <c r="HB24" i="5"/>
  <c r="HC24" i="5"/>
  <c r="HD24" i="5"/>
  <c r="HE24" i="5"/>
  <c r="HF24" i="5"/>
  <c r="HG24" i="5"/>
  <c r="HH24" i="5"/>
  <c r="HI24" i="5"/>
  <c r="HJ24" i="5"/>
  <c r="HK24" i="5"/>
  <c r="HL24" i="5"/>
  <c r="HM24" i="5"/>
  <c r="HN24" i="5"/>
  <c r="HO24" i="5"/>
  <c r="HP24" i="5"/>
  <c r="HQ24" i="5"/>
  <c r="HR24" i="5"/>
  <c r="HS24" i="5"/>
  <c r="HT24" i="5"/>
  <c r="HU24" i="5"/>
  <c r="HV24" i="5"/>
  <c r="HW24" i="5"/>
  <c r="HX24" i="5"/>
  <c r="HY24" i="5"/>
  <c r="HZ24" i="5"/>
  <c r="IA24" i="5"/>
  <c r="IB24" i="5"/>
  <c r="IC24" i="5"/>
  <c r="ID24" i="5"/>
  <c r="IE24" i="5"/>
  <c r="IF24" i="5"/>
  <c r="IG24" i="5"/>
  <c r="IH24" i="5"/>
  <c r="II24" i="5"/>
  <c r="IJ24" i="5"/>
  <c r="IK24" i="5"/>
  <c r="IL24" i="5"/>
  <c r="IM24" i="5"/>
  <c r="IN24" i="5"/>
  <c r="IO24" i="5"/>
  <c r="IP24" i="5"/>
  <c r="IQ24" i="5"/>
  <c r="IR24" i="5"/>
  <c r="IS24" i="5"/>
  <c r="IT24" i="5"/>
  <c r="IU24" i="5"/>
  <c r="IV24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DN23" i="5"/>
  <c r="DO23" i="5"/>
  <c r="DP23" i="5"/>
  <c r="DQ23" i="5"/>
  <c r="DR23" i="5"/>
  <c r="DS23" i="5"/>
  <c r="DT23" i="5"/>
  <c r="DU23" i="5"/>
  <c r="DV23" i="5"/>
  <c r="DW23" i="5"/>
  <c r="DX23" i="5"/>
  <c r="DY23" i="5"/>
  <c r="DZ23" i="5"/>
  <c r="EA23" i="5"/>
  <c r="EB23" i="5"/>
  <c r="EC23" i="5"/>
  <c r="ED23" i="5"/>
  <c r="EE23" i="5"/>
  <c r="EF23" i="5"/>
  <c r="EG23" i="5"/>
  <c r="EH23" i="5"/>
  <c r="EI23" i="5"/>
  <c r="EJ23" i="5"/>
  <c r="EK23" i="5"/>
  <c r="EL23" i="5"/>
  <c r="EM23" i="5"/>
  <c r="EN23" i="5"/>
  <c r="EO23" i="5"/>
  <c r="EP23" i="5"/>
  <c r="EQ23" i="5"/>
  <c r="ER23" i="5"/>
  <c r="ES23" i="5"/>
  <c r="ET23" i="5"/>
  <c r="EU23" i="5"/>
  <c r="EV23" i="5"/>
  <c r="EW23" i="5"/>
  <c r="EX23" i="5"/>
  <c r="EY23" i="5"/>
  <c r="EZ23" i="5"/>
  <c r="FA23" i="5"/>
  <c r="FB23" i="5"/>
  <c r="FC23" i="5"/>
  <c r="FD23" i="5"/>
  <c r="FE23" i="5"/>
  <c r="FF23" i="5"/>
  <c r="FG23" i="5"/>
  <c r="FH23" i="5"/>
  <c r="FI23" i="5"/>
  <c r="FJ23" i="5"/>
  <c r="FK23" i="5"/>
  <c r="FL23" i="5"/>
  <c r="FM23" i="5"/>
  <c r="FN23" i="5"/>
  <c r="FO23" i="5"/>
  <c r="FP23" i="5"/>
  <c r="FQ23" i="5"/>
  <c r="FR23" i="5"/>
  <c r="FS23" i="5"/>
  <c r="FT23" i="5"/>
  <c r="FU23" i="5"/>
  <c r="FV23" i="5"/>
  <c r="FW23" i="5"/>
  <c r="FX23" i="5"/>
  <c r="FY23" i="5"/>
  <c r="FZ23" i="5"/>
  <c r="GA23" i="5"/>
  <c r="GB23" i="5"/>
  <c r="GC23" i="5"/>
  <c r="GD23" i="5"/>
  <c r="GE23" i="5"/>
  <c r="GF23" i="5"/>
  <c r="GG23" i="5"/>
  <c r="GH23" i="5"/>
  <c r="GI23" i="5"/>
  <c r="GJ23" i="5"/>
  <c r="GK23" i="5"/>
  <c r="GL23" i="5"/>
  <c r="GM23" i="5"/>
  <c r="GN23" i="5"/>
  <c r="GO23" i="5"/>
  <c r="GP23" i="5"/>
  <c r="GQ23" i="5"/>
  <c r="GR23" i="5"/>
  <c r="GS23" i="5"/>
  <c r="GT23" i="5"/>
  <c r="GU23" i="5"/>
  <c r="GV23" i="5"/>
  <c r="GW23" i="5"/>
  <c r="GX23" i="5"/>
  <c r="GY23" i="5"/>
  <c r="GZ23" i="5"/>
  <c r="HA23" i="5"/>
  <c r="HB23" i="5"/>
  <c r="HC23" i="5"/>
  <c r="HD23" i="5"/>
  <c r="HE23" i="5"/>
  <c r="HF23" i="5"/>
  <c r="HG23" i="5"/>
  <c r="HH23" i="5"/>
  <c r="HI23" i="5"/>
  <c r="HJ23" i="5"/>
  <c r="HK23" i="5"/>
  <c r="HL23" i="5"/>
  <c r="HM23" i="5"/>
  <c r="HN23" i="5"/>
  <c r="HO23" i="5"/>
  <c r="HP23" i="5"/>
  <c r="HQ23" i="5"/>
  <c r="HR23" i="5"/>
  <c r="HS23" i="5"/>
  <c r="HT23" i="5"/>
  <c r="HU23" i="5"/>
  <c r="HV23" i="5"/>
  <c r="HW23" i="5"/>
  <c r="HX23" i="5"/>
  <c r="HY23" i="5"/>
  <c r="HZ23" i="5"/>
  <c r="IA23" i="5"/>
  <c r="IB23" i="5"/>
  <c r="IC23" i="5"/>
  <c r="ID23" i="5"/>
  <c r="IE23" i="5"/>
  <c r="IF23" i="5"/>
  <c r="IG23" i="5"/>
  <c r="IH23" i="5"/>
  <c r="II23" i="5"/>
  <c r="IJ23" i="5"/>
  <c r="IK23" i="5"/>
  <c r="IL23" i="5"/>
  <c r="IM23" i="5"/>
  <c r="IN23" i="5"/>
  <c r="IO23" i="5"/>
  <c r="IP23" i="5"/>
  <c r="IQ23" i="5"/>
  <c r="IR23" i="5"/>
  <c r="IS23" i="5"/>
  <c r="IT23" i="5"/>
  <c r="IU23" i="5"/>
  <c r="IV23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B22" i="5"/>
  <c r="DC22" i="5"/>
  <c r="DD22" i="5"/>
  <c r="DE22" i="5"/>
  <c r="DF22" i="5"/>
  <c r="DG22" i="5"/>
  <c r="DH22" i="5"/>
  <c r="DI22" i="5"/>
  <c r="DJ22" i="5"/>
  <c r="DK22" i="5"/>
  <c r="DL22" i="5"/>
  <c r="DM22" i="5"/>
  <c r="DN22" i="5"/>
  <c r="DO22" i="5"/>
  <c r="DP22" i="5"/>
  <c r="DQ22" i="5"/>
  <c r="DR22" i="5"/>
  <c r="DS22" i="5"/>
  <c r="DT22" i="5"/>
  <c r="DU22" i="5"/>
  <c r="DV22" i="5"/>
  <c r="DW22" i="5"/>
  <c r="DX22" i="5"/>
  <c r="DY22" i="5"/>
  <c r="DZ22" i="5"/>
  <c r="EA22" i="5"/>
  <c r="EB22" i="5"/>
  <c r="EC22" i="5"/>
  <c r="ED22" i="5"/>
  <c r="EE22" i="5"/>
  <c r="EF22" i="5"/>
  <c r="EG22" i="5"/>
  <c r="EH22" i="5"/>
  <c r="EI22" i="5"/>
  <c r="EJ22" i="5"/>
  <c r="EK22" i="5"/>
  <c r="EL22" i="5"/>
  <c r="EM22" i="5"/>
  <c r="EN22" i="5"/>
  <c r="EO22" i="5"/>
  <c r="EP22" i="5"/>
  <c r="EQ22" i="5"/>
  <c r="ER22" i="5"/>
  <c r="ES22" i="5"/>
  <c r="ET22" i="5"/>
  <c r="EU22" i="5"/>
  <c r="EV22" i="5"/>
  <c r="EW22" i="5"/>
  <c r="EX22" i="5"/>
  <c r="EY22" i="5"/>
  <c r="EZ22" i="5"/>
  <c r="FA22" i="5"/>
  <c r="FB22" i="5"/>
  <c r="FC22" i="5"/>
  <c r="FD22" i="5"/>
  <c r="FE22" i="5"/>
  <c r="FF22" i="5"/>
  <c r="FG22" i="5"/>
  <c r="FH22" i="5"/>
  <c r="FI22" i="5"/>
  <c r="FJ22" i="5"/>
  <c r="FK22" i="5"/>
  <c r="FL22" i="5"/>
  <c r="FM22" i="5"/>
  <c r="FN22" i="5"/>
  <c r="FO22" i="5"/>
  <c r="FP22" i="5"/>
  <c r="FQ22" i="5"/>
  <c r="FR22" i="5"/>
  <c r="FS22" i="5"/>
  <c r="FT22" i="5"/>
  <c r="FU22" i="5"/>
  <c r="FV22" i="5"/>
  <c r="FW22" i="5"/>
  <c r="FX22" i="5"/>
  <c r="FY22" i="5"/>
  <c r="FZ22" i="5"/>
  <c r="GA22" i="5"/>
  <c r="GB22" i="5"/>
  <c r="GC22" i="5"/>
  <c r="GD22" i="5"/>
  <c r="GE22" i="5"/>
  <c r="GF22" i="5"/>
  <c r="GG22" i="5"/>
  <c r="GH22" i="5"/>
  <c r="GI22" i="5"/>
  <c r="GJ22" i="5"/>
  <c r="GK22" i="5"/>
  <c r="GL22" i="5"/>
  <c r="GM22" i="5"/>
  <c r="GN22" i="5"/>
  <c r="GO22" i="5"/>
  <c r="GP22" i="5"/>
  <c r="GQ22" i="5"/>
  <c r="GR22" i="5"/>
  <c r="GS22" i="5"/>
  <c r="GT22" i="5"/>
  <c r="GU22" i="5"/>
  <c r="GV22" i="5"/>
  <c r="GW22" i="5"/>
  <c r="GX22" i="5"/>
  <c r="GY22" i="5"/>
  <c r="GZ22" i="5"/>
  <c r="HA22" i="5"/>
  <c r="HB22" i="5"/>
  <c r="HC22" i="5"/>
  <c r="HD22" i="5"/>
  <c r="HE22" i="5"/>
  <c r="HF22" i="5"/>
  <c r="HG22" i="5"/>
  <c r="HH22" i="5"/>
  <c r="HI22" i="5"/>
  <c r="HJ22" i="5"/>
  <c r="HK22" i="5"/>
  <c r="HL22" i="5"/>
  <c r="HM22" i="5"/>
  <c r="HN22" i="5"/>
  <c r="HO22" i="5"/>
  <c r="HP22" i="5"/>
  <c r="HQ22" i="5"/>
  <c r="HR22" i="5"/>
  <c r="HS22" i="5"/>
  <c r="HT22" i="5"/>
  <c r="HU22" i="5"/>
  <c r="HV22" i="5"/>
  <c r="HW22" i="5"/>
  <c r="HX22" i="5"/>
  <c r="HY22" i="5"/>
  <c r="HZ22" i="5"/>
  <c r="IA22" i="5"/>
  <c r="IB22" i="5"/>
  <c r="IC22" i="5"/>
  <c r="ID22" i="5"/>
  <c r="IE22" i="5"/>
  <c r="IF22" i="5"/>
  <c r="IG22" i="5"/>
  <c r="IH22" i="5"/>
  <c r="II22" i="5"/>
  <c r="IJ22" i="5"/>
  <c r="IK22" i="5"/>
  <c r="IL22" i="5"/>
  <c r="IM22" i="5"/>
  <c r="IN22" i="5"/>
  <c r="IO22" i="5"/>
  <c r="IP22" i="5"/>
  <c r="IQ22" i="5"/>
  <c r="IR22" i="5"/>
  <c r="IS22" i="5"/>
  <c r="IT22" i="5"/>
  <c r="IU22" i="5"/>
  <c r="IV22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CX21" i="5"/>
  <c r="CY21" i="5"/>
  <c r="CZ21" i="5"/>
  <c r="DA21" i="5"/>
  <c r="DB21" i="5"/>
  <c r="DC21" i="5"/>
  <c r="DD21" i="5"/>
  <c r="DE21" i="5"/>
  <c r="DF21" i="5"/>
  <c r="DG21" i="5"/>
  <c r="DH21" i="5"/>
  <c r="DI21" i="5"/>
  <c r="DJ21" i="5"/>
  <c r="DK21" i="5"/>
  <c r="DL21" i="5"/>
  <c r="DM21" i="5"/>
  <c r="DN21" i="5"/>
  <c r="DO21" i="5"/>
  <c r="DP21" i="5"/>
  <c r="DQ21" i="5"/>
  <c r="DR21" i="5"/>
  <c r="DS21" i="5"/>
  <c r="DT21" i="5"/>
  <c r="DU21" i="5"/>
  <c r="DV21" i="5"/>
  <c r="DW21" i="5"/>
  <c r="DX21" i="5"/>
  <c r="DY21" i="5"/>
  <c r="DZ21" i="5"/>
  <c r="EA21" i="5"/>
  <c r="EB21" i="5"/>
  <c r="EC21" i="5"/>
  <c r="ED21" i="5"/>
  <c r="EE21" i="5"/>
  <c r="EF21" i="5"/>
  <c r="EG21" i="5"/>
  <c r="EH21" i="5"/>
  <c r="EI21" i="5"/>
  <c r="EJ21" i="5"/>
  <c r="EK21" i="5"/>
  <c r="EL21" i="5"/>
  <c r="EM21" i="5"/>
  <c r="EN21" i="5"/>
  <c r="EO21" i="5"/>
  <c r="EP21" i="5"/>
  <c r="EQ21" i="5"/>
  <c r="ER21" i="5"/>
  <c r="ES21" i="5"/>
  <c r="ET21" i="5"/>
  <c r="EU21" i="5"/>
  <c r="EV21" i="5"/>
  <c r="EW21" i="5"/>
  <c r="EX21" i="5"/>
  <c r="EY21" i="5"/>
  <c r="EZ21" i="5"/>
  <c r="FA21" i="5"/>
  <c r="FB21" i="5"/>
  <c r="FC21" i="5"/>
  <c r="FD21" i="5"/>
  <c r="FE21" i="5"/>
  <c r="FF21" i="5"/>
  <c r="FG21" i="5"/>
  <c r="FH21" i="5"/>
  <c r="FI21" i="5"/>
  <c r="FJ21" i="5"/>
  <c r="FK21" i="5"/>
  <c r="FL21" i="5"/>
  <c r="FM21" i="5"/>
  <c r="FN21" i="5"/>
  <c r="FO21" i="5"/>
  <c r="FP21" i="5"/>
  <c r="FQ21" i="5"/>
  <c r="FR21" i="5"/>
  <c r="FS21" i="5"/>
  <c r="FT21" i="5"/>
  <c r="FU21" i="5"/>
  <c r="FV21" i="5"/>
  <c r="FW21" i="5"/>
  <c r="FX21" i="5"/>
  <c r="FY21" i="5"/>
  <c r="FZ21" i="5"/>
  <c r="GA21" i="5"/>
  <c r="GB21" i="5"/>
  <c r="GC21" i="5"/>
  <c r="GD21" i="5"/>
  <c r="GE21" i="5"/>
  <c r="GF21" i="5"/>
  <c r="GG21" i="5"/>
  <c r="GH21" i="5"/>
  <c r="GI21" i="5"/>
  <c r="GJ21" i="5"/>
  <c r="GK21" i="5"/>
  <c r="GL21" i="5"/>
  <c r="GM21" i="5"/>
  <c r="GN21" i="5"/>
  <c r="GO21" i="5"/>
  <c r="GP21" i="5"/>
  <c r="GQ21" i="5"/>
  <c r="GR21" i="5"/>
  <c r="GS21" i="5"/>
  <c r="GT21" i="5"/>
  <c r="GU21" i="5"/>
  <c r="GV21" i="5"/>
  <c r="GW21" i="5"/>
  <c r="GX21" i="5"/>
  <c r="GY21" i="5"/>
  <c r="GZ21" i="5"/>
  <c r="HA21" i="5"/>
  <c r="HB21" i="5"/>
  <c r="HC21" i="5"/>
  <c r="HD21" i="5"/>
  <c r="HE21" i="5"/>
  <c r="HF21" i="5"/>
  <c r="HG21" i="5"/>
  <c r="HH21" i="5"/>
  <c r="HI21" i="5"/>
  <c r="HJ21" i="5"/>
  <c r="HK21" i="5"/>
  <c r="HL21" i="5"/>
  <c r="HM21" i="5"/>
  <c r="HN21" i="5"/>
  <c r="HO21" i="5"/>
  <c r="HP21" i="5"/>
  <c r="HQ21" i="5"/>
  <c r="HR21" i="5"/>
  <c r="HS21" i="5"/>
  <c r="HT21" i="5"/>
  <c r="HU21" i="5"/>
  <c r="HV21" i="5"/>
  <c r="HW21" i="5"/>
  <c r="HX21" i="5"/>
  <c r="HY21" i="5"/>
  <c r="HZ21" i="5"/>
  <c r="IA21" i="5"/>
  <c r="IB21" i="5"/>
  <c r="IC21" i="5"/>
  <c r="ID21" i="5"/>
  <c r="IE21" i="5"/>
  <c r="IF21" i="5"/>
  <c r="IG21" i="5"/>
  <c r="IH21" i="5"/>
  <c r="II21" i="5"/>
  <c r="IJ21" i="5"/>
  <c r="IK21" i="5"/>
  <c r="IL21" i="5"/>
  <c r="IM21" i="5"/>
  <c r="IN21" i="5"/>
  <c r="IO21" i="5"/>
  <c r="IP21" i="5"/>
  <c r="IQ21" i="5"/>
  <c r="IR21" i="5"/>
  <c r="IS21" i="5"/>
  <c r="IT21" i="5"/>
  <c r="IU21" i="5"/>
  <c r="IV21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Y20" i="5"/>
  <c r="DZ20" i="5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U20" i="5"/>
  <c r="FV20" i="5"/>
  <c r="FW20" i="5"/>
  <c r="FX20" i="5"/>
  <c r="FY20" i="5"/>
  <c r="FZ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N20" i="5"/>
  <c r="GO20" i="5"/>
  <c r="GP20" i="5"/>
  <c r="GQ20" i="5"/>
  <c r="GR20" i="5"/>
  <c r="GS20" i="5"/>
  <c r="GT20" i="5"/>
  <c r="GU20" i="5"/>
  <c r="GV20" i="5"/>
  <c r="GW20" i="5"/>
  <c r="GX20" i="5"/>
  <c r="GY20" i="5"/>
  <c r="GZ20" i="5"/>
  <c r="HA20" i="5"/>
  <c r="HB20" i="5"/>
  <c r="HC20" i="5"/>
  <c r="HD20" i="5"/>
  <c r="HE20" i="5"/>
  <c r="HF20" i="5"/>
  <c r="HG20" i="5"/>
  <c r="HH20" i="5"/>
  <c r="HI20" i="5"/>
  <c r="HJ20" i="5"/>
  <c r="HK20" i="5"/>
  <c r="HL20" i="5"/>
  <c r="HM20" i="5"/>
  <c r="HN20" i="5"/>
  <c r="HO20" i="5"/>
  <c r="HP20" i="5"/>
  <c r="HQ20" i="5"/>
  <c r="HR20" i="5"/>
  <c r="HS20" i="5"/>
  <c r="HT20" i="5"/>
  <c r="HU20" i="5"/>
  <c r="HV20" i="5"/>
  <c r="HW20" i="5"/>
  <c r="HX20" i="5"/>
  <c r="HY20" i="5"/>
  <c r="HZ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IS20" i="5"/>
  <c r="IT20" i="5"/>
  <c r="IU20" i="5"/>
  <c r="IV20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N19" i="5"/>
  <c r="DO19" i="5"/>
  <c r="DP19" i="5"/>
  <c r="DQ19" i="5"/>
  <c r="DR19" i="5"/>
  <c r="DS19" i="5"/>
  <c r="DT19" i="5"/>
  <c r="DU19" i="5"/>
  <c r="DV19" i="5"/>
  <c r="DW19" i="5"/>
  <c r="DX19" i="5"/>
  <c r="DY19" i="5"/>
  <c r="DZ19" i="5"/>
  <c r="EA19" i="5"/>
  <c r="EB19" i="5"/>
  <c r="EC19" i="5"/>
  <c r="ED19" i="5"/>
  <c r="EE19" i="5"/>
  <c r="EF19" i="5"/>
  <c r="EG19" i="5"/>
  <c r="EH19" i="5"/>
  <c r="EI19" i="5"/>
  <c r="EJ19" i="5"/>
  <c r="EK19" i="5"/>
  <c r="EL19" i="5"/>
  <c r="EM19" i="5"/>
  <c r="EN19" i="5"/>
  <c r="EO19" i="5"/>
  <c r="EP19" i="5"/>
  <c r="EQ19" i="5"/>
  <c r="ER19" i="5"/>
  <c r="ES19" i="5"/>
  <c r="ET19" i="5"/>
  <c r="EU19" i="5"/>
  <c r="EV19" i="5"/>
  <c r="EW19" i="5"/>
  <c r="EX19" i="5"/>
  <c r="EY19" i="5"/>
  <c r="EZ19" i="5"/>
  <c r="FA19" i="5"/>
  <c r="FB19" i="5"/>
  <c r="FC19" i="5"/>
  <c r="FD19" i="5"/>
  <c r="FE19" i="5"/>
  <c r="FF19" i="5"/>
  <c r="FG19" i="5"/>
  <c r="FH19" i="5"/>
  <c r="FI19" i="5"/>
  <c r="FJ19" i="5"/>
  <c r="FK19" i="5"/>
  <c r="FL19" i="5"/>
  <c r="FM19" i="5"/>
  <c r="FN19" i="5"/>
  <c r="FO19" i="5"/>
  <c r="FP19" i="5"/>
  <c r="FQ19" i="5"/>
  <c r="FR19" i="5"/>
  <c r="FS19" i="5"/>
  <c r="FT19" i="5"/>
  <c r="FU19" i="5"/>
  <c r="FV19" i="5"/>
  <c r="FW19" i="5"/>
  <c r="FX19" i="5"/>
  <c r="FY19" i="5"/>
  <c r="FZ19" i="5"/>
  <c r="GA19" i="5"/>
  <c r="GB19" i="5"/>
  <c r="GC19" i="5"/>
  <c r="GD19" i="5"/>
  <c r="GE19" i="5"/>
  <c r="GF19" i="5"/>
  <c r="GG19" i="5"/>
  <c r="GH19" i="5"/>
  <c r="GI19" i="5"/>
  <c r="GJ19" i="5"/>
  <c r="GK19" i="5"/>
  <c r="GL19" i="5"/>
  <c r="GM19" i="5"/>
  <c r="GN19" i="5"/>
  <c r="GO19" i="5"/>
  <c r="GP19" i="5"/>
  <c r="GQ19" i="5"/>
  <c r="GR19" i="5"/>
  <c r="GS19" i="5"/>
  <c r="GT19" i="5"/>
  <c r="GU19" i="5"/>
  <c r="GV19" i="5"/>
  <c r="GW19" i="5"/>
  <c r="GX19" i="5"/>
  <c r="GY19" i="5"/>
  <c r="GZ19" i="5"/>
  <c r="HA19" i="5"/>
  <c r="HB19" i="5"/>
  <c r="HC19" i="5"/>
  <c r="HD19" i="5"/>
  <c r="HE19" i="5"/>
  <c r="HF19" i="5"/>
  <c r="HG19" i="5"/>
  <c r="HH19" i="5"/>
  <c r="HI19" i="5"/>
  <c r="HJ19" i="5"/>
  <c r="HK19" i="5"/>
  <c r="HL19" i="5"/>
  <c r="HM19" i="5"/>
  <c r="HN19" i="5"/>
  <c r="HO19" i="5"/>
  <c r="HP19" i="5"/>
  <c r="HQ19" i="5"/>
  <c r="HR19" i="5"/>
  <c r="HS19" i="5"/>
  <c r="HT19" i="5"/>
  <c r="HU19" i="5"/>
  <c r="HV19" i="5"/>
  <c r="HW19" i="5"/>
  <c r="HX19" i="5"/>
  <c r="HY19" i="5"/>
  <c r="HZ19" i="5"/>
  <c r="IA19" i="5"/>
  <c r="IB19" i="5"/>
  <c r="IC19" i="5"/>
  <c r="ID19" i="5"/>
  <c r="IE19" i="5"/>
  <c r="IF19" i="5"/>
  <c r="IG19" i="5"/>
  <c r="IH19" i="5"/>
  <c r="II19" i="5"/>
  <c r="IJ19" i="5"/>
  <c r="IK19" i="5"/>
  <c r="IL19" i="5"/>
  <c r="IM19" i="5"/>
  <c r="IN19" i="5"/>
  <c r="IO19" i="5"/>
  <c r="IP19" i="5"/>
  <c r="IQ19" i="5"/>
  <c r="IR19" i="5"/>
  <c r="IS19" i="5"/>
  <c r="IT19" i="5"/>
  <c r="IU19" i="5"/>
  <c r="IV19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DN18" i="5"/>
  <c r="DO18" i="5"/>
  <c r="DP18" i="5"/>
  <c r="DQ18" i="5"/>
  <c r="DR18" i="5"/>
  <c r="DS18" i="5"/>
  <c r="DT18" i="5"/>
  <c r="DU18" i="5"/>
  <c r="DV18" i="5"/>
  <c r="DW18" i="5"/>
  <c r="DX18" i="5"/>
  <c r="DY18" i="5"/>
  <c r="DZ18" i="5"/>
  <c r="EA18" i="5"/>
  <c r="EB18" i="5"/>
  <c r="EC18" i="5"/>
  <c r="ED18" i="5"/>
  <c r="EE18" i="5"/>
  <c r="EF18" i="5"/>
  <c r="EG18" i="5"/>
  <c r="EH18" i="5"/>
  <c r="EI18" i="5"/>
  <c r="EJ18" i="5"/>
  <c r="EK18" i="5"/>
  <c r="EL18" i="5"/>
  <c r="EM18" i="5"/>
  <c r="EN18" i="5"/>
  <c r="EO18" i="5"/>
  <c r="EP18" i="5"/>
  <c r="EQ18" i="5"/>
  <c r="ER18" i="5"/>
  <c r="ES18" i="5"/>
  <c r="ET18" i="5"/>
  <c r="EU18" i="5"/>
  <c r="EV18" i="5"/>
  <c r="EW18" i="5"/>
  <c r="EX18" i="5"/>
  <c r="EY18" i="5"/>
  <c r="EZ18" i="5"/>
  <c r="FA18" i="5"/>
  <c r="FB18" i="5"/>
  <c r="FC18" i="5"/>
  <c r="FD18" i="5"/>
  <c r="FE18" i="5"/>
  <c r="FF18" i="5"/>
  <c r="FG18" i="5"/>
  <c r="FH18" i="5"/>
  <c r="FI18" i="5"/>
  <c r="FJ18" i="5"/>
  <c r="FK18" i="5"/>
  <c r="FL18" i="5"/>
  <c r="FM18" i="5"/>
  <c r="FN18" i="5"/>
  <c r="FO18" i="5"/>
  <c r="FP18" i="5"/>
  <c r="FQ18" i="5"/>
  <c r="FR18" i="5"/>
  <c r="FS18" i="5"/>
  <c r="FT18" i="5"/>
  <c r="FU18" i="5"/>
  <c r="FV18" i="5"/>
  <c r="FW18" i="5"/>
  <c r="FX18" i="5"/>
  <c r="FY18" i="5"/>
  <c r="FZ18" i="5"/>
  <c r="GA18" i="5"/>
  <c r="GB18" i="5"/>
  <c r="GC18" i="5"/>
  <c r="GD18" i="5"/>
  <c r="GE18" i="5"/>
  <c r="GF18" i="5"/>
  <c r="GG18" i="5"/>
  <c r="GH18" i="5"/>
  <c r="GI18" i="5"/>
  <c r="GJ18" i="5"/>
  <c r="GK18" i="5"/>
  <c r="GL18" i="5"/>
  <c r="GM18" i="5"/>
  <c r="GN18" i="5"/>
  <c r="GO18" i="5"/>
  <c r="GP18" i="5"/>
  <c r="GQ18" i="5"/>
  <c r="GR18" i="5"/>
  <c r="GS18" i="5"/>
  <c r="GT18" i="5"/>
  <c r="GU18" i="5"/>
  <c r="GV18" i="5"/>
  <c r="GW18" i="5"/>
  <c r="GX18" i="5"/>
  <c r="GY18" i="5"/>
  <c r="GZ18" i="5"/>
  <c r="HA18" i="5"/>
  <c r="HB18" i="5"/>
  <c r="HC18" i="5"/>
  <c r="HD18" i="5"/>
  <c r="HE18" i="5"/>
  <c r="HF18" i="5"/>
  <c r="HG18" i="5"/>
  <c r="HH18" i="5"/>
  <c r="HI18" i="5"/>
  <c r="HJ18" i="5"/>
  <c r="HK18" i="5"/>
  <c r="HL18" i="5"/>
  <c r="HM18" i="5"/>
  <c r="HN18" i="5"/>
  <c r="HO18" i="5"/>
  <c r="HP18" i="5"/>
  <c r="HQ18" i="5"/>
  <c r="HR18" i="5"/>
  <c r="HS18" i="5"/>
  <c r="HT18" i="5"/>
  <c r="HU18" i="5"/>
  <c r="HV18" i="5"/>
  <c r="HW18" i="5"/>
  <c r="HX18" i="5"/>
  <c r="HY18" i="5"/>
  <c r="HZ18" i="5"/>
  <c r="IA18" i="5"/>
  <c r="IB18" i="5"/>
  <c r="IC18" i="5"/>
  <c r="ID18" i="5"/>
  <c r="IE18" i="5"/>
  <c r="IF18" i="5"/>
  <c r="IG18" i="5"/>
  <c r="IH18" i="5"/>
  <c r="II18" i="5"/>
  <c r="IJ18" i="5"/>
  <c r="IK18" i="5"/>
  <c r="IL18" i="5"/>
  <c r="IM18" i="5"/>
  <c r="IN18" i="5"/>
  <c r="IO18" i="5"/>
  <c r="IP18" i="5"/>
  <c r="IQ18" i="5"/>
  <c r="IR18" i="5"/>
  <c r="IS18" i="5"/>
  <c r="IT18" i="5"/>
  <c r="IU18" i="5"/>
  <c r="IV18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S17" i="5"/>
  <c r="CT17" i="5"/>
  <c r="CU17" i="5"/>
  <c r="CV17" i="5"/>
  <c r="CW17" i="5"/>
  <c r="CX17" i="5"/>
  <c r="CY17" i="5"/>
  <c r="CZ17" i="5"/>
  <c r="DA17" i="5"/>
  <c r="DB17" i="5"/>
  <c r="DC17" i="5"/>
  <c r="DD17" i="5"/>
  <c r="DE17" i="5"/>
  <c r="DF17" i="5"/>
  <c r="DG17" i="5"/>
  <c r="DH17" i="5"/>
  <c r="DI17" i="5"/>
  <c r="DJ17" i="5"/>
  <c r="DK17" i="5"/>
  <c r="DL17" i="5"/>
  <c r="DM17" i="5"/>
  <c r="DN17" i="5"/>
  <c r="DO17" i="5"/>
  <c r="DP17" i="5"/>
  <c r="DQ17" i="5"/>
  <c r="DR17" i="5"/>
  <c r="DS17" i="5"/>
  <c r="DT17" i="5"/>
  <c r="DU17" i="5"/>
  <c r="DV17" i="5"/>
  <c r="DW17" i="5"/>
  <c r="DX17" i="5"/>
  <c r="DY17" i="5"/>
  <c r="DZ17" i="5"/>
  <c r="EA17" i="5"/>
  <c r="EB17" i="5"/>
  <c r="EC17" i="5"/>
  <c r="ED17" i="5"/>
  <c r="EE17" i="5"/>
  <c r="EF17" i="5"/>
  <c r="EG17" i="5"/>
  <c r="EH17" i="5"/>
  <c r="EI17" i="5"/>
  <c r="EJ17" i="5"/>
  <c r="EK17" i="5"/>
  <c r="EL17" i="5"/>
  <c r="EM17" i="5"/>
  <c r="EN17" i="5"/>
  <c r="EO17" i="5"/>
  <c r="EP17" i="5"/>
  <c r="EQ17" i="5"/>
  <c r="ER17" i="5"/>
  <c r="ES17" i="5"/>
  <c r="ET17" i="5"/>
  <c r="EU17" i="5"/>
  <c r="EV17" i="5"/>
  <c r="EW17" i="5"/>
  <c r="EX17" i="5"/>
  <c r="EY17" i="5"/>
  <c r="EZ17" i="5"/>
  <c r="FA17" i="5"/>
  <c r="FB17" i="5"/>
  <c r="FC17" i="5"/>
  <c r="FD17" i="5"/>
  <c r="FE17" i="5"/>
  <c r="FF17" i="5"/>
  <c r="FG17" i="5"/>
  <c r="FH17" i="5"/>
  <c r="FI17" i="5"/>
  <c r="FJ17" i="5"/>
  <c r="FK17" i="5"/>
  <c r="FL17" i="5"/>
  <c r="FM17" i="5"/>
  <c r="FN17" i="5"/>
  <c r="FO17" i="5"/>
  <c r="FP17" i="5"/>
  <c r="FQ17" i="5"/>
  <c r="FR17" i="5"/>
  <c r="FS17" i="5"/>
  <c r="FT17" i="5"/>
  <c r="FU17" i="5"/>
  <c r="FV17" i="5"/>
  <c r="FW17" i="5"/>
  <c r="FX17" i="5"/>
  <c r="FY17" i="5"/>
  <c r="FZ17" i="5"/>
  <c r="GA17" i="5"/>
  <c r="GB17" i="5"/>
  <c r="GC17" i="5"/>
  <c r="GD17" i="5"/>
  <c r="GE17" i="5"/>
  <c r="GF17" i="5"/>
  <c r="GG17" i="5"/>
  <c r="GH17" i="5"/>
  <c r="GI17" i="5"/>
  <c r="GJ17" i="5"/>
  <c r="GK17" i="5"/>
  <c r="GL17" i="5"/>
  <c r="GM17" i="5"/>
  <c r="GN17" i="5"/>
  <c r="GO17" i="5"/>
  <c r="GP17" i="5"/>
  <c r="GQ17" i="5"/>
  <c r="GR17" i="5"/>
  <c r="GS17" i="5"/>
  <c r="GT17" i="5"/>
  <c r="GU17" i="5"/>
  <c r="GV17" i="5"/>
  <c r="GW17" i="5"/>
  <c r="GX17" i="5"/>
  <c r="GY17" i="5"/>
  <c r="GZ17" i="5"/>
  <c r="HA17" i="5"/>
  <c r="HB17" i="5"/>
  <c r="HC17" i="5"/>
  <c r="HD17" i="5"/>
  <c r="HE17" i="5"/>
  <c r="HF17" i="5"/>
  <c r="HG17" i="5"/>
  <c r="HH17" i="5"/>
  <c r="HI17" i="5"/>
  <c r="HJ17" i="5"/>
  <c r="HK17" i="5"/>
  <c r="HL17" i="5"/>
  <c r="HM17" i="5"/>
  <c r="HN17" i="5"/>
  <c r="HO17" i="5"/>
  <c r="HP17" i="5"/>
  <c r="HQ17" i="5"/>
  <c r="HR17" i="5"/>
  <c r="HS17" i="5"/>
  <c r="HT17" i="5"/>
  <c r="HU17" i="5"/>
  <c r="HV17" i="5"/>
  <c r="HW17" i="5"/>
  <c r="HX17" i="5"/>
  <c r="HY17" i="5"/>
  <c r="HZ17" i="5"/>
  <c r="IA17" i="5"/>
  <c r="IB17" i="5"/>
  <c r="IC17" i="5"/>
  <c r="ID17" i="5"/>
  <c r="IE17" i="5"/>
  <c r="IF17" i="5"/>
  <c r="IG17" i="5"/>
  <c r="IH17" i="5"/>
  <c r="II17" i="5"/>
  <c r="IJ17" i="5"/>
  <c r="IK17" i="5"/>
  <c r="IL17" i="5"/>
  <c r="IM17" i="5"/>
  <c r="IN17" i="5"/>
  <c r="IO17" i="5"/>
  <c r="IP17" i="5"/>
  <c r="IQ17" i="5"/>
  <c r="IR17" i="5"/>
  <c r="IS17" i="5"/>
  <c r="IT17" i="5"/>
  <c r="IU17" i="5"/>
  <c r="IV17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CS16" i="5"/>
  <c r="CT16" i="5"/>
  <c r="CU16" i="5"/>
  <c r="CV16" i="5"/>
  <c r="CW16" i="5"/>
  <c r="CX16" i="5"/>
  <c r="CY16" i="5"/>
  <c r="CZ16" i="5"/>
  <c r="DA16" i="5"/>
  <c r="DB16" i="5"/>
  <c r="DC16" i="5"/>
  <c r="DD16" i="5"/>
  <c r="DE16" i="5"/>
  <c r="DF16" i="5"/>
  <c r="DG16" i="5"/>
  <c r="DH16" i="5"/>
  <c r="DI16" i="5"/>
  <c r="DJ16" i="5"/>
  <c r="DK16" i="5"/>
  <c r="DL16" i="5"/>
  <c r="DM16" i="5"/>
  <c r="DN16" i="5"/>
  <c r="DO16" i="5"/>
  <c r="DP16" i="5"/>
  <c r="DQ16" i="5"/>
  <c r="DR16" i="5"/>
  <c r="DS16" i="5"/>
  <c r="DT16" i="5"/>
  <c r="DU16" i="5"/>
  <c r="DV16" i="5"/>
  <c r="DW16" i="5"/>
  <c r="DX16" i="5"/>
  <c r="DY16" i="5"/>
  <c r="DZ16" i="5"/>
  <c r="EA16" i="5"/>
  <c r="EB16" i="5"/>
  <c r="EC16" i="5"/>
  <c r="ED16" i="5"/>
  <c r="EE16" i="5"/>
  <c r="EF16" i="5"/>
  <c r="EG16" i="5"/>
  <c r="EH16" i="5"/>
  <c r="EI16" i="5"/>
  <c r="EJ16" i="5"/>
  <c r="EK16" i="5"/>
  <c r="EL16" i="5"/>
  <c r="EM16" i="5"/>
  <c r="EN16" i="5"/>
  <c r="EO16" i="5"/>
  <c r="EP16" i="5"/>
  <c r="EQ16" i="5"/>
  <c r="ER16" i="5"/>
  <c r="ES16" i="5"/>
  <c r="ET16" i="5"/>
  <c r="EU16" i="5"/>
  <c r="EV16" i="5"/>
  <c r="EW16" i="5"/>
  <c r="EX16" i="5"/>
  <c r="EY16" i="5"/>
  <c r="EZ16" i="5"/>
  <c r="FA16" i="5"/>
  <c r="FB16" i="5"/>
  <c r="FC16" i="5"/>
  <c r="FD16" i="5"/>
  <c r="FE16" i="5"/>
  <c r="FF16" i="5"/>
  <c r="FG16" i="5"/>
  <c r="FH16" i="5"/>
  <c r="FI16" i="5"/>
  <c r="FJ16" i="5"/>
  <c r="FK16" i="5"/>
  <c r="FL16" i="5"/>
  <c r="FM16" i="5"/>
  <c r="FN16" i="5"/>
  <c r="FO16" i="5"/>
  <c r="FP16" i="5"/>
  <c r="FQ16" i="5"/>
  <c r="FR16" i="5"/>
  <c r="FS16" i="5"/>
  <c r="FT16" i="5"/>
  <c r="FU16" i="5"/>
  <c r="FV16" i="5"/>
  <c r="FW16" i="5"/>
  <c r="FX16" i="5"/>
  <c r="FY16" i="5"/>
  <c r="FZ16" i="5"/>
  <c r="GA16" i="5"/>
  <c r="GB16" i="5"/>
  <c r="GC16" i="5"/>
  <c r="GD16" i="5"/>
  <c r="GE16" i="5"/>
  <c r="GF16" i="5"/>
  <c r="GG16" i="5"/>
  <c r="GH16" i="5"/>
  <c r="GI16" i="5"/>
  <c r="GJ16" i="5"/>
  <c r="GK16" i="5"/>
  <c r="GL16" i="5"/>
  <c r="GM16" i="5"/>
  <c r="GN16" i="5"/>
  <c r="GO16" i="5"/>
  <c r="GP16" i="5"/>
  <c r="GQ16" i="5"/>
  <c r="GR16" i="5"/>
  <c r="GS16" i="5"/>
  <c r="GT16" i="5"/>
  <c r="GU16" i="5"/>
  <c r="GV16" i="5"/>
  <c r="GW16" i="5"/>
  <c r="GX16" i="5"/>
  <c r="GY16" i="5"/>
  <c r="GZ16" i="5"/>
  <c r="HA16" i="5"/>
  <c r="HB16" i="5"/>
  <c r="HC16" i="5"/>
  <c r="HD16" i="5"/>
  <c r="HE16" i="5"/>
  <c r="HF16" i="5"/>
  <c r="HG16" i="5"/>
  <c r="HH16" i="5"/>
  <c r="HI16" i="5"/>
  <c r="HJ16" i="5"/>
  <c r="HK16" i="5"/>
  <c r="HL16" i="5"/>
  <c r="HM16" i="5"/>
  <c r="HN16" i="5"/>
  <c r="HO16" i="5"/>
  <c r="HP16" i="5"/>
  <c r="HQ16" i="5"/>
  <c r="HR16" i="5"/>
  <c r="HS16" i="5"/>
  <c r="HT16" i="5"/>
  <c r="HU16" i="5"/>
  <c r="HV16" i="5"/>
  <c r="HW16" i="5"/>
  <c r="HX16" i="5"/>
  <c r="HY16" i="5"/>
  <c r="HZ16" i="5"/>
  <c r="IA16" i="5"/>
  <c r="IB16" i="5"/>
  <c r="IC16" i="5"/>
  <c r="ID16" i="5"/>
  <c r="IE16" i="5"/>
  <c r="IF16" i="5"/>
  <c r="IG16" i="5"/>
  <c r="IH16" i="5"/>
  <c r="II16" i="5"/>
  <c r="IJ16" i="5"/>
  <c r="IK16" i="5"/>
  <c r="IL16" i="5"/>
  <c r="IM16" i="5"/>
  <c r="IN16" i="5"/>
  <c r="IO16" i="5"/>
  <c r="IP16" i="5"/>
  <c r="IQ16" i="5"/>
  <c r="IR16" i="5"/>
  <c r="IS16" i="5"/>
  <c r="IT16" i="5"/>
  <c r="IU16" i="5"/>
  <c r="IV16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N15" i="5"/>
  <c r="DO15" i="5"/>
  <c r="DP15" i="5"/>
  <c r="DQ15" i="5"/>
  <c r="DR15" i="5"/>
  <c r="DS15" i="5"/>
  <c r="DT15" i="5"/>
  <c r="DU15" i="5"/>
  <c r="DV15" i="5"/>
  <c r="DW15" i="5"/>
  <c r="DX15" i="5"/>
  <c r="DY15" i="5"/>
  <c r="DZ15" i="5"/>
  <c r="EA15" i="5"/>
  <c r="EB15" i="5"/>
  <c r="EC15" i="5"/>
  <c r="ED15" i="5"/>
  <c r="EE15" i="5"/>
  <c r="EF15" i="5"/>
  <c r="EG15" i="5"/>
  <c r="EH15" i="5"/>
  <c r="EI15" i="5"/>
  <c r="EJ15" i="5"/>
  <c r="EK15" i="5"/>
  <c r="EL15" i="5"/>
  <c r="EM15" i="5"/>
  <c r="EN15" i="5"/>
  <c r="EO15" i="5"/>
  <c r="EP15" i="5"/>
  <c r="EQ15" i="5"/>
  <c r="ER15" i="5"/>
  <c r="ES15" i="5"/>
  <c r="ET15" i="5"/>
  <c r="EU15" i="5"/>
  <c r="EV15" i="5"/>
  <c r="EW15" i="5"/>
  <c r="EX15" i="5"/>
  <c r="EY15" i="5"/>
  <c r="EZ15" i="5"/>
  <c r="FA15" i="5"/>
  <c r="FB15" i="5"/>
  <c r="FC15" i="5"/>
  <c r="FD15" i="5"/>
  <c r="FE15" i="5"/>
  <c r="FF15" i="5"/>
  <c r="FG15" i="5"/>
  <c r="FH15" i="5"/>
  <c r="FI15" i="5"/>
  <c r="FJ15" i="5"/>
  <c r="FK15" i="5"/>
  <c r="FL15" i="5"/>
  <c r="FM15" i="5"/>
  <c r="FN15" i="5"/>
  <c r="FO15" i="5"/>
  <c r="FP15" i="5"/>
  <c r="FQ15" i="5"/>
  <c r="FR15" i="5"/>
  <c r="FS15" i="5"/>
  <c r="FT15" i="5"/>
  <c r="FU15" i="5"/>
  <c r="FV15" i="5"/>
  <c r="FW15" i="5"/>
  <c r="FX15" i="5"/>
  <c r="FY15" i="5"/>
  <c r="FZ15" i="5"/>
  <c r="GA15" i="5"/>
  <c r="GB15" i="5"/>
  <c r="GC15" i="5"/>
  <c r="GD15" i="5"/>
  <c r="GE15" i="5"/>
  <c r="GF15" i="5"/>
  <c r="GG15" i="5"/>
  <c r="GH15" i="5"/>
  <c r="GI15" i="5"/>
  <c r="GJ15" i="5"/>
  <c r="GK15" i="5"/>
  <c r="GL15" i="5"/>
  <c r="GM15" i="5"/>
  <c r="GN15" i="5"/>
  <c r="GO15" i="5"/>
  <c r="GP15" i="5"/>
  <c r="GQ15" i="5"/>
  <c r="GR15" i="5"/>
  <c r="GS15" i="5"/>
  <c r="GT15" i="5"/>
  <c r="GU15" i="5"/>
  <c r="GV15" i="5"/>
  <c r="GW15" i="5"/>
  <c r="GX15" i="5"/>
  <c r="GY15" i="5"/>
  <c r="GZ15" i="5"/>
  <c r="HA15" i="5"/>
  <c r="HB15" i="5"/>
  <c r="HC15" i="5"/>
  <c r="HD15" i="5"/>
  <c r="HE15" i="5"/>
  <c r="HF15" i="5"/>
  <c r="HG15" i="5"/>
  <c r="HH15" i="5"/>
  <c r="HI15" i="5"/>
  <c r="HJ15" i="5"/>
  <c r="HK15" i="5"/>
  <c r="HL15" i="5"/>
  <c r="HM15" i="5"/>
  <c r="HN15" i="5"/>
  <c r="HO15" i="5"/>
  <c r="HP15" i="5"/>
  <c r="HQ15" i="5"/>
  <c r="HR15" i="5"/>
  <c r="HS15" i="5"/>
  <c r="HT15" i="5"/>
  <c r="HU15" i="5"/>
  <c r="HV15" i="5"/>
  <c r="HW15" i="5"/>
  <c r="HX15" i="5"/>
  <c r="HY15" i="5"/>
  <c r="HZ15" i="5"/>
  <c r="IA15" i="5"/>
  <c r="IB15" i="5"/>
  <c r="IC15" i="5"/>
  <c r="ID15" i="5"/>
  <c r="IE15" i="5"/>
  <c r="IF15" i="5"/>
  <c r="IG15" i="5"/>
  <c r="IH15" i="5"/>
  <c r="II15" i="5"/>
  <c r="IJ15" i="5"/>
  <c r="IK15" i="5"/>
  <c r="IL15" i="5"/>
  <c r="IM15" i="5"/>
  <c r="IN15" i="5"/>
  <c r="IO15" i="5"/>
  <c r="IP15" i="5"/>
  <c r="IQ15" i="5"/>
  <c r="IR15" i="5"/>
  <c r="IS15" i="5"/>
  <c r="IT15" i="5"/>
  <c r="IU15" i="5"/>
  <c r="IV15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CS14" i="5"/>
  <c r="CT14" i="5"/>
  <c r="CU14" i="5"/>
  <c r="CV14" i="5"/>
  <c r="CW14" i="5"/>
  <c r="CX14" i="5"/>
  <c r="CY14" i="5"/>
  <c r="CZ14" i="5"/>
  <c r="DA14" i="5"/>
  <c r="DB14" i="5"/>
  <c r="DC14" i="5"/>
  <c r="DD14" i="5"/>
  <c r="DE14" i="5"/>
  <c r="DF14" i="5"/>
  <c r="DG14" i="5"/>
  <c r="DH14" i="5"/>
  <c r="DI14" i="5"/>
  <c r="DJ14" i="5"/>
  <c r="DK14" i="5"/>
  <c r="DL14" i="5"/>
  <c r="DM14" i="5"/>
  <c r="DN14" i="5"/>
  <c r="DO14" i="5"/>
  <c r="DP14" i="5"/>
  <c r="DQ14" i="5"/>
  <c r="DR14" i="5"/>
  <c r="DS14" i="5"/>
  <c r="DT14" i="5"/>
  <c r="DU14" i="5"/>
  <c r="DV14" i="5"/>
  <c r="DW14" i="5"/>
  <c r="DX14" i="5"/>
  <c r="DY14" i="5"/>
  <c r="DZ14" i="5"/>
  <c r="EA14" i="5"/>
  <c r="EB14" i="5"/>
  <c r="EC14" i="5"/>
  <c r="ED14" i="5"/>
  <c r="EE14" i="5"/>
  <c r="EF14" i="5"/>
  <c r="EG14" i="5"/>
  <c r="EH14" i="5"/>
  <c r="EI14" i="5"/>
  <c r="EJ14" i="5"/>
  <c r="EK14" i="5"/>
  <c r="EL14" i="5"/>
  <c r="EM14" i="5"/>
  <c r="EN14" i="5"/>
  <c r="EO14" i="5"/>
  <c r="EP14" i="5"/>
  <c r="EQ14" i="5"/>
  <c r="ER14" i="5"/>
  <c r="ES14" i="5"/>
  <c r="ET14" i="5"/>
  <c r="EU14" i="5"/>
  <c r="EV14" i="5"/>
  <c r="EW14" i="5"/>
  <c r="EX14" i="5"/>
  <c r="EY14" i="5"/>
  <c r="EZ14" i="5"/>
  <c r="FA14" i="5"/>
  <c r="FB14" i="5"/>
  <c r="FC14" i="5"/>
  <c r="FD14" i="5"/>
  <c r="FE14" i="5"/>
  <c r="FF14" i="5"/>
  <c r="FG14" i="5"/>
  <c r="FH14" i="5"/>
  <c r="FI14" i="5"/>
  <c r="FJ14" i="5"/>
  <c r="FK14" i="5"/>
  <c r="FL14" i="5"/>
  <c r="FM14" i="5"/>
  <c r="FN14" i="5"/>
  <c r="FO14" i="5"/>
  <c r="FP14" i="5"/>
  <c r="FQ14" i="5"/>
  <c r="FR14" i="5"/>
  <c r="FS14" i="5"/>
  <c r="FT14" i="5"/>
  <c r="FU14" i="5"/>
  <c r="FV14" i="5"/>
  <c r="FW14" i="5"/>
  <c r="FX14" i="5"/>
  <c r="FY14" i="5"/>
  <c r="FZ14" i="5"/>
  <c r="GA14" i="5"/>
  <c r="GB14" i="5"/>
  <c r="GC14" i="5"/>
  <c r="GD14" i="5"/>
  <c r="GE14" i="5"/>
  <c r="GF14" i="5"/>
  <c r="GG14" i="5"/>
  <c r="GH14" i="5"/>
  <c r="GI14" i="5"/>
  <c r="GJ14" i="5"/>
  <c r="GK14" i="5"/>
  <c r="GL14" i="5"/>
  <c r="GM14" i="5"/>
  <c r="GN14" i="5"/>
  <c r="GO14" i="5"/>
  <c r="GP14" i="5"/>
  <c r="GQ14" i="5"/>
  <c r="GR14" i="5"/>
  <c r="GS14" i="5"/>
  <c r="GT14" i="5"/>
  <c r="GU14" i="5"/>
  <c r="GV14" i="5"/>
  <c r="GW14" i="5"/>
  <c r="GX14" i="5"/>
  <c r="GY14" i="5"/>
  <c r="GZ14" i="5"/>
  <c r="HA14" i="5"/>
  <c r="HB14" i="5"/>
  <c r="HC14" i="5"/>
  <c r="HD14" i="5"/>
  <c r="HE14" i="5"/>
  <c r="HF14" i="5"/>
  <c r="HG14" i="5"/>
  <c r="HH14" i="5"/>
  <c r="HI14" i="5"/>
  <c r="HJ14" i="5"/>
  <c r="HK14" i="5"/>
  <c r="HL14" i="5"/>
  <c r="HM14" i="5"/>
  <c r="HN14" i="5"/>
  <c r="HO14" i="5"/>
  <c r="HP14" i="5"/>
  <c r="HQ14" i="5"/>
  <c r="HR14" i="5"/>
  <c r="HS14" i="5"/>
  <c r="HT14" i="5"/>
  <c r="HU14" i="5"/>
  <c r="HV14" i="5"/>
  <c r="HW14" i="5"/>
  <c r="HX14" i="5"/>
  <c r="HY14" i="5"/>
  <c r="HZ14" i="5"/>
  <c r="IA14" i="5"/>
  <c r="IB14" i="5"/>
  <c r="IC14" i="5"/>
  <c r="ID14" i="5"/>
  <c r="IE14" i="5"/>
  <c r="IF14" i="5"/>
  <c r="IG14" i="5"/>
  <c r="IH14" i="5"/>
  <c r="II14" i="5"/>
  <c r="IJ14" i="5"/>
  <c r="IK14" i="5"/>
  <c r="IL14" i="5"/>
  <c r="IM14" i="5"/>
  <c r="IN14" i="5"/>
  <c r="IO14" i="5"/>
  <c r="IP14" i="5"/>
  <c r="IQ14" i="5"/>
  <c r="IR14" i="5"/>
  <c r="IS14" i="5"/>
  <c r="IT14" i="5"/>
  <c r="IU14" i="5"/>
  <c r="IV14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S13" i="5"/>
  <c r="CT13" i="5"/>
  <c r="CU13" i="5"/>
  <c r="CV13" i="5"/>
  <c r="CW13" i="5"/>
  <c r="CX13" i="5"/>
  <c r="CY13" i="5"/>
  <c r="CZ13" i="5"/>
  <c r="DA13" i="5"/>
  <c r="DB13" i="5"/>
  <c r="DC13" i="5"/>
  <c r="DD13" i="5"/>
  <c r="DE13" i="5"/>
  <c r="DF13" i="5"/>
  <c r="DG13" i="5"/>
  <c r="DH13" i="5"/>
  <c r="DI13" i="5"/>
  <c r="DJ13" i="5"/>
  <c r="DK13" i="5"/>
  <c r="DL13" i="5"/>
  <c r="DM13" i="5"/>
  <c r="DN13" i="5"/>
  <c r="DO13" i="5"/>
  <c r="DP13" i="5"/>
  <c r="DQ13" i="5"/>
  <c r="DR13" i="5"/>
  <c r="DS13" i="5"/>
  <c r="DT13" i="5"/>
  <c r="DU13" i="5"/>
  <c r="DV13" i="5"/>
  <c r="DW13" i="5"/>
  <c r="DX13" i="5"/>
  <c r="DY13" i="5"/>
  <c r="DZ13" i="5"/>
  <c r="EA13" i="5"/>
  <c r="EB13" i="5"/>
  <c r="EC13" i="5"/>
  <c r="ED13" i="5"/>
  <c r="EE13" i="5"/>
  <c r="EF13" i="5"/>
  <c r="EG13" i="5"/>
  <c r="EH13" i="5"/>
  <c r="EI13" i="5"/>
  <c r="EJ13" i="5"/>
  <c r="EK13" i="5"/>
  <c r="EL13" i="5"/>
  <c r="EM13" i="5"/>
  <c r="EN13" i="5"/>
  <c r="EO13" i="5"/>
  <c r="EP13" i="5"/>
  <c r="EQ13" i="5"/>
  <c r="ER13" i="5"/>
  <c r="ES13" i="5"/>
  <c r="ET13" i="5"/>
  <c r="EU13" i="5"/>
  <c r="EV13" i="5"/>
  <c r="EW13" i="5"/>
  <c r="EX13" i="5"/>
  <c r="EY13" i="5"/>
  <c r="EZ13" i="5"/>
  <c r="FA13" i="5"/>
  <c r="FB13" i="5"/>
  <c r="FC13" i="5"/>
  <c r="FD13" i="5"/>
  <c r="FE13" i="5"/>
  <c r="FF13" i="5"/>
  <c r="FG13" i="5"/>
  <c r="FH13" i="5"/>
  <c r="FI13" i="5"/>
  <c r="FJ13" i="5"/>
  <c r="FK13" i="5"/>
  <c r="FL13" i="5"/>
  <c r="FM13" i="5"/>
  <c r="FN13" i="5"/>
  <c r="FO13" i="5"/>
  <c r="FP13" i="5"/>
  <c r="FQ13" i="5"/>
  <c r="FR13" i="5"/>
  <c r="FS13" i="5"/>
  <c r="FT13" i="5"/>
  <c r="FU13" i="5"/>
  <c r="FV13" i="5"/>
  <c r="FW13" i="5"/>
  <c r="FX13" i="5"/>
  <c r="FY13" i="5"/>
  <c r="FZ13" i="5"/>
  <c r="GA13" i="5"/>
  <c r="GB13" i="5"/>
  <c r="GC13" i="5"/>
  <c r="GD13" i="5"/>
  <c r="GE13" i="5"/>
  <c r="GF13" i="5"/>
  <c r="GG13" i="5"/>
  <c r="GH13" i="5"/>
  <c r="GI13" i="5"/>
  <c r="GJ13" i="5"/>
  <c r="GK13" i="5"/>
  <c r="GL13" i="5"/>
  <c r="GM13" i="5"/>
  <c r="GN13" i="5"/>
  <c r="GO13" i="5"/>
  <c r="GP13" i="5"/>
  <c r="GQ13" i="5"/>
  <c r="GR13" i="5"/>
  <c r="GS13" i="5"/>
  <c r="GT13" i="5"/>
  <c r="GU13" i="5"/>
  <c r="GV13" i="5"/>
  <c r="GW13" i="5"/>
  <c r="GX13" i="5"/>
  <c r="GY13" i="5"/>
  <c r="GZ13" i="5"/>
  <c r="HA13" i="5"/>
  <c r="HB13" i="5"/>
  <c r="HC13" i="5"/>
  <c r="HD13" i="5"/>
  <c r="HE13" i="5"/>
  <c r="HF13" i="5"/>
  <c r="HG13" i="5"/>
  <c r="HH13" i="5"/>
  <c r="HI13" i="5"/>
  <c r="HJ13" i="5"/>
  <c r="HK13" i="5"/>
  <c r="HL13" i="5"/>
  <c r="HM13" i="5"/>
  <c r="HN13" i="5"/>
  <c r="HO13" i="5"/>
  <c r="HP13" i="5"/>
  <c r="HQ13" i="5"/>
  <c r="HR13" i="5"/>
  <c r="HS13" i="5"/>
  <c r="HT13" i="5"/>
  <c r="HU13" i="5"/>
  <c r="HV13" i="5"/>
  <c r="HW13" i="5"/>
  <c r="HX13" i="5"/>
  <c r="HY13" i="5"/>
  <c r="HZ13" i="5"/>
  <c r="IA13" i="5"/>
  <c r="IB13" i="5"/>
  <c r="IC13" i="5"/>
  <c r="ID13" i="5"/>
  <c r="IE13" i="5"/>
  <c r="IF13" i="5"/>
  <c r="IG13" i="5"/>
  <c r="IH13" i="5"/>
  <c r="II13" i="5"/>
  <c r="IJ13" i="5"/>
  <c r="IK13" i="5"/>
  <c r="IL13" i="5"/>
  <c r="IM13" i="5"/>
  <c r="IN13" i="5"/>
  <c r="IO13" i="5"/>
  <c r="IP13" i="5"/>
  <c r="IQ13" i="5"/>
  <c r="IR13" i="5"/>
  <c r="IS13" i="5"/>
  <c r="IT13" i="5"/>
  <c r="IU13" i="5"/>
  <c r="IV13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DA12" i="5"/>
  <c r="DB12" i="5"/>
  <c r="DC12" i="5"/>
  <c r="DD12" i="5"/>
  <c r="DE12" i="5"/>
  <c r="DF12" i="5"/>
  <c r="DG12" i="5"/>
  <c r="DH12" i="5"/>
  <c r="DI12" i="5"/>
  <c r="DJ12" i="5"/>
  <c r="DK12" i="5"/>
  <c r="DL12" i="5"/>
  <c r="DM12" i="5"/>
  <c r="DN12" i="5"/>
  <c r="DO12" i="5"/>
  <c r="DP12" i="5"/>
  <c r="DQ12" i="5"/>
  <c r="DR12" i="5"/>
  <c r="DS12" i="5"/>
  <c r="DT12" i="5"/>
  <c r="DU12" i="5"/>
  <c r="DV12" i="5"/>
  <c r="DW12" i="5"/>
  <c r="DX12" i="5"/>
  <c r="DY12" i="5"/>
  <c r="DZ12" i="5"/>
  <c r="EA12" i="5"/>
  <c r="EB12" i="5"/>
  <c r="EC12" i="5"/>
  <c r="ED12" i="5"/>
  <c r="EE12" i="5"/>
  <c r="EF12" i="5"/>
  <c r="EG12" i="5"/>
  <c r="EH12" i="5"/>
  <c r="EI12" i="5"/>
  <c r="EJ12" i="5"/>
  <c r="EK12" i="5"/>
  <c r="EL12" i="5"/>
  <c r="EM12" i="5"/>
  <c r="EN12" i="5"/>
  <c r="EO12" i="5"/>
  <c r="EP12" i="5"/>
  <c r="EQ12" i="5"/>
  <c r="ER12" i="5"/>
  <c r="ES12" i="5"/>
  <c r="ET12" i="5"/>
  <c r="EU12" i="5"/>
  <c r="EV12" i="5"/>
  <c r="EW12" i="5"/>
  <c r="EX12" i="5"/>
  <c r="EY12" i="5"/>
  <c r="EZ12" i="5"/>
  <c r="FA12" i="5"/>
  <c r="FB12" i="5"/>
  <c r="FC12" i="5"/>
  <c r="FD12" i="5"/>
  <c r="FE12" i="5"/>
  <c r="FF12" i="5"/>
  <c r="FG12" i="5"/>
  <c r="FH12" i="5"/>
  <c r="FI12" i="5"/>
  <c r="FJ12" i="5"/>
  <c r="FK12" i="5"/>
  <c r="FL12" i="5"/>
  <c r="FM12" i="5"/>
  <c r="FN12" i="5"/>
  <c r="FO12" i="5"/>
  <c r="FP12" i="5"/>
  <c r="FQ12" i="5"/>
  <c r="FR12" i="5"/>
  <c r="FS12" i="5"/>
  <c r="FT12" i="5"/>
  <c r="FU12" i="5"/>
  <c r="FV12" i="5"/>
  <c r="FW12" i="5"/>
  <c r="FX12" i="5"/>
  <c r="FY12" i="5"/>
  <c r="FZ12" i="5"/>
  <c r="GA12" i="5"/>
  <c r="GB12" i="5"/>
  <c r="GC12" i="5"/>
  <c r="GD12" i="5"/>
  <c r="GE12" i="5"/>
  <c r="GF12" i="5"/>
  <c r="GG12" i="5"/>
  <c r="GH12" i="5"/>
  <c r="GI12" i="5"/>
  <c r="GJ12" i="5"/>
  <c r="GK12" i="5"/>
  <c r="GL12" i="5"/>
  <c r="GM12" i="5"/>
  <c r="GN12" i="5"/>
  <c r="GO12" i="5"/>
  <c r="GP12" i="5"/>
  <c r="GQ12" i="5"/>
  <c r="GR12" i="5"/>
  <c r="GS12" i="5"/>
  <c r="GT12" i="5"/>
  <c r="GU12" i="5"/>
  <c r="GV12" i="5"/>
  <c r="GW12" i="5"/>
  <c r="GX12" i="5"/>
  <c r="GY12" i="5"/>
  <c r="GZ12" i="5"/>
  <c r="HA12" i="5"/>
  <c r="HB12" i="5"/>
  <c r="HC12" i="5"/>
  <c r="HD12" i="5"/>
  <c r="HE12" i="5"/>
  <c r="HF12" i="5"/>
  <c r="HG12" i="5"/>
  <c r="HH12" i="5"/>
  <c r="HI12" i="5"/>
  <c r="HJ12" i="5"/>
  <c r="HK12" i="5"/>
  <c r="HL12" i="5"/>
  <c r="HM12" i="5"/>
  <c r="HN12" i="5"/>
  <c r="HO12" i="5"/>
  <c r="HP12" i="5"/>
  <c r="HQ12" i="5"/>
  <c r="HR12" i="5"/>
  <c r="HS12" i="5"/>
  <c r="HT12" i="5"/>
  <c r="HU12" i="5"/>
  <c r="HV12" i="5"/>
  <c r="HW12" i="5"/>
  <c r="HX12" i="5"/>
  <c r="HY12" i="5"/>
  <c r="HZ12" i="5"/>
  <c r="IA12" i="5"/>
  <c r="IB12" i="5"/>
  <c r="IC12" i="5"/>
  <c r="ID12" i="5"/>
  <c r="IE12" i="5"/>
  <c r="IF12" i="5"/>
  <c r="IG12" i="5"/>
  <c r="IH12" i="5"/>
  <c r="II12" i="5"/>
  <c r="IJ12" i="5"/>
  <c r="IK12" i="5"/>
  <c r="IL12" i="5"/>
  <c r="IM12" i="5"/>
  <c r="IN12" i="5"/>
  <c r="IO12" i="5"/>
  <c r="IP12" i="5"/>
  <c r="IQ12" i="5"/>
  <c r="IR12" i="5"/>
  <c r="IS12" i="5"/>
  <c r="IT12" i="5"/>
  <c r="IU12" i="5"/>
  <c r="IV12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DG11" i="5"/>
  <c r="DH11" i="5"/>
  <c r="DI11" i="5"/>
  <c r="DJ11" i="5"/>
  <c r="DK11" i="5"/>
  <c r="DL11" i="5"/>
  <c r="DM11" i="5"/>
  <c r="DN11" i="5"/>
  <c r="DO11" i="5"/>
  <c r="DP11" i="5"/>
  <c r="DQ11" i="5"/>
  <c r="DR11" i="5"/>
  <c r="DS11" i="5"/>
  <c r="DT11" i="5"/>
  <c r="DU11" i="5"/>
  <c r="DV11" i="5"/>
  <c r="DW11" i="5"/>
  <c r="DX11" i="5"/>
  <c r="DY11" i="5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W11" i="5"/>
  <c r="EX11" i="5"/>
  <c r="EY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GD11" i="5"/>
  <c r="GE11" i="5"/>
  <c r="GF11" i="5"/>
  <c r="GG11" i="5"/>
  <c r="GH11" i="5"/>
  <c r="GI11" i="5"/>
  <c r="GJ11" i="5"/>
  <c r="GK11" i="5"/>
  <c r="GL11" i="5"/>
  <c r="GM11" i="5"/>
  <c r="GN11" i="5"/>
  <c r="GO11" i="5"/>
  <c r="GP11" i="5"/>
  <c r="GQ11" i="5"/>
  <c r="GR11" i="5"/>
  <c r="GS11" i="5"/>
  <c r="GT11" i="5"/>
  <c r="GU11" i="5"/>
  <c r="GV11" i="5"/>
  <c r="GW11" i="5"/>
  <c r="GX11" i="5"/>
  <c r="GY11" i="5"/>
  <c r="GZ11" i="5"/>
  <c r="HA11" i="5"/>
  <c r="HB11" i="5"/>
  <c r="HC11" i="5"/>
  <c r="HD11" i="5"/>
  <c r="HE11" i="5"/>
  <c r="HF11" i="5"/>
  <c r="HG11" i="5"/>
  <c r="HH11" i="5"/>
  <c r="HI11" i="5"/>
  <c r="HJ11" i="5"/>
  <c r="HK11" i="5"/>
  <c r="HL11" i="5"/>
  <c r="HM11" i="5"/>
  <c r="HN11" i="5"/>
  <c r="HO11" i="5"/>
  <c r="HP11" i="5"/>
  <c r="HQ11" i="5"/>
  <c r="HR11" i="5"/>
  <c r="HS11" i="5"/>
  <c r="HT11" i="5"/>
  <c r="HU11" i="5"/>
  <c r="HV11" i="5"/>
  <c r="HW11" i="5"/>
  <c r="HX11" i="5"/>
  <c r="HY11" i="5"/>
  <c r="HZ11" i="5"/>
  <c r="IA11" i="5"/>
  <c r="IB11" i="5"/>
  <c r="IC11" i="5"/>
  <c r="ID11" i="5"/>
  <c r="IE11" i="5"/>
  <c r="IF11" i="5"/>
  <c r="IG11" i="5"/>
  <c r="IH11" i="5"/>
  <c r="II11" i="5"/>
  <c r="IJ11" i="5"/>
  <c r="IK11" i="5"/>
  <c r="IL11" i="5"/>
  <c r="IM11" i="5"/>
  <c r="IN11" i="5"/>
  <c r="IO11" i="5"/>
  <c r="IP11" i="5"/>
  <c r="IQ11" i="5"/>
  <c r="IR11" i="5"/>
  <c r="IS11" i="5"/>
  <c r="IT11" i="5"/>
  <c r="IU11" i="5"/>
  <c r="IV11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DN10" i="5"/>
  <c r="DO10" i="5"/>
  <c r="DP10" i="5"/>
  <c r="DQ10" i="5"/>
  <c r="DR10" i="5"/>
  <c r="DS10" i="5"/>
  <c r="DT10" i="5"/>
  <c r="DU10" i="5"/>
  <c r="DV10" i="5"/>
  <c r="DW10" i="5"/>
  <c r="DX10" i="5"/>
  <c r="DY10" i="5"/>
  <c r="DZ10" i="5"/>
  <c r="EA10" i="5"/>
  <c r="EB10" i="5"/>
  <c r="EC10" i="5"/>
  <c r="ED10" i="5"/>
  <c r="EE10" i="5"/>
  <c r="EF10" i="5"/>
  <c r="EG10" i="5"/>
  <c r="EH10" i="5"/>
  <c r="EI10" i="5"/>
  <c r="EJ10" i="5"/>
  <c r="EK10" i="5"/>
  <c r="EL10" i="5"/>
  <c r="EM10" i="5"/>
  <c r="EN10" i="5"/>
  <c r="EO10" i="5"/>
  <c r="EP10" i="5"/>
  <c r="EQ10" i="5"/>
  <c r="ER10" i="5"/>
  <c r="ES10" i="5"/>
  <c r="ET10" i="5"/>
  <c r="EU10" i="5"/>
  <c r="EV10" i="5"/>
  <c r="EW10" i="5"/>
  <c r="EX10" i="5"/>
  <c r="EY10" i="5"/>
  <c r="EZ10" i="5"/>
  <c r="FA10" i="5"/>
  <c r="FB10" i="5"/>
  <c r="FC10" i="5"/>
  <c r="FD10" i="5"/>
  <c r="FE10" i="5"/>
  <c r="FF10" i="5"/>
  <c r="FG10" i="5"/>
  <c r="FH10" i="5"/>
  <c r="FI10" i="5"/>
  <c r="FJ10" i="5"/>
  <c r="FK10" i="5"/>
  <c r="FL10" i="5"/>
  <c r="FM10" i="5"/>
  <c r="FN10" i="5"/>
  <c r="FO10" i="5"/>
  <c r="FP10" i="5"/>
  <c r="FQ10" i="5"/>
  <c r="FR10" i="5"/>
  <c r="FS10" i="5"/>
  <c r="FT10" i="5"/>
  <c r="FU10" i="5"/>
  <c r="FV10" i="5"/>
  <c r="FW10" i="5"/>
  <c r="FX10" i="5"/>
  <c r="FY10" i="5"/>
  <c r="FZ10" i="5"/>
  <c r="GA10" i="5"/>
  <c r="GB10" i="5"/>
  <c r="GC10" i="5"/>
  <c r="GD10" i="5"/>
  <c r="GE10" i="5"/>
  <c r="GF10" i="5"/>
  <c r="GG10" i="5"/>
  <c r="GH10" i="5"/>
  <c r="GI10" i="5"/>
  <c r="GJ10" i="5"/>
  <c r="GK10" i="5"/>
  <c r="GL10" i="5"/>
  <c r="GM10" i="5"/>
  <c r="GN10" i="5"/>
  <c r="GO10" i="5"/>
  <c r="GP10" i="5"/>
  <c r="GQ10" i="5"/>
  <c r="GR10" i="5"/>
  <c r="GS10" i="5"/>
  <c r="GT10" i="5"/>
  <c r="GU10" i="5"/>
  <c r="GV10" i="5"/>
  <c r="GW10" i="5"/>
  <c r="GX10" i="5"/>
  <c r="GY10" i="5"/>
  <c r="GZ10" i="5"/>
  <c r="HA10" i="5"/>
  <c r="HB10" i="5"/>
  <c r="HC10" i="5"/>
  <c r="HD10" i="5"/>
  <c r="HE10" i="5"/>
  <c r="HF10" i="5"/>
  <c r="HG10" i="5"/>
  <c r="HH10" i="5"/>
  <c r="HI10" i="5"/>
  <c r="HJ10" i="5"/>
  <c r="HK10" i="5"/>
  <c r="HL10" i="5"/>
  <c r="HM10" i="5"/>
  <c r="HN10" i="5"/>
  <c r="HO10" i="5"/>
  <c r="HP10" i="5"/>
  <c r="HQ10" i="5"/>
  <c r="HR10" i="5"/>
  <c r="HS10" i="5"/>
  <c r="HT10" i="5"/>
  <c r="HU10" i="5"/>
  <c r="HV10" i="5"/>
  <c r="HW10" i="5"/>
  <c r="HX10" i="5"/>
  <c r="HY10" i="5"/>
  <c r="HZ10" i="5"/>
  <c r="IA10" i="5"/>
  <c r="IB10" i="5"/>
  <c r="IC10" i="5"/>
  <c r="ID10" i="5"/>
  <c r="IE10" i="5"/>
  <c r="IF10" i="5"/>
  <c r="IG10" i="5"/>
  <c r="IH10" i="5"/>
  <c r="II10" i="5"/>
  <c r="IJ10" i="5"/>
  <c r="IK10" i="5"/>
  <c r="IL10" i="5"/>
  <c r="IM10" i="5"/>
  <c r="IN10" i="5"/>
  <c r="IO10" i="5"/>
  <c r="IP10" i="5"/>
  <c r="IQ10" i="5"/>
  <c r="IR10" i="5"/>
  <c r="IS10" i="5"/>
  <c r="IT10" i="5"/>
  <c r="IU10" i="5"/>
  <c r="IV10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BT9" i="5"/>
  <c r="BU9" i="5"/>
  <c r="BV9" i="5"/>
  <c r="BW9" i="5"/>
  <c r="BX9" i="5"/>
  <c r="BY9" i="5"/>
  <c r="BZ9" i="5"/>
  <c r="CA9" i="5"/>
  <c r="CB9" i="5"/>
  <c r="CC9" i="5"/>
  <c r="CD9" i="5"/>
  <c r="CE9" i="5"/>
  <c r="CF9" i="5"/>
  <c r="CG9" i="5"/>
  <c r="CH9" i="5"/>
  <c r="CI9" i="5"/>
  <c r="CJ9" i="5"/>
  <c r="CK9" i="5"/>
  <c r="CL9" i="5"/>
  <c r="CM9" i="5"/>
  <c r="CN9" i="5"/>
  <c r="CO9" i="5"/>
  <c r="CP9" i="5"/>
  <c r="CQ9" i="5"/>
  <c r="CR9" i="5"/>
  <c r="CS9" i="5"/>
  <c r="CT9" i="5"/>
  <c r="CU9" i="5"/>
  <c r="CV9" i="5"/>
  <c r="CW9" i="5"/>
  <c r="CX9" i="5"/>
  <c r="CY9" i="5"/>
  <c r="CZ9" i="5"/>
  <c r="DA9" i="5"/>
  <c r="DB9" i="5"/>
  <c r="DC9" i="5"/>
  <c r="DD9" i="5"/>
  <c r="DE9" i="5"/>
  <c r="DF9" i="5"/>
  <c r="DG9" i="5"/>
  <c r="DH9" i="5"/>
  <c r="DI9" i="5"/>
  <c r="DJ9" i="5"/>
  <c r="DK9" i="5"/>
  <c r="DL9" i="5"/>
  <c r="DM9" i="5"/>
  <c r="DN9" i="5"/>
  <c r="DO9" i="5"/>
  <c r="DP9" i="5"/>
  <c r="DQ9" i="5"/>
  <c r="DR9" i="5"/>
  <c r="DS9" i="5"/>
  <c r="DT9" i="5"/>
  <c r="DU9" i="5"/>
  <c r="DV9" i="5"/>
  <c r="DW9" i="5"/>
  <c r="DX9" i="5"/>
  <c r="DY9" i="5"/>
  <c r="DZ9" i="5"/>
  <c r="EA9" i="5"/>
  <c r="EB9" i="5"/>
  <c r="EC9" i="5"/>
  <c r="ED9" i="5"/>
  <c r="EE9" i="5"/>
  <c r="EF9" i="5"/>
  <c r="EG9" i="5"/>
  <c r="EH9" i="5"/>
  <c r="EI9" i="5"/>
  <c r="EJ9" i="5"/>
  <c r="EK9" i="5"/>
  <c r="EL9" i="5"/>
  <c r="EM9" i="5"/>
  <c r="EN9" i="5"/>
  <c r="EO9" i="5"/>
  <c r="EP9" i="5"/>
  <c r="EQ9" i="5"/>
  <c r="ER9" i="5"/>
  <c r="ES9" i="5"/>
  <c r="ET9" i="5"/>
  <c r="EU9" i="5"/>
  <c r="EV9" i="5"/>
  <c r="EW9" i="5"/>
  <c r="EX9" i="5"/>
  <c r="EY9" i="5"/>
  <c r="EZ9" i="5"/>
  <c r="FA9" i="5"/>
  <c r="FB9" i="5"/>
  <c r="FC9" i="5"/>
  <c r="FD9" i="5"/>
  <c r="FE9" i="5"/>
  <c r="FF9" i="5"/>
  <c r="FG9" i="5"/>
  <c r="FH9" i="5"/>
  <c r="FI9" i="5"/>
  <c r="FJ9" i="5"/>
  <c r="FK9" i="5"/>
  <c r="FL9" i="5"/>
  <c r="FM9" i="5"/>
  <c r="FN9" i="5"/>
  <c r="FO9" i="5"/>
  <c r="FP9" i="5"/>
  <c r="FQ9" i="5"/>
  <c r="FR9" i="5"/>
  <c r="FS9" i="5"/>
  <c r="FT9" i="5"/>
  <c r="FU9" i="5"/>
  <c r="FV9" i="5"/>
  <c r="FW9" i="5"/>
  <c r="FX9" i="5"/>
  <c r="FY9" i="5"/>
  <c r="FZ9" i="5"/>
  <c r="GA9" i="5"/>
  <c r="GB9" i="5"/>
  <c r="GC9" i="5"/>
  <c r="GD9" i="5"/>
  <c r="GE9" i="5"/>
  <c r="GF9" i="5"/>
  <c r="GG9" i="5"/>
  <c r="GH9" i="5"/>
  <c r="GI9" i="5"/>
  <c r="GJ9" i="5"/>
  <c r="GK9" i="5"/>
  <c r="GL9" i="5"/>
  <c r="GM9" i="5"/>
  <c r="GN9" i="5"/>
  <c r="GO9" i="5"/>
  <c r="GP9" i="5"/>
  <c r="GQ9" i="5"/>
  <c r="GR9" i="5"/>
  <c r="GS9" i="5"/>
  <c r="GT9" i="5"/>
  <c r="GU9" i="5"/>
  <c r="GV9" i="5"/>
  <c r="GW9" i="5"/>
  <c r="GX9" i="5"/>
  <c r="GY9" i="5"/>
  <c r="GZ9" i="5"/>
  <c r="HA9" i="5"/>
  <c r="HB9" i="5"/>
  <c r="HC9" i="5"/>
  <c r="HD9" i="5"/>
  <c r="HE9" i="5"/>
  <c r="HF9" i="5"/>
  <c r="HG9" i="5"/>
  <c r="HH9" i="5"/>
  <c r="HI9" i="5"/>
  <c r="HJ9" i="5"/>
  <c r="HK9" i="5"/>
  <c r="HL9" i="5"/>
  <c r="HM9" i="5"/>
  <c r="HN9" i="5"/>
  <c r="HO9" i="5"/>
  <c r="HP9" i="5"/>
  <c r="HQ9" i="5"/>
  <c r="HR9" i="5"/>
  <c r="HS9" i="5"/>
  <c r="HT9" i="5"/>
  <c r="HU9" i="5"/>
  <c r="HV9" i="5"/>
  <c r="HW9" i="5"/>
  <c r="HX9" i="5"/>
  <c r="HY9" i="5"/>
  <c r="HZ9" i="5"/>
  <c r="IA9" i="5"/>
  <c r="IB9" i="5"/>
  <c r="IC9" i="5"/>
  <c r="ID9" i="5"/>
  <c r="IE9" i="5"/>
  <c r="IF9" i="5"/>
  <c r="IG9" i="5"/>
  <c r="IH9" i="5"/>
  <c r="II9" i="5"/>
  <c r="IJ9" i="5"/>
  <c r="IK9" i="5"/>
  <c r="IL9" i="5"/>
  <c r="IM9" i="5"/>
  <c r="IN9" i="5"/>
  <c r="IO9" i="5"/>
  <c r="IP9" i="5"/>
  <c r="IQ9" i="5"/>
  <c r="IR9" i="5"/>
  <c r="IS9" i="5"/>
  <c r="IT9" i="5"/>
  <c r="IU9" i="5"/>
  <c r="IV9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BT8" i="5"/>
  <c r="BU8" i="5"/>
  <c r="BV8" i="5"/>
  <c r="BW8" i="5"/>
  <c r="BX8" i="5"/>
  <c r="BY8" i="5"/>
  <c r="BZ8" i="5"/>
  <c r="CA8" i="5"/>
  <c r="CB8" i="5"/>
  <c r="CC8" i="5"/>
  <c r="CD8" i="5"/>
  <c r="CE8" i="5"/>
  <c r="CF8" i="5"/>
  <c r="CG8" i="5"/>
  <c r="CH8" i="5"/>
  <c r="CI8" i="5"/>
  <c r="CJ8" i="5"/>
  <c r="CK8" i="5"/>
  <c r="CL8" i="5"/>
  <c r="CM8" i="5"/>
  <c r="CN8" i="5"/>
  <c r="CO8" i="5"/>
  <c r="CP8" i="5"/>
  <c r="CQ8" i="5"/>
  <c r="CR8" i="5"/>
  <c r="CS8" i="5"/>
  <c r="CT8" i="5"/>
  <c r="CU8" i="5"/>
  <c r="CV8" i="5"/>
  <c r="CW8" i="5"/>
  <c r="CX8" i="5"/>
  <c r="CY8" i="5"/>
  <c r="CZ8" i="5"/>
  <c r="DA8" i="5"/>
  <c r="DB8" i="5"/>
  <c r="DC8" i="5"/>
  <c r="DD8" i="5"/>
  <c r="DE8" i="5"/>
  <c r="DF8" i="5"/>
  <c r="DG8" i="5"/>
  <c r="DH8" i="5"/>
  <c r="DI8" i="5"/>
  <c r="DJ8" i="5"/>
  <c r="DK8" i="5"/>
  <c r="DL8" i="5"/>
  <c r="DM8" i="5"/>
  <c r="DN8" i="5"/>
  <c r="DO8" i="5"/>
  <c r="DP8" i="5"/>
  <c r="DQ8" i="5"/>
  <c r="DR8" i="5"/>
  <c r="DS8" i="5"/>
  <c r="DT8" i="5"/>
  <c r="DU8" i="5"/>
  <c r="DV8" i="5"/>
  <c r="DW8" i="5"/>
  <c r="DX8" i="5"/>
  <c r="DY8" i="5"/>
  <c r="DZ8" i="5"/>
  <c r="EA8" i="5"/>
  <c r="EB8" i="5"/>
  <c r="EC8" i="5"/>
  <c r="ED8" i="5"/>
  <c r="EE8" i="5"/>
  <c r="EF8" i="5"/>
  <c r="EG8" i="5"/>
  <c r="EH8" i="5"/>
  <c r="EI8" i="5"/>
  <c r="EJ8" i="5"/>
  <c r="EK8" i="5"/>
  <c r="EL8" i="5"/>
  <c r="EM8" i="5"/>
  <c r="EN8" i="5"/>
  <c r="EO8" i="5"/>
  <c r="EP8" i="5"/>
  <c r="EQ8" i="5"/>
  <c r="ER8" i="5"/>
  <c r="ES8" i="5"/>
  <c r="ET8" i="5"/>
  <c r="EU8" i="5"/>
  <c r="EV8" i="5"/>
  <c r="EW8" i="5"/>
  <c r="EX8" i="5"/>
  <c r="EY8" i="5"/>
  <c r="EZ8" i="5"/>
  <c r="FA8" i="5"/>
  <c r="FB8" i="5"/>
  <c r="FC8" i="5"/>
  <c r="FD8" i="5"/>
  <c r="FE8" i="5"/>
  <c r="FF8" i="5"/>
  <c r="FG8" i="5"/>
  <c r="FH8" i="5"/>
  <c r="FI8" i="5"/>
  <c r="FJ8" i="5"/>
  <c r="FK8" i="5"/>
  <c r="FL8" i="5"/>
  <c r="FM8" i="5"/>
  <c r="FN8" i="5"/>
  <c r="FO8" i="5"/>
  <c r="FP8" i="5"/>
  <c r="FQ8" i="5"/>
  <c r="FR8" i="5"/>
  <c r="FS8" i="5"/>
  <c r="FT8" i="5"/>
  <c r="FU8" i="5"/>
  <c r="FV8" i="5"/>
  <c r="FW8" i="5"/>
  <c r="FX8" i="5"/>
  <c r="FY8" i="5"/>
  <c r="FZ8" i="5"/>
  <c r="GA8" i="5"/>
  <c r="GB8" i="5"/>
  <c r="GC8" i="5"/>
  <c r="GD8" i="5"/>
  <c r="GE8" i="5"/>
  <c r="GF8" i="5"/>
  <c r="GG8" i="5"/>
  <c r="GH8" i="5"/>
  <c r="GI8" i="5"/>
  <c r="GJ8" i="5"/>
  <c r="GK8" i="5"/>
  <c r="GL8" i="5"/>
  <c r="GM8" i="5"/>
  <c r="GN8" i="5"/>
  <c r="GO8" i="5"/>
  <c r="GP8" i="5"/>
  <c r="GQ8" i="5"/>
  <c r="GR8" i="5"/>
  <c r="GS8" i="5"/>
  <c r="GT8" i="5"/>
  <c r="GU8" i="5"/>
  <c r="GV8" i="5"/>
  <c r="GW8" i="5"/>
  <c r="GX8" i="5"/>
  <c r="GY8" i="5"/>
  <c r="GZ8" i="5"/>
  <c r="HA8" i="5"/>
  <c r="HB8" i="5"/>
  <c r="HC8" i="5"/>
  <c r="HD8" i="5"/>
  <c r="HE8" i="5"/>
  <c r="HF8" i="5"/>
  <c r="HG8" i="5"/>
  <c r="HH8" i="5"/>
  <c r="HI8" i="5"/>
  <c r="HJ8" i="5"/>
  <c r="HK8" i="5"/>
  <c r="HL8" i="5"/>
  <c r="HM8" i="5"/>
  <c r="HN8" i="5"/>
  <c r="HO8" i="5"/>
  <c r="HP8" i="5"/>
  <c r="HQ8" i="5"/>
  <c r="HR8" i="5"/>
  <c r="HS8" i="5"/>
  <c r="HT8" i="5"/>
  <c r="HU8" i="5"/>
  <c r="HV8" i="5"/>
  <c r="HW8" i="5"/>
  <c r="HX8" i="5"/>
  <c r="HY8" i="5"/>
  <c r="HZ8" i="5"/>
  <c r="IA8" i="5"/>
  <c r="IB8" i="5"/>
  <c r="IC8" i="5"/>
  <c r="ID8" i="5"/>
  <c r="IE8" i="5"/>
  <c r="IF8" i="5"/>
  <c r="IG8" i="5"/>
  <c r="IH8" i="5"/>
  <c r="II8" i="5"/>
  <c r="IJ8" i="5"/>
  <c r="IK8" i="5"/>
  <c r="IL8" i="5"/>
  <c r="IM8" i="5"/>
  <c r="IN8" i="5"/>
  <c r="IO8" i="5"/>
  <c r="IP8" i="5"/>
  <c r="IQ8" i="5"/>
  <c r="IR8" i="5"/>
  <c r="IS8" i="5"/>
  <c r="IT8" i="5"/>
  <c r="IU8" i="5"/>
  <c r="IV8" i="5"/>
  <c r="A7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DN7" i="5"/>
  <c r="DO7" i="5"/>
  <c r="DP7" i="5"/>
  <c r="DQ7" i="5"/>
  <c r="DR7" i="5"/>
  <c r="DS7" i="5"/>
  <c r="DT7" i="5"/>
  <c r="DU7" i="5"/>
  <c r="DV7" i="5"/>
  <c r="DW7" i="5"/>
  <c r="DX7" i="5"/>
  <c r="DY7" i="5"/>
  <c r="DZ7" i="5"/>
  <c r="EA7" i="5"/>
  <c r="EB7" i="5"/>
  <c r="EC7" i="5"/>
  <c r="ED7" i="5"/>
  <c r="EE7" i="5"/>
  <c r="EF7" i="5"/>
  <c r="EG7" i="5"/>
  <c r="EH7" i="5"/>
  <c r="EI7" i="5"/>
  <c r="EJ7" i="5"/>
  <c r="EK7" i="5"/>
  <c r="EL7" i="5"/>
  <c r="EM7" i="5"/>
  <c r="EN7" i="5"/>
  <c r="EO7" i="5"/>
  <c r="EP7" i="5"/>
  <c r="EQ7" i="5"/>
  <c r="ER7" i="5"/>
  <c r="ES7" i="5"/>
  <c r="ET7" i="5"/>
  <c r="EU7" i="5"/>
  <c r="EV7" i="5"/>
  <c r="EW7" i="5"/>
  <c r="EX7" i="5"/>
  <c r="EY7" i="5"/>
  <c r="EZ7" i="5"/>
  <c r="FA7" i="5"/>
  <c r="FB7" i="5"/>
  <c r="FC7" i="5"/>
  <c r="FD7" i="5"/>
  <c r="FE7" i="5"/>
  <c r="FF7" i="5"/>
  <c r="FG7" i="5"/>
  <c r="FH7" i="5"/>
  <c r="FI7" i="5"/>
  <c r="FJ7" i="5"/>
  <c r="FK7" i="5"/>
  <c r="FL7" i="5"/>
  <c r="FM7" i="5"/>
  <c r="FN7" i="5"/>
  <c r="FO7" i="5"/>
  <c r="FP7" i="5"/>
  <c r="FQ7" i="5"/>
  <c r="FR7" i="5"/>
  <c r="FS7" i="5"/>
  <c r="FT7" i="5"/>
  <c r="FU7" i="5"/>
  <c r="FV7" i="5"/>
  <c r="FW7" i="5"/>
  <c r="FX7" i="5"/>
  <c r="FY7" i="5"/>
  <c r="FZ7" i="5"/>
  <c r="GA7" i="5"/>
  <c r="GB7" i="5"/>
  <c r="GC7" i="5"/>
  <c r="GD7" i="5"/>
  <c r="GE7" i="5"/>
  <c r="GF7" i="5"/>
  <c r="GG7" i="5"/>
  <c r="GH7" i="5"/>
  <c r="GI7" i="5"/>
  <c r="GJ7" i="5"/>
  <c r="GK7" i="5"/>
  <c r="GL7" i="5"/>
  <c r="GM7" i="5"/>
  <c r="GN7" i="5"/>
  <c r="GO7" i="5"/>
  <c r="GP7" i="5"/>
  <c r="GQ7" i="5"/>
  <c r="GR7" i="5"/>
  <c r="GS7" i="5"/>
  <c r="GT7" i="5"/>
  <c r="GU7" i="5"/>
  <c r="GV7" i="5"/>
  <c r="GW7" i="5"/>
  <c r="GX7" i="5"/>
  <c r="GY7" i="5"/>
  <c r="GZ7" i="5"/>
  <c r="HA7" i="5"/>
  <c r="HB7" i="5"/>
  <c r="HC7" i="5"/>
  <c r="HD7" i="5"/>
  <c r="HE7" i="5"/>
  <c r="HF7" i="5"/>
  <c r="HG7" i="5"/>
  <c r="HH7" i="5"/>
  <c r="HI7" i="5"/>
  <c r="HJ7" i="5"/>
  <c r="HK7" i="5"/>
  <c r="HL7" i="5"/>
  <c r="HM7" i="5"/>
  <c r="HN7" i="5"/>
  <c r="HO7" i="5"/>
  <c r="HP7" i="5"/>
  <c r="HQ7" i="5"/>
  <c r="HR7" i="5"/>
  <c r="HS7" i="5"/>
  <c r="HT7" i="5"/>
  <c r="HU7" i="5"/>
  <c r="HV7" i="5"/>
  <c r="HW7" i="5"/>
  <c r="HX7" i="5"/>
  <c r="HY7" i="5"/>
  <c r="HZ7" i="5"/>
  <c r="IA7" i="5"/>
  <c r="IB7" i="5"/>
  <c r="IC7" i="5"/>
  <c r="ID7" i="5"/>
  <c r="IE7" i="5"/>
  <c r="IF7" i="5"/>
  <c r="IG7" i="5"/>
  <c r="IH7" i="5"/>
  <c r="II7" i="5"/>
  <c r="IJ7" i="5"/>
  <c r="IK7" i="5"/>
  <c r="IL7" i="5"/>
  <c r="IM7" i="5"/>
  <c r="IN7" i="5"/>
  <c r="IO7" i="5"/>
  <c r="IP7" i="5"/>
  <c r="IQ7" i="5"/>
  <c r="IR7" i="5"/>
  <c r="IS7" i="5"/>
  <c r="IT7" i="5"/>
  <c r="IU7" i="5"/>
  <c r="IV7" i="5"/>
  <c r="A6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DG6" i="5"/>
  <c r="DH6" i="5"/>
  <c r="DI6" i="5"/>
  <c r="DJ6" i="5"/>
  <c r="DK6" i="5"/>
  <c r="DL6" i="5"/>
  <c r="DM6" i="5"/>
  <c r="DN6" i="5"/>
  <c r="DO6" i="5"/>
  <c r="DP6" i="5"/>
  <c r="DQ6" i="5"/>
  <c r="DR6" i="5"/>
  <c r="DS6" i="5"/>
  <c r="DT6" i="5"/>
  <c r="DU6" i="5"/>
  <c r="DV6" i="5"/>
  <c r="DW6" i="5"/>
  <c r="DX6" i="5"/>
  <c r="DY6" i="5"/>
  <c r="DZ6" i="5"/>
  <c r="EA6" i="5"/>
  <c r="EB6" i="5"/>
  <c r="EC6" i="5"/>
  <c r="ED6" i="5"/>
  <c r="EE6" i="5"/>
  <c r="EF6" i="5"/>
  <c r="EG6" i="5"/>
  <c r="EH6" i="5"/>
  <c r="EI6" i="5"/>
  <c r="EJ6" i="5"/>
  <c r="EK6" i="5"/>
  <c r="EL6" i="5"/>
  <c r="EM6" i="5"/>
  <c r="EN6" i="5"/>
  <c r="EO6" i="5"/>
  <c r="EP6" i="5"/>
  <c r="EQ6" i="5"/>
  <c r="ER6" i="5"/>
  <c r="ES6" i="5"/>
  <c r="ET6" i="5"/>
  <c r="EU6" i="5"/>
  <c r="EV6" i="5"/>
  <c r="EW6" i="5"/>
  <c r="EX6" i="5"/>
  <c r="EY6" i="5"/>
  <c r="EZ6" i="5"/>
  <c r="FA6" i="5"/>
  <c r="FB6" i="5"/>
  <c r="FC6" i="5"/>
  <c r="FD6" i="5"/>
  <c r="FE6" i="5"/>
  <c r="FF6" i="5"/>
  <c r="FG6" i="5"/>
  <c r="FH6" i="5"/>
  <c r="FI6" i="5"/>
  <c r="FJ6" i="5"/>
  <c r="FK6" i="5"/>
  <c r="FL6" i="5"/>
  <c r="FM6" i="5"/>
  <c r="FN6" i="5"/>
  <c r="FO6" i="5"/>
  <c r="FP6" i="5"/>
  <c r="FQ6" i="5"/>
  <c r="FR6" i="5"/>
  <c r="FS6" i="5"/>
  <c r="FT6" i="5"/>
  <c r="FU6" i="5"/>
  <c r="FV6" i="5"/>
  <c r="FW6" i="5"/>
  <c r="FX6" i="5"/>
  <c r="FY6" i="5"/>
  <c r="FZ6" i="5"/>
  <c r="GA6" i="5"/>
  <c r="GB6" i="5"/>
  <c r="GC6" i="5"/>
  <c r="GD6" i="5"/>
  <c r="GE6" i="5"/>
  <c r="GF6" i="5"/>
  <c r="GG6" i="5"/>
  <c r="GH6" i="5"/>
  <c r="GI6" i="5"/>
  <c r="GJ6" i="5"/>
  <c r="GK6" i="5"/>
  <c r="GL6" i="5"/>
  <c r="GM6" i="5"/>
  <c r="GN6" i="5"/>
  <c r="GO6" i="5"/>
  <c r="GP6" i="5"/>
  <c r="GQ6" i="5"/>
  <c r="GR6" i="5"/>
  <c r="GS6" i="5"/>
  <c r="GT6" i="5"/>
  <c r="GU6" i="5"/>
  <c r="GV6" i="5"/>
  <c r="GW6" i="5"/>
  <c r="GX6" i="5"/>
  <c r="GY6" i="5"/>
  <c r="GZ6" i="5"/>
  <c r="HA6" i="5"/>
  <c r="HB6" i="5"/>
  <c r="HC6" i="5"/>
  <c r="HD6" i="5"/>
  <c r="HE6" i="5"/>
  <c r="HF6" i="5"/>
  <c r="HG6" i="5"/>
  <c r="HH6" i="5"/>
  <c r="HI6" i="5"/>
  <c r="HJ6" i="5"/>
  <c r="HK6" i="5"/>
  <c r="HL6" i="5"/>
  <c r="HM6" i="5"/>
  <c r="HN6" i="5"/>
  <c r="HO6" i="5"/>
  <c r="HP6" i="5"/>
  <c r="HQ6" i="5"/>
  <c r="HR6" i="5"/>
  <c r="HS6" i="5"/>
  <c r="HT6" i="5"/>
  <c r="HU6" i="5"/>
  <c r="HV6" i="5"/>
  <c r="HW6" i="5"/>
  <c r="HX6" i="5"/>
  <c r="HY6" i="5"/>
  <c r="HZ6" i="5"/>
  <c r="IA6" i="5"/>
  <c r="IB6" i="5"/>
  <c r="IC6" i="5"/>
  <c r="ID6" i="5"/>
  <c r="IE6" i="5"/>
  <c r="IF6" i="5"/>
  <c r="IG6" i="5"/>
  <c r="IH6" i="5"/>
  <c r="II6" i="5"/>
  <c r="IJ6" i="5"/>
  <c r="IK6" i="5"/>
  <c r="IL6" i="5"/>
  <c r="IM6" i="5"/>
  <c r="IN6" i="5"/>
  <c r="IO6" i="5"/>
  <c r="IP6" i="5"/>
  <c r="IQ6" i="5"/>
  <c r="IR6" i="5"/>
  <c r="IS6" i="5"/>
  <c r="IT6" i="5"/>
  <c r="IU6" i="5"/>
  <c r="IV6" i="5"/>
  <c r="A5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5" i="5"/>
  <c r="DK5" i="5"/>
  <c r="DL5" i="5"/>
  <c r="DM5" i="5"/>
  <c r="DN5" i="5"/>
  <c r="DO5" i="5"/>
  <c r="DP5" i="5"/>
  <c r="DQ5" i="5"/>
  <c r="DR5" i="5"/>
  <c r="DS5" i="5"/>
  <c r="DT5" i="5"/>
  <c r="DU5" i="5"/>
  <c r="DV5" i="5"/>
  <c r="DW5" i="5"/>
  <c r="DX5" i="5"/>
  <c r="DY5" i="5"/>
  <c r="DZ5" i="5"/>
  <c r="EA5" i="5"/>
  <c r="EB5" i="5"/>
  <c r="EC5" i="5"/>
  <c r="ED5" i="5"/>
  <c r="EE5" i="5"/>
  <c r="EF5" i="5"/>
  <c r="EG5" i="5"/>
  <c r="EH5" i="5"/>
  <c r="EI5" i="5"/>
  <c r="EJ5" i="5"/>
  <c r="EK5" i="5"/>
  <c r="EL5" i="5"/>
  <c r="EM5" i="5"/>
  <c r="EN5" i="5"/>
  <c r="EO5" i="5"/>
  <c r="EP5" i="5"/>
  <c r="EQ5" i="5"/>
  <c r="ER5" i="5"/>
  <c r="ES5" i="5"/>
  <c r="ET5" i="5"/>
  <c r="EU5" i="5"/>
  <c r="EV5" i="5"/>
  <c r="EW5" i="5"/>
  <c r="EX5" i="5"/>
  <c r="EY5" i="5"/>
  <c r="EZ5" i="5"/>
  <c r="FA5" i="5"/>
  <c r="FB5" i="5"/>
  <c r="FC5" i="5"/>
  <c r="FD5" i="5"/>
  <c r="FE5" i="5"/>
  <c r="FF5" i="5"/>
  <c r="FG5" i="5"/>
  <c r="FH5" i="5"/>
  <c r="FI5" i="5"/>
  <c r="FJ5" i="5"/>
  <c r="FK5" i="5"/>
  <c r="FL5" i="5"/>
  <c r="FM5" i="5"/>
  <c r="FN5" i="5"/>
  <c r="FO5" i="5"/>
  <c r="FP5" i="5"/>
  <c r="FQ5" i="5"/>
  <c r="FR5" i="5"/>
  <c r="FS5" i="5"/>
  <c r="FT5" i="5"/>
  <c r="FU5" i="5"/>
  <c r="FV5" i="5"/>
  <c r="FW5" i="5"/>
  <c r="FX5" i="5"/>
  <c r="FY5" i="5"/>
  <c r="FZ5" i="5"/>
  <c r="GA5" i="5"/>
  <c r="GB5" i="5"/>
  <c r="GC5" i="5"/>
  <c r="GD5" i="5"/>
  <c r="GE5" i="5"/>
  <c r="GF5" i="5"/>
  <c r="GG5" i="5"/>
  <c r="GH5" i="5"/>
  <c r="GI5" i="5"/>
  <c r="GJ5" i="5"/>
  <c r="GK5" i="5"/>
  <c r="GL5" i="5"/>
  <c r="GM5" i="5"/>
  <c r="GN5" i="5"/>
  <c r="GO5" i="5"/>
  <c r="GP5" i="5"/>
  <c r="GQ5" i="5"/>
  <c r="GR5" i="5"/>
  <c r="GS5" i="5"/>
  <c r="GT5" i="5"/>
  <c r="GU5" i="5"/>
  <c r="GV5" i="5"/>
  <c r="GW5" i="5"/>
  <c r="GX5" i="5"/>
  <c r="GY5" i="5"/>
  <c r="GZ5" i="5"/>
  <c r="HA5" i="5"/>
  <c r="HB5" i="5"/>
  <c r="HC5" i="5"/>
  <c r="HD5" i="5"/>
  <c r="HE5" i="5"/>
  <c r="HF5" i="5"/>
  <c r="HG5" i="5"/>
  <c r="HH5" i="5"/>
  <c r="HI5" i="5"/>
  <c r="HJ5" i="5"/>
  <c r="HK5" i="5"/>
  <c r="HL5" i="5"/>
  <c r="HM5" i="5"/>
  <c r="HN5" i="5"/>
  <c r="HO5" i="5"/>
  <c r="HP5" i="5"/>
  <c r="HQ5" i="5"/>
  <c r="HR5" i="5"/>
  <c r="HS5" i="5"/>
  <c r="HT5" i="5"/>
  <c r="HU5" i="5"/>
  <c r="HV5" i="5"/>
  <c r="HW5" i="5"/>
  <c r="HX5" i="5"/>
  <c r="HY5" i="5"/>
  <c r="HZ5" i="5"/>
  <c r="IA5" i="5"/>
  <c r="IB5" i="5"/>
  <c r="IC5" i="5"/>
  <c r="ID5" i="5"/>
  <c r="IE5" i="5"/>
  <c r="IF5" i="5"/>
  <c r="IG5" i="5"/>
  <c r="IH5" i="5"/>
  <c r="II5" i="5"/>
  <c r="IJ5" i="5"/>
  <c r="IK5" i="5"/>
  <c r="IL5" i="5"/>
  <c r="IM5" i="5"/>
  <c r="IN5" i="5"/>
  <c r="IO5" i="5"/>
  <c r="IP5" i="5"/>
  <c r="IQ5" i="5"/>
  <c r="IR5" i="5"/>
  <c r="IS5" i="5"/>
  <c r="IT5" i="5"/>
  <c r="IU5" i="5"/>
  <c r="IV5" i="5"/>
  <c r="A4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DG4" i="5"/>
  <c r="DH4" i="5"/>
  <c r="DI4" i="5"/>
  <c r="DJ4" i="5"/>
  <c r="DK4" i="5"/>
  <c r="DL4" i="5"/>
  <c r="DM4" i="5"/>
  <c r="DN4" i="5"/>
  <c r="DO4" i="5"/>
  <c r="DP4" i="5"/>
  <c r="DQ4" i="5"/>
  <c r="DR4" i="5"/>
  <c r="DS4" i="5"/>
  <c r="DT4" i="5"/>
  <c r="DU4" i="5"/>
  <c r="DV4" i="5"/>
  <c r="DW4" i="5"/>
  <c r="DX4" i="5"/>
  <c r="DY4" i="5"/>
  <c r="DZ4" i="5"/>
  <c r="EA4" i="5"/>
  <c r="EB4" i="5"/>
  <c r="EC4" i="5"/>
  <c r="ED4" i="5"/>
  <c r="EE4" i="5"/>
  <c r="EF4" i="5"/>
  <c r="EG4" i="5"/>
  <c r="EH4" i="5"/>
  <c r="EI4" i="5"/>
  <c r="EJ4" i="5"/>
  <c r="EK4" i="5"/>
  <c r="EL4" i="5"/>
  <c r="EM4" i="5"/>
  <c r="EN4" i="5"/>
  <c r="EO4" i="5"/>
  <c r="EP4" i="5"/>
  <c r="EQ4" i="5"/>
  <c r="ER4" i="5"/>
  <c r="ES4" i="5"/>
  <c r="ET4" i="5"/>
  <c r="EU4" i="5"/>
  <c r="EV4" i="5"/>
  <c r="EW4" i="5"/>
  <c r="EX4" i="5"/>
  <c r="EY4" i="5"/>
  <c r="EZ4" i="5"/>
  <c r="FA4" i="5"/>
  <c r="FB4" i="5"/>
  <c r="FC4" i="5"/>
  <c r="FD4" i="5"/>
  <c r="FE4" i="5"/>
  <c r="FF4" i="5"/>
  <c r="FG4" i="5"/>
  <c r="FH4" i="5"/>
  <c r="FI4" i="5"/>
  <c r="FJ4" i="5"/>
  <c r="FK4" i="5"/>
  <c r="FL4" i="5"/>
  <c r="FM4" i="5"/>
  <c r="FN4" i="5"/>
  <c r="FO4" i="5"/>
  <c r="FP4" i="5"/>
  <c r="FQ4" i="5"/>
  <c r="FR4" i="5"/>
  <c r="FS4" i="5"/>
  <c r="FT4" i="5"/>
  <c r="FU4" i="5"/>
  <c r="FV4" i="5"/>
  <c r="FW4" i="5"/>
  <c r="FX4" i="5"/>
  <c r="FY4" i="5"/>
  <c r="FZ4" i="5"/>
  <c r="GA4" i="5"/>
  <c r="GB4" i="5"/>
  <c r="GC4" i="5"/>
  <c r="GD4" i="5"/>
  <c r="GE4" i="5"/>
  <c r="GF4" i="5"/>
  <c r="GG4" i="5"/>
  <c r="GH4" i="5"/>
  <c r="GI4" i="5"/>
  <c r="GJ4" i="5"/>
  <c r="GK4" i="5"/>
  <c r="GL4" i="5"/>
  <c r="GM4" i="5"/>
  <c r="GN4" i="5"/>
  <c r="GO4" i="5"/>
  <c r="GP4" i="5"/>
  <c r="GQ4" i="5"/>
  <c r="GR4" i="5"/>
  <c r="GS4" i="5"/>
  <c r="GT4" i="5"/>
  <c r="GU4" i="5"/>
  <c r="GV4" i="5"/>
  <c r="GW4" i="5"/>
  <c r="GX4" i="5"/>
  <c r="GY4" i="5"/>
  <c r="GZ4" i="5"/>
  <c r="HA4" i="5"/>
  <c r="HB4" i="5"/>
  <c r="HC4" i="5"/>
  <c r="HD4" i="5"/>
  <c r="HE4" i="5"/>
  <c r="HF4" i="5"/>
  <c r="HG4" i="5"/>
  <c r="HH4" i="5"/>
  <c r="HI4" i="5"/>
  <c r="HJ4" i="5"/>
  <c r="HK4" i="5"/>
  <c r="HL4" i="5"/>
  <c r="HM4" i="5"/>
  <c r="HN4" i="5"/>
  <c r="HO4" i="5"/>
  <c r="HP4" i="5"/>
  <c r="HQ4" i="5"/>
  <c r="HR4" i="5"/>
  <c r="HS4" i="5"/>
  <c r="HT4" i="5"/>
  <c r="HU4" i="5"/>
  <c r="HV4" i="5"/>
  <c r="HW4" i="5"/>
  <c r="HX4" i="5"/>
  <c r="HY4" i="5"/>
  <c r="HZ4" i="5"/>
  <c r="IA4" i="5"/>
  <c r="IB4" i="5"/>
  <c r="IC4" i="5"/>
  <c r="ID4" i="5"/>
  <c r="IE4" i="5"/>
  <c r="IF4" i="5"/>
  <c r="IG4" i="5"/>
  <c r="IH4" i="5"/>
  <c r="II4" i="5"/>
  <c r="IJ4" i="5"/>
  <c r="IK4" i="5"/>
  <c r="IL4" i="5"/>
  <c r="IM4" i="5"/>
  <c r="IN4" i="5"/>
  <c r="IO4" i="5"/>
  <c r="IP4" i="5"/>
  <c r="IQ4" i="5"/>
  <c r="IR4" i="5"/>
  <c r="IS4" i="5"/>
  <c r="IT4" i="5"/>
  <c r="IU4" i="5"/>
  <c r="IV4" i="5"/>
  <c r="A3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M3" i="5"/>
  <c r="CN3" i="5"/>
  <c r="CO3" i="5"/>
  <c r="CP3" i="5"/>
  <c r="CQ3" i="5"/>
  <c r="CR3" i="5"/>
  <c r="CS3" i="5"/>
  <c r="CT3" i="5"/>
  <c r="CU3" i="5"/>
  <c r="CV3" i="5"/>
  <c r="CW3" i="5"/>
  <c r="CX3" i="5"/>
  <c r="CY3" i="5"/>
  <c r="CZ3" i="5"/>
  <c r="DA3" i="5"/>
  <c r="DB3" i="5"/>
  <c r="DC3" i="5"/>
  <c r="DD3" i="5"/>
  <c r="DE3" i="5"/>
  <c r="DF3" i="5"/>
  <c r="DG3" i="5"/>
  <c r="DH3" i="5"/>
  <c r="DI3" i="5"/>
  <c r="DJ3" i="5"/>
  <c r="DK3" i="5"/>
  <c r="DL3" i="5"/>
  <c r="DM3" i="5"/>
  <c r="DN3" i="5"/>
  <c r="DO3" i="5"/>
  <c r="DP3" i="5"/>
  <c r="DQ3" i="5"/>
  <c r="DR3" i="5"/>
  <c r="DS3" i="5"/>
  <c r="DT3" i="5"/>
  <c r="DU3" i="5"/>
  <c r="DV3" i="5"/>
  <c r="DW3" i="5"/>
  <c r="DX3" i="5"/>
  <c r="DY3" i="5"/>
  <c r="DZ3" i="5"/>
  <c r="EA3" i="5"/>
  <c r="EB3" i="5"/>
  <c r="EC3" i="5"/>
  <c r="ED3" i="5"/>
  <c r="EE3" i="5"/>
  <c r="EF3" i="5"/>
  <c r="EG3" i="5"/>
  <c r="EH3" i="5"/>
  <c r="EI3" i="5"/>
  <c r="EJ3" i="5"/>
  <c r="EK3" i="5"/>
  <c r="EL3" i="5"/>
  <c r="EM3" i="5"/>
  <c r="EN3" i="5"/>
  <c r="EO3" i="5"/>
  <c r="EP3" i="5"/>
  <c r="EQ3" i="5"/>
  <c r="ER3" i="5"/>
  <c r="ES3" i="5"/>
  <c r="ET3" i="5"/>
  <c r="EU3" i="5"/>
  <c r="EV3" i="5"/>
  <c r="EW3" i="5"/>
  <c r="EX3" i="5"/>
  <c r="EY3" i="5"/>
  <c r="EZ3" i="5"/>
  <c r="FA3" i="5"/>
  <c r="FB3" i="5"/>
  <c r="FC3" i="5"/>
  <c r="FD3" i="5"/>
  <c r="FE3" i="5"/>
  <c r="FF3" i="5"/>
  <c r="FG3" i="5"/>
  <c r="FH3" i="5"/>
  <c r="FI3" i="5"/>
  <c r="FJ3" i="5"/>
  <c r="FK3" i="5"/>
  <c r="FL3" i="5"/>
  <c r="FM3" i="5"/>
  <c r="FN3" i="5"/>
  <c r="FO3" i="5"/>
  <c r="FP3" i="5"/>
  <c r="FQ3" i="5"/>
  <c r="FR3" i="5"/>
  <c r="FS3" i="5"/>
  <c r="FT3" i="5"/>
  <c r="FU3" i="5"/>
  <c r="FV3" i="5"/>
  <c r="FW3" i="5"/>
  <c r="FX3" i="5"/>
  <c r="FY3" i="5"/>
  <c r="FZ3" i="5"/>
  <c r="GA3" i="5"/>
  <c r="GB3" i="5"/>
  <c r="GC3" i="5"/>
  <c r="GD3" i="5"/>
  <c r="GE3" i="5"/>
  <c r="GF3" i="5"/>
  <c r="GG3" i="5"/>
  <c r="GH3" i="5"/>
  <c r="GI3" i="5"/>
  <c r="GJ3" i="5"/>
  <c r="GK3" i="5"/>
  <c r="GL3" i="5"/>
  <c r="GM3" i="5"/>
  <c r="GN3" i="5"/>
  <c r="GO3" i="5"/>
  <c r="GP3" i="5"/>
  <c r="GQ3" i="5"/>
  <c r="GR3" i="5"/>
  <c r="GS3" i="5"/>
  <c r="GT3" i="5"/>
  <c r="GU3" i="5"/>
  <c r="GV3" i="5"/>
  <c r="GW3" i="5"/>
  <c r="GX3" i="5"/>
  <c r="GY3" i="5"/>
  <c r="GZ3" i="5"/>
  <c r="HA3" i="5"/>
  <c r="HB3" i="5"/>
  <c r="HC3" i="5"/>
  <c r="HD3" i="5"/>
  <c r="HE3" i="5"/>
  <c r="HF3" i="5"/>
  <c r="HG3" i="5"/>
  <c r="HH3" i="5"/>
  <c r="HI3" i="5"/>
  <c r="HJ3" i="5"/>
  <c r="HK3" i="5"/>
  <c r="HL3" i="5"/>
  <c r="HM3" i="5"/>
  <c r="HN3" i="5"/>
  <c r="HO3" i="5"/>
  <c r="HP3" i="5"/>
  <c r="HQ3" i="5"/>
  <c r="HR3" i="5"/>
  <c r="HS3" i="5"/>
  <c r="HT3" i="5"/>
  <c r="HU3" i="5"/>
  <c r="HV3" i="5"/>
  <c r="HW3" i="5"/>
  <c r="HX3" i="5"/>
  <c r="HY3" i="5"/>
  <c r="HZ3" i="5"/>
  <c r="IA3" i="5"/>
  <c r="IB3" i="5"/>
  <c r="IC3" i="5"/>
  <c r="ID3" i="5"/>
  <c r="IE3" i="5"/>
  <c r="IF3" i="5"/>
  <c r="IG3" i="5"/>
  <c r="IH3" i="5"/>
  <c r="II3" i="5"/>
  <c r="IJ3" i="5"/>
  <c r="IK3" i="5"/>
  <c r="IL3" i="5"/>
  <c r="IM3" i="5"/>
  <c r="IN3" i="5"/>
  <c r="IO3" i="5"/>
  <c r="IP3" i="5"/>
  <c r="IQ3" i="5"/>
  <c r="IR3" i="5"/>
  <c r="IS3" i="5"/>
  <c r="IT3" i="5"/>
  <c r="IU3" i="5"/>
  <c r="IV3" i="5"/>
  <c r="A2" i="5"/>
  <c r="B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DN2" i="5"/>
  <c r="DO2" i="5"/>
  <c r="DP2" i="5"/>
  <c r="DQ2" i="5"/>
  <c r="DR2" i="5"/>
  <c r="DS2" i="5"/>
  <c r="DT2" i="5"/>
  <c r="DU2" i="5"/>
  <c r="DV2" i="5"/>
  <c r="DW2" i="5"/>
  <c r="DX2" i="5"/>
  <c r="DY2" i="5"/>
  <c r="DZ2" i="5"/>
  <c r="EA2" i="5"/>
  <c r="EB2" i="5"/>
  <c r="EC2" i="5"/>
  <c r="ED2" i="5"/>
  <c r="EE2" i="5"/>
  <c r="EF2" i="5"/>
  <c r="EG2" i="5"/>
  <c r="EH2" i="5"/>
  <c r="EI2" i="5"/>
  <c r="EJ2" i="5"/>
  <c r="EK2" i="5"/>
  <c r="EL2" i="5"/>
  <c r="EM2" i="5"/>
  <c r="EN2" i="5"/>
  <c r="EO2" i="5"/>
  <c r="EP2" i="5"/>
  <c r="EQ2" i="5"/>
  <c r="ER2" i="5"/>
  <c r="ES2" i="5"/>
  <c r="ET2" i="5"/>
  <c r="EU2" i="5"/>
  <c r="EV2" i="5"/>
  <c r="EW2" i="5"/>
  <c r="EX2" i="5"/>
  <c r="EY2" i="5"/>
  <c r="EZ2" i="5"/>
  <c r="FA2" i="5"/>
  <c r="FB2" i="5"/>
  <c r="FC2" i="5"/>
  <c r="FD2" i="5"/>
  <c r="FE2" i="5"/>
  <c r="FF2" i="5"/>
  <c r="FG2" i="5"/>
  <c r="FH2" i="5"/>
  <c r="FI2" i="5"/>
  <c r="FJ2" i="5"/>
  <c r="FK2" i="5"/>
  <c r="FL2" i="5"/>
  <c r="FM2" i="5"/>
  <c r="FN2" i="5"/>
  <c r="FO2" i="5"/>
  <c r="FP2" i="5"/>
  <c r="FQ2" i="5"/>
  <c r="FR2" i="5"/>
  <c r="FS2" i="5"/>
  <c r="FT2" i="5"/>
  <c r="FU2" i="5"/>
  <c r="FV2" i="5"/>
  <c r="FW2" i="5"/>
  <c r="FX2" i="5"/>
  <c r="FY2" i="5"/>
  <c r="FZ2" i="5"/>
  <c r="GA2" i="5"/>
  <c r="GB2" i="5"/>
  <c r="GC2" i="5"/>
  <c r="GD2" i="5"/>
  <c r="GE2" i="5"/>
  <c r="GF2" i="5"/>
  <c r="GG2" i="5"/>
  <c r="GH2" i="5"/>
  <c r="GI2" i="5"/>
  <c r="GJ2" i="5"/>
  <c r="GK2" i="5"/>
  <c r="GL2" i="5"/>
  <c r="GM2" i="5"/>
  <c r="GN2" i="5"/>
  <c r="GO2" i="5"/>
  <c r="GP2" i="5"/>
  <c r="GQ2" i="5"/>
  <c r="GR2" i="5"/>
  <c r="GS2" i="5"/>
  <c r="GT2" i="5"/>
  <c r="GU2" i="5"/>
  <c r="GV2" i="5"/>
  <c r="GW2" i="5"/>
  <c r="GX2" i="5"/>
  <c r="GY2" i="5"/>
  <c r="GZ2" i="5"/>
  <c r="HA2" i="5"/>
  <c r="HB2" i="5"/>
  <c r="HC2" i="5"/>
  <c r="HD2" i="5"/>
  <c r="HE2" i="5"/>
  <c r="HF2" i="5"/>
  <c r="HG2" i="5"/>
  <c r="HH2" i="5"/>
  <c r="HI2" i="5"/>
  <c r="HJ2" i="5"/>
  <c r="HK2" i="5"/>
  <c r="HL2" i="5"/>
  <c r="HM2" i="5"/>
  <c r="HN2" i="5"/>
  <c r="HO2" i="5"/>
  <c r="HP2" i="5"/>
  <c r="HQ2" i="5"/>
  <c r="HR2" i="5"/>
  <c r="HS2" i="5"/>
  <c r="HT2" i="5"/>
  <c r="HU2" i="5"/>
  <c r="HV2" i="5"/>
  <c r="HW2" i="5"/>
  <c r="HX2" i="5"/>
  <c r="HY2" i="5"/>
  <c r="HZ2" i="5"/>
  <c r="IA2" i="5"/>
  <c r="IB2" i="5"/>
  <c r="IC2" i="5"/>
  <c r="ID2" i="5"/>
  <c r="IE2" i="5"/>
  <c r="IF2" i="5"/>
  <c r="IG2" i="5"/>
  <c r="IH2" i="5"/>
  <c r="II2" i="5"/>
  <c r="IJ2" i="5"/>
  <c r="IK2" i="5"/>
  <c r="IL2" i="5"/>
  <c r="IM2" i="5"/>
  <c r="IN2" i="5"/>
  <c r="IO2" i="5"/>
  <c r="IP2" i="5"/>
  <c r="IQ2" i="5"/>
  <c r="IR2" i="5"/>
  <c r="IS2" i="5"/>
  <c r="IT2" i="5"/>
  <c r="IU2" i="5"/>
  <c r="IV2" i="5"/>
  <c r="A1" i="5"/>
  <c r="B1" i="5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J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N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S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Y1" i="5"/>
  <c r="DZ1" i="5"/>
  <c r="EA1" i="5"/>
  <c r="EB1" i="5"/>
  <c r="EC1" i="5"/>
  <c r="ED1" i="5"/>
  <c r="EE1" i="5"/>
  <c r="EF1" i="5"/>
  <c r="EG1" i="5"/>
  <c r="EH1" i="5"/>
  <c r="EI1" i="5"/>
  <c r="EJ1" i="5"/>
  <c r="EK1" i="5"/>
  <c r="EL1" i="5"/>
  <c r="EM1" i="5"/>
  <c r="EN1" i="5"/>
  <c r="EO1" i="5"/>
  <c r="EP1" i="5"/>
  <c r="EQ1" i="5"/>
  <c r="ER1" i="5"/>
  <c r="ES1" i="5"/>
  <c r="ET1" i="5"/>
  <c r="EU1" i="5"/>
  <c r="EV1" i="5"/>
  <c r="EW1" i="5"/>
  <c r="EX1" i="5"/>
  <c r="EY1" i="5"/>
  <c r="EZ1" i="5"/>
  <c r="FA1" i="5"/>
  <c r="FB1" i="5"/>
  <c r="FC1" i="5"/>
  <c r="FD1" i="5"/>
  <c r="FE1" i="5"/>
  <c r="FF1" i="5"/>
  <c r="FG1" i="5"/>
  <c r="FH1" i="5"/>
  <c r="FI1" i="5"/>
  <c r="FJ1" i="5"/>
  <c r="FK1" i="5"/>
  <c r="FL1" i="5"/>
  <c r="FM1" i="5"/>
  <c r="FN1" i="5"/>
  <c r="FO1" i="5"/>
  <c r="FP1" i="5"/>
  <c r="FQ1" i="5"/>
  <c r="FR1" i="5"/>
  <c r="FS1" i="5"/>
  <c r="FT1" i="5"/>
  <c r="FU1" i="5"/>
  <c r="FV1" i="5"/>
  <c r="FW1" i="5"/>
  <c r="FX1" i="5"/>
  <c r="FY1" i="5"/>
  <c r="FZ1" i="5"/>
  <c r="GA1" i="5"/>
  <c r="GB1" i="5"/>
  <c r="GC1" i="5"/>
  <c r="GD1" i="5"/>
  <c r="GE1" i="5"/>
  <c r="GF1" i="5"/>
  <c r="GG1" i="5"/>
  <c r="GH1" i="5"/>
  <c r="GI1" i="5"/>
  <c r="GJ1" i="5"/>
  <c r="GK1" i="5"/>
  <c r="GL1" i="5"/>
  <c r="GM1" i="5"/>
  <c r="GN1" i="5"/>
  <c r="GO1" i="5"/>
  <c r="GP1" i="5"/>
  <c r="GQ1" i="5"/>
  <c r="GR1" i="5"/>
  <c r="GS1" i="5"/>
  <c r="GT1" i="5"/>
  <c r="GU1" i="5"/>
  <c r="GV1" i="5"/>
  <c r="GW1" i="5"/>
  <c r="GX1" i="5"/>
  <c r="GY1" i="5"/>
  <c r="GZ1" i="5"/>
  <c r="HA1" i="5"/>
  <c r="HB1" i="5"/>
  <c r="HC1" i="5"/>
  <c r="HD1" i="5"/>
  <c r="HE1" i="5"/>
  <c r="HF1" i="5"/>
  <c r="HG1" i="5"/>
  <c r="HH1" i="5"/>
  <c r="HI1" i="5"/>
  <c r="HJ1" i="5"/>
  <c r="HK1" i="5"/>
  <c r="HL1" i="5"/>
  <c r="HM1" i="5"/>
  <c r="HN1" i="5"/>
  <c r="HO1" i="5"/>
  <c r="HP1" i="5"/>
  <c r="HQ1" i="5"/>
  <c r="HR1" i="5"/>
  <c r="HS1" i="5"/>
  <c r="HT1" i="5"/>
  <c r="HU1" i="5"/>
  <c r="HV1" i="5"/>
  <c r="HW1" i="5"/>
  <c r="HX1" i="5"/>
  <c r="HY1" i="5"/>
  <c r="HZ1" i="5"/>
  <c r="IA1" i="5"/>
  <c r="IB1" i="5"/>
  <c r="IC1" i="5"/>
  <c r="ID1" i="5"/>
  <c r="IE1" i="5"/>
  <c r="IF1" i="5"/>
  <c r="IG1" i="5"/>
  <c r="IH1" i="5"/>
  <c r="II1" i="5"/>
  <c r="IJ1" i="5"/>
  <c r="IK1" i="5"/>
  <c r="IL1" i="5"/>
  <c r="IM1" i="5"/>
  <c r="IN1" i="5"/>
  <c r="IO1" i="5"/>
  <c r="IP1" i="5"/>
  <c r="IQ1" i="5"/>
  <c r="IR1" i="5"/>
  <c r="IS1" i="5"/>
  <c r="IT1" i="5"/>
  <c r="IU1" i="5"/>
  <c r="IV1" i="5"/>
</calcChain>
</file>

<file path=xl/sharedStrings.xml><?xml version="1.0" encoding="utf-8"?>
<sst xmlns="http://schemas.openxmlformats.org/spreadsheetml/2006/main" count="2015" uniqueCount="1676">
  <si>
    <t xml:space="preserve">SINIF: </t>
  </si>
  <si>
    <t>AAAAAG9q9kM=</t>
  </si>
  <si>
    <t>AAAAAC98/AA=</t>
  </si>
  <si>
    <t>SIGNATURE</t>
  </si>
  <si>
    <t>ROOM</t>
  </si>
  <si>
    <t>A310</t>
  </si>
  <si>
    <t>ALİ</t>
  </si>
  <si>
    <t>AYDIN</t>
  </si>
  <si>
    <t>TOSUN</t>
  </si>
  <si>
    <t>ARSLAN</t>
  </si>
  <si>
    <t>ASLAN</t>
  </si>
  <si>
    <t>KOÇAK</t>
  </si>
  <si>
    <t>C305</t>
  </si>
  <si>
    <t>C306</t>
  </si>
  <si>
    <t>C308</t>
  </si>
  <si>
    <t>C310</t>
  </si>
  <si>
    <t>FURKAN</t>
  </si>
  <si>
    <t>AHMED</t>
  </si>
  <si>
    <t>DOĞAN</t>
  </si>
  <si>
    <t>YILMAZ</t>
  </si>
  <si>
    <t>ELİF</t>
  </si>
  <si>
    <t>ÖZCAN</t>
  </si>
  <si>
    <t>YALÇIN</t>
  </si>
  <si>
    <t>A110</t>
  </si>
  <si>
    <t>A111</t>
  </si>
  <si>
    <t>A113</t>
  </si>
  <si>
    <t>A114</t>
  </si>
  <si>
    <t>A213</t>
  </si>
  <si>
    <t>A214</t>
  </si>
  <si>
    <t>A305</t>
  </si>
  <si>
    <t>A307</t>
  </si>
  <si>
    <t>A308</t>
  </si>
  <si>
    <t>A311</t>
  </si>
  <si>
    <t>C304</t>
  </si>
  <si>
    <t>C404</t>
  </si>
  <si>
    <t>ŞAHİN</t>
  </si>
  <si>
    <t>ŞENEL</t>
  </si>
  <si>
    <t>YAVUZ</t>
  </si>
  <si>
    <t>C204</t>
  </si>
  <si>
    <t>C205</t>
  </si>
  <si>
    <t>C206</t>
  </si>
  <si>
    <t>C208</t>
  </si>
  <si>
    <t>C209</t>
  </si>
  <si>
    <t>C211</t>
  </si>
  <si>
    <t>C213</t>
  </si>
  <si>
    <t>C215</t>
  </si>
  <si>
    <t>COŞKUN</t>
  </si>
  <si>
    <t>URAL</t>
  </si>
  <si>
    <t>ÇALIŞKAN</t>
  </si>
  <si>
    <t>DUMAN</t>
  </si>
  <si>
    <t>BARAN</t>
  </si>
  <si>
    <t>GRP1</t>
  </si>
  <si>
    <t>GRP2</t>
  </si>
  <si>
    <t>GRP3</t>
  </si>
  <si>
    <t>GRP4</t>
  </si>
  <si>
    <t>GRP5</t>
  </si>
  <si>
    <t>GRP6</t>
  </si>
  <si>
    <t>GRP7</t>
  </si>
  <si>
    <t>GRP8</t>
  </si>
  <si>
    <t>GRP9</t>
  </si>
  <si>
    <t>GRP10</t>
  </si>
  <si>
    <t>GRP11</t>
  </si>
  <si>
    <t>GRP12</t>
  </si>
  <si>
    <t>GRP13</t>
  </si>
  <si>
    <t>GRP14</t>
  </si>
  <si>
    <t>GRP15</t>
  </si>
  <si>
    <t>GRP16</t>
  </si>
  <si>
    <t>GRP17</t>
  </si>
  <si>
    <t>GRP18</t>
  </si>
  <si>
    <t>GRP19</t>
  </si>
  <si>
    <t>GRP20</t>
  </si>
  <si>
    <t>GRP21</t>
  </si>
  <si>
    <t>GRP22</t>
  </si>
  <si>
    <t>GRP23</t>
  </si>
  <si>
    <t>GRP24</t>
  </si>
  <si>
    <t>GRP25</t>
  </si>
  <si>
    <t>GRP26</t>
  </si>
  <si>
    <t>GRP27</t>
  </si>
  <si>
    <t>GRP28</t>
  </si>
  <si>
    <t>GRP29</t>
  </si>
  <si>
    <t>Emre</t>
  </si>
  <si>
    <t>Şahin</t>
  </si>
  <si>
    <t>Ebrar</t>
  </si>
  <si>
    <t>Mustafa</t>
  </si>
  <si>
    <t>Ayşegül</t>
  </si>
  <si>
    <t>Yağmur</t>
  </si>
  <si>
    <t>Merve</t>
  </si>
  <si>
    <t>İrem</t>
  </si>
  <si>
    <t>Aydın</t>
  </si>
  <si>
    <t>Berkay</t>
  </si>
  <si>
    <t>Semih</t>
  </si>
  <si>
    <t>Selçuk</t>
  </si>
  <si>
    <t>İlayda</t>
  </si>
  <si>
    <t>Sarı</t>
  </si>
  <si>
    <t>Mert</t>
  </si>
  <si>
    <t>Oğuzhan</t>
  </si>
  <si>
    <t>Esra</t>
  </si>
  <si>
    <t>ÇİFTÇİ</t>
  </si>
  <si>
    <t>Gamze</t>
  </si>
  <si>
    <t>Sena</t>
  </si>
  <si>
    <t>Sema Nur</t>
  </si>
  <si>
    <t>Betül</t>
  </si>
  <si>
    <t>Ebru</t>
  </si>
  <si>
    <t>Mine</t>
  </si>
  <si>
    <t>Turan</t>
  </si>
  <si>
    <t>Ataberk</t>
  </si>
  <si>
    <t>Kübra</t>
  </si>
  <si>
    <t>Melike</t>
  </si>
  <si>
    <t>Sena Nur</t>
  </si>
  <si>
    <t>Fatma Zehra</t>
  </si>
  <si>
    <t>Beyza</t>
  </si>
  <si>
    <t>Onur</t>
  </si>
  <si>
    <t>Melih</t>
  </si>
  <si>
    <t>Murat</t>
  </si>
  <si>
    <t>Merve Nur</t>
  </si>
  <si>
    <t>Ali</t>
  </si>
  <si>
    <t>Burak</t>
  </si>
  <si>
    <t>Eren</t>
  </si>
  <si>
    <t>Deniz</t>
  </si>
  <si>
    <t>Buse</t>
  </si>
  <si>
    <t>Ezgi</t>
  </si>
  <si>
    <t>Batuhan</t>
  </si>
  <si>
    <t>Rabia</t>
  </si>
  <si>
    <t>Elif</t>
  </si>
  <si>
    <t>Damla</t>
  </si>
  <si>
    <t>Fatih</t>
  </si>
  <si>
    <t>Zehra</t>
  </si>
  <si>
    <t>Büşra</t>
  </si>
  <si>
    <t>Rumeysa</t>
  </si>
  <si>
    <t>Zeynep</t>
  </si>
  <si>
    <t>Öymez</t>
  </si>
  <si>
    <t>Mehmet</t>
  </si>
  <si>
    <t>Gizem</t>
  </si>
  <si>
    <t>Rümeysa</t>
  </si>
  <si>
    <t>Erdem</t>
  </si>
  <si>
    <t>Ceyda</t>
  </si>
  <si>
    <t>Nisanur</t>
  </si>
  <si>
    <t>Hilal</t>
  </si>
  <si>
    <t>Abdullah</t>
  </si>
  <si>
    <t>Ayşenur</t>
  </si>
  <si>
    <t>Kılıç</t>
  </si>
  <si>
    <t>Özlem</t>
  </si>
  <si>
    <t>Muhammet Emin</t>
  </si>
  <si>
    <t>Demirci</t>
  </si>
  <si>
    <t>Nurten</t>
  </si>
  <si>
    <t>Bahadır</t>
  </si>
  <si>
    <t>Ömer Faruk</t>
  </si>
  <si>
    <t>Eda</t>
  </si>
  <si>
    <t>Sümeyye</t>
  </si>
  <si>
    <t>Arda</t>
  </si>
  <si>
    <t>Berk</t>
  </si>
  <si>
    <t>Alper</t>
  </si>
  <si>
    <t>İsmail</t>
  </si>
  <si>
    <t>Fatma</t>
  </si>
  <si>
    <t>Tuğçe</t>
  </si>
  <si>
    <t>Sinem</t>
  </si>
  <si>
    <t>Kaan</t>
  </si>
  <si>
    <t>Ehsanullah</t>
  </si>
  <si>
    <t>Ali Joma</t>
  </si>
  <si>
    <t>Demir</t>
  </si>
  <si>
    <t>Kader</t>
  </si>
  <si>
    <t>Melek</t>
  </si>
  <si>
    <t>Cansu</t>
  </si>
  <si>
    <t>19030341001</t>
  </si>
  <si>
    <t>ABBAS</t>
  </si>
  <si>
    <t>Alam</t>
  </si>
  <si>
    <t>205304101</t>
  </si>
  <si>
    <t>Abdelhak</t>
  </si>
  <si>
    <t>HADJ MIMOUNE</t>
  </si>
  <si>
    <t>185206125</t>
  </si>
  <si>
    <t>Abdınasır Muhudın Wasuge</t>
  </si>
  <si>
    <t>215206451</t>
  </si>
  <si>
    <t>Abdu</t>
  </si>
  <si>
    <t>SHUKKUR</t>
  </si>
  <si>
    <t>20720141005</t>
  </si>
  <si>
    <t>Abdul Samad</t>
  </si>
  <si>
    <t>HASHİMİ</t>
  </si>
  <si>
    <t>17050211019</t>
  </si>
  <si>
    <t>Abdulkadir</t>
  </si>
  <si>
    <t>18020311031</t>
  </si>
  <si>
    <t>Abdulkadir Berat</t>
  </si>
  <si>
    <t>ORHAN</t>
  </si>
  <si>
    <t>17020411032</t>
  </si>
  <si>
    <t>Abdülkerim</t>
  </si>
  <si>
    <t>TAŞ</t>
  </si>
  <si>
    <t>19030241003</t>
  </si>
  <si>
    <t>INAYATULLAH KHAN</t>
  </si>
  <si>
    <t>19050511019</t>
  </si>
  <si>
    <t>17080111122</t>
  </si>
  <si>
    <t>18050211056</t>
  </si>
  <si>
    <t>Abdullah Taha</t>
  </si>
  <si>
    <t>ÇAĞAN</t>
  </si>
  <si>
    <t>20070141001</t>
  </si>
  <si>
    <t>ABDULLAHI ABDIRAHMAN</t>
  </si>
  <si>
    <t>HERSI</t>
  </si>
  <si>
    <t>20020311033</t>
  </si>
  <si>
    <t>Abdurrahman</t>
  </si>
  <si>
    <t>18050341016</t>
  </si>
  <si>
    <t>Abedalaziz</t>
  </si>
  <si>
    <t>KHRAİM</t>
  </si>
  <si>
    <t>17030341007</t>
  </si>
  <si>
    <t>Abid</t>
  </si>
  <si>
    <t>KHAN</t>
  </si>
  <si>
    <t>18080111057</t>
  </si>
  <si>
    <t>Abrek Furkan</t>
  </si>
  <si>
    <t>KANDUR</t>
  </si>
  <si>
    <t>17080291008</t>
  </si>
  <si>
    <t>Adnan</t>
  </si>
  <si>
    <t>BURÇ</t>
  </si>
  <si>
    <t>17060341015</t>
  </si>
  <si>
    <t>Afrah</t>
  </si>
  <si>
    <t>20720141006</t>
  </si>
  <si>
    <t>Afrasiab</t>
  </si>
  <si>
    <t>MAHDİ</t>
  </si>
  <si>
    <t>17080141053</t>
  </si>
  <si>
    <t>Ahmad Farshad</t>
  </si>
  <si>
    <t>FAROOQI</t>
  </si>
  <si>
    <t>18070141011</t>
  </si>
  <si>
    <t>Ahmad Hussaın</t>
  </si>
  <si>
    <t>TAIMORIAN</t>
  </si>
  <si>
    <t>205203172</t>
  </si>
  <si>
    <t>Ahmad Mudassir</t>
  </si>
  <si>
    <t>AHMADİ</t>
  </si>
  <si>
    <t>21030241003</t>
  </si>
  <si>
    <t>Ahmed</t>
  </si>
  <si>
    <t>Hassan</t>
  </si>
  <si>
    <t>205223191</t>
  </si>
  <si>
    <t>Ahmed Abdi</t>
  </si>
  <si>
    <t>HAYBE</t>
  </si>
  <si>
    <t>EŞREFOĞLU</t>
  </si>
  <si>
    <t>Ali Emre</t>
  </si>
  <si>
    <t>17050511057</t>
  </si>
  <si>
    <t>SHAİBU</t>
  </si>
  <si>
    <t>195105118</t>
  </si>
  <si>
    <t>FAHD</t>
  </si>
  <si>
    <t>20090141028</t>
  </si>
  <si>
    <t>ACAR</t>
  </si>
  <si>
    <t>18030111032</t>
  </si>
  <si>
    <t>Manneh</t>
  </si>
  <si>
    <t>Alhagie Masamba</t>
  </si>
  <si>
    <t>20050541008</t>
  </si>
  <si>
    <t>ULUMEYDAN</t>
  </si>
  <si>
    <t>Aleyna</t>
  </si>
  <si>
    <t>17070311009</t>
  </si>
  <si>
    <t>SEVGEN</t>
  </si>
  <si>
    <t/>
  </si>
  <si>
    <t>GÜVEN</t>
  </si>
  <si>
    <t>17030211010</t>
  </si>
  <si>
    <t>ÇETİN</t>
  </si>
  <si>
    <t>20020451006</t>
  </si>
  <si>
    <t>BORAN</t>
  </si>
  <si>
    <t>18050711026</t>
  </si>
  <si>
    <t>TAHER</t>
  </si>
  <si>
    <t>Alawi</t>
  </si>
  <si>
    <t>21030241005</t>
  </si>
  <si>
    <t>GÖRÜR</t>
  </si>
  <si>
    <t>Alara Naz</t>
  </si>
  <si>
    <t>19080111100</t>
  </si>
  <si>
    <t>KAYHAN</t>
  </si>
  <si>
    <t>Alara</t>
  </si>
  <si>
    <t>17080111143</t>
  </si>
  <si>
    <t>BAKIR</t>
  </si>
  <si>
    <t>Ahsen Aleyna</t>
  </si>
  <si>
    <t>18020411043</t>
  </si>
  <si>
    <t>Konuş</t>
  </si>
  <si>
    <t>Ahmet Sefa</t>
  </si>
  <si>
    <t>20020411024</t>
  </si>
  <si>
    <t>DİNÇ</t>
  </si>
  <si>
    <t>Ahmet Said</t>
  </si>
  <si>
    <t>19010111032</t>
  </si>
  <si>
    <t>KULAÇ</t>
  </si>
  <si>
    <t>Ahmet Furkan</t>
  </si>
  <si>
    <t>18080111069</t>
  </si>
  <si>
    <t>SOYLU</t>
  </si>
  <si>
    <t>Ahmet Faruk</t>
  </si>
  <si>
    <t>21060211026</t>
  </si>
  <si>
    <t>ÇAKIR</t>
  </si>
  <si>
    <t>Ahmet Baki</t>
  </si>
  <si>
    <t>20020851004</t>
  </si>
  <si>
    <t>YOLDAŞ</t>
  </si>
  <si>
    <t>Ahmet</t>
  </si>
  <si>
    <t>19050211052</t>
  </si>
  <si>
    <t>TUTUN</t>
  </si>
  <si>
    <t>18030211059</t>
  </si>
  <si>
    <t>SEVİM</t>
  </si>
  <si>
    <t>17070311061</t>
  </si>
  <si>
    <t>16080211085</t>
  </si>
  <si>
    <t>ELYILDIRIM</t>
  </si>
  <si>
    <t>17080111124</t>
  </si>
  <si>
    <t>NAZARİ</t>
  </si>
  <si>
    <t>215106406</t>
  </si>
  <si>
    <t>ÖNÜR</t>
  </si>
  <si>
    <t>Aybüke</t>
  </si>
  <si>
    <t>19020711031</t>
  </si>
  <si>
    <t>Aybala</t>
  </si>
  <si>
    <t>18050411032</t>
  </si>
  <si>
    <t>DUMANLAR</t>
  </si>
  <si>
    <t>Atilla</t>
  </si>
  <si>
    <t>20050611051</t>
  </si>
  <si>
    <t>GENCER</t>
  </si>
  <si>
    <t>19080111027</t>
  </si>
  <si>
    <t>AK</t>
  </si>
  <si>
    <t>Asude Hilal</t>
  </si>
  <si>
    <t>18010111142</t>
  </si>
  <si>
    <t>Aslıhan</t>
  </si>
  <si>
    <t>18020411036</t>
  </si>
  <si>
    <t>ÖZTÜRK</t>
  </si>
  <si>
    <t>Aslı Simge</t>
  </si>
  <si>
    <t>19020411081</t>
  </si>
  <si>
    <t>KURNAZ</t>
  </si>
  <si>
    <t>Asena</t>
  </si>
  <si>
    <t>18030211061</t>
  </si>
  <si>
    <t>HUSSEİN</t>
  </si>
  <si>
    <t>Asaad</t>
  </si>
  <si>
    <t>17080141028</t>
  </si>
  <si>
    <t>KOCAMAN</t>
  </si>
  <si>
    <t>Arya</t>
  </si>
  <si>
    <t>19010111017</t>
  </si>
  <si>
    <t>ÇAYIR</t>
  </si>
  <si>
    <t>Armağan</t>
  </si>
  <si>
    <t>19060311087</t>
  </si>
  <si>
    <t>BATUM</t>
  </si>
  <si>
    <t>Arif Safa</t>
  </si>
  <si>
    <t>19030411047</t>
  </si>
  <si>
    <t>ESEN</t>
  </si>
  <si>
    <t>Arif</t>
  </si>
  <si>
    <t>17030411054</t>
  </si>
  <si>
    <t>BUDAKLIER</t>
  </si>
  <si>
    <t>197110044</t>
  </si>
  <si>
    <t>GHAFFARZADEH</t>
  </si>
  <si>
    <t>Anis</t>
  </si>
  <si>
    <t>19080141070</t>
  </si>
  <si>
    <t>ÇAKAL</t>
  </si>
  <si>
    <t>Anıl</t>
  </si>
  <si>
    <t>21050711025</t>
  </si>
  <si>
    <t>AYGÜN</t>
  </si>
  <si>
    <t>19030411061</t>
  </si>
  <si>
    <t>ALMAHMOUD</t>
  </si>
  <si>
    <t>Anas</t>
  </si>
  <si>
    <t>20050141024</t>
  </si>
  <si>
    <t>BENSENOUCİ</t>
  </si>
  <si>
    <t>Amir</t>
  </si>
  <si>
    <t>18050341008</t>
  </si>
  <si>
    <t>YILDIZ</t>
  </si>
  <si>
    <t>Alptekin</t>
  </si>
  <si>
    <t>21080111107</t>
  </si>
  <si>
    <t>BEŞLER</t>
  </si>
  <si>
    <t>Alperen</t>
  </si>
  <si>
    <t>20070411016</t>
  </si>
  <si>
    <t>AKAR</t>
  </si>
  <si>
    <t>20020511058</t>
  </si>
  <si>
    <t>21050311080</t>
  </si>
  <si>
    <t>GÜLERMAN</t>
  </si>
  <si>
    <t>Almina</t>
  </si>
  <si>
    <t>17050611009</t>
  </si>
  <si>
    <t>ÇETİNER</t>
  </si>
  <si>
    <t>Ali Kayra</t>
  </si>
  <si>
    <t>21740711031</t>
  </si>
  <si>
    <t>ÖZALP</t>
  </si>
  <si>
    <t>Başak</t>
  </si>
  <si>
    <t>21020811017</t>
  </si>
  <si>
    <t>19020111052</t>
  </si>
  <si>
    <t>DURSUN</t>
  </si>
  <si>
    <t>18070411021</t>
  </si>
  <si>
    <t>BİNGÖL</t>
  </si>
  <si>
    <t>Barkın Burak</t>
  </si>
  <si>
    <t>195210117</t>
  </si>
  <si>
    <t>SAĞLIK</t>
  </si>
  <si>
    <t>BARIŞ</t>
  </si>
  <si>
    <t>20080251041</t>
  </si>
  <si>
    <t>ABACI</t>
  </si>
  <si>
    <t>Bahtınur</t>
  </si>
  <si>
    <t>18030111049</t>
  </si>
  <si>
    <t>TUNA</t>
  </si>
  <si>
    <t>Bahar</t>
  </si>
  <si>
    <t>19050311016</t>
  </si>
  <si>
    <t>GÜNEY</t>
  </si>
  <si>
    <t>MALCI</t>
  </si>
  <si>
    <t>17050611005</t>
  </si>
  <si>
    <t>UZUN</t>
  </si>
  <si>
    <t>Baha Yasin</t>
  </si>
  <si>
    <t>21020811022</t>
  </si>
  <si>
    <t>TOJIBOEV</t>
  </si>
  <si>
    <t>BADRIDDIN</t>
  </si>
  <si>
    <t>18130141013</t>
  </si>
  <si>
    <t>BAYRAM</t>
  </si>
  <si>
    <t>Azat</t>
  </si>
  <si>
    <t>21140211023</t>
  </si>
  <si>
    <t>ŞİMŞEK</t>
  </si>
  <si>
    <t>20060311028</t>
  </si>
  <si>
    <t>ÖZBAY</t>
  </si>
  <si>
    <t>17010111081</t>
  </si>
  <si>
    <t>OMUR</t>
  </si>
  <si>
    <t>Aysenur</t>
  </si>
  <si>
    <t>17080241027</t>
  </si>
  <si>
    <t>YOZGATLI</t>
  </si>
  <si>
    <t>18020351011</t>
  </si>
  <si>
    <t>BALTACI</t>
  </si>
  <si>
    <t>Ayşe Sena</t>
  </si>
  <si>
    <t>19070411041</t>
  </si>
  <si>
    <t>BOZ</t>
  </si>
  <si>
    <t>Ayşe Nur</t>
  </si>
  <si>
    <t>215232105</t>
  </si>
  <si>
    <t>KADIOĞLU</t>
  </si>
  <si>
    <t>Ayşe İrem</t>
  </si>
  <si>
    <t>19050311059</t>
  </si>
  <si>
    <t>IŞIK</t>
  </si>
  <si>
    <t>Ayşe Bengisu</t>
  </si>
  <si>
    <t>20060911008</t>
  </si>
  <si>
    <t>TÜRK</t>
  </si>
  <si>
    <t>Ayşe</t>
  </si>
  <si>
    <t>20030411022</t>
  </si>
  <si>
    <t>ENET</t>
  </si>
  <si>
    <t>20050611032</t>
  </si>
  <si>
    <t>20030311051</t>
  </si>
  <si>
    <t>ALKAN</t>
  </si>
  <si>
    <t>19030311031</t>
  </si>
  <si>
    <t>ÖZASLAN</t>
  </si>
  <si>
    <t>20020311059</t>
  </si>
  <si>
    <t>YURTMAN</t>
  </si>
  <si>
    <t>19050311007</t>
  </si>
  <si>
    <t>20060911025</t>
  </si>
  <si>
    <t>SOLMAZ</t>
  </si>
  <si>
    <t>21740711009</t>
  </si>
  <si>
    <t>19020311038</t>
  </si>
  <si>
    <t>DAĞDELEN</t>
  </si>
  <si>
    <t>19020511056</t>
  </si>
  <si>
    <t>BAHÇECİ</t>
  </si>
  <si>
    <t>19020411076</t>
  </si>
  <si>
    <t>SALTAŞ</t>
  </si>
  <si>
    <t>Berna Yağmur</t>
  </si>
  <si>
    <t>18070411023</t>
  </si>
  <si>
    <t>GÖKSU</t>
  </si>
  <si>
    <t>17080111107</t>
  </si>
  <si>
    <t>ÇELİK</t>
  </si>
  <si>
    <t>18080211064</t>
  </si>
  <si>
    <t>ÇİLOĞLU</t>
  </si>
  <si>
    <t>18050211045</t>
  </si>
  <si>
    <t>ERDİNÇ</t>
  </si>
  <si>
    <t>Berfin Reyyan</t>
  </si>
  <si>
    <t>19020411008</t>
  </si>
  <si>
    <t>MENLİK</t>
  </si>
  <si>
    <t>Berfin Osedya</t>
  </si>
  <si>
    <t>19050311046</t>
  </si>
  <si>
    <t>YURDAKUL</t>
  </si>
  <si>
    <t>Berfin</t>
  </si>
  <si>
    <t>17070411027</t>
  </si>
  <si>
    <t>DEMİRHAN</t>
  </si>
  <si>
    <t>20720911008</t>
  </si>
  <si>
    <t>19020411068</t>
  </si>
  <si>
    <t>YOLCU</t>
  </si>
  <si>
    <t>Beren Ilgım</t>
  </si>
  <si>
    <t>19080111041</t>
  </si>
  <si>
    <t>BAYRAKCI</t>
  </si>
  <si>
    <t>Bengühan</t>
  </si>
  <si>
    <t>18070211004</t>
  </si>
  <si>
    <t>Türkcan</t>
  </si>
  <si>
    <t>Bengisu</t>
  </si>
  <si>
    <t>21060551001</t>
  </si>
  <si>
    <t>KILINÇKAYA</t>
  </si>
  <si>
    <t>Behiç</t>
  </si>
  <si>
    <t>20050111025</t>
  </si>
  <si>
    <t>Biçil</t>
  </si>
  <si>
    <t>Begüm</t>
  </si>
  <si>
    <t>18030111018</t>
  </si>
  <si>
    <t>YÖRÜMEZ</t>
  </si>
  <si>
    <t>21020811061</t>
  </si>
  <si>
    <t>YALNIZCAĞİL</t>
  </si>
  <si>
    <t>19110111020</t>
  </si>
  <si>
    <t>MECİT</t>
  </si>
  <si>
    <t>19070411046</t>
  </si>
  <si>
    <t>AKBULUT</t>
  </si>
  <si>
    <t>19010111109</t>
  </si>
  <si>
    <t>YARDIM</t>
  </si>
  <si>
    <t>19120111033</t>
  </si>
  <si>
    <t>HASDEMİR</t>
  </si>
  <si>
    <t>18020411029</t>
  </si>
  <si>
    <t>ÇİFTCİ</t>
  </si>
  <si>
    <t>18060311036</t>
  </si>
  <si>
    <t>ZEDEF</t>
  </si>
  <si>
    <t>Busenur</t>
  </si>
  <si>
    <t>187110024</t>
  </si>
  <si>
    <t>Buse Tuğba</t>
  </si>
  <si>
    <t>19050711011</t>
  </si>
  <si>
    <t>ÖZKAN</t>
  </si>
  <si>
    <t>Buse Nur</t>
  </si>
  <si>
    <t>20060311142</t>
  </si>
  <si>
    <t>DUĞAN</t>
  </si>
  <si>
    <t>19030311012</t>
  </si>
  <si>
    <t>17030211014</t>
  </si>
  <si>
    <t>AKMAN</t>
  </si>
  <si>
    <t>19080211034</t>
  </si>
  <si>
    <t>OSANMAZ</t>
  </si>
  <si>
    <t>21160211012</t>
  </si>
  <si>
    <t>AKINCI</t>
  </si>
  <si>
    <t>19070411059</t>
  </si>
  <si>
    <t>Buket</t>
  </si>
  <si>
    <t>19020111033</t>
  </si>
  <si>
    <t>ÖZGÜVEN</t>
  </si>
  <si>
    <t>Birgül Pınar</t>
  </si>
  <si>
    <t>17050611030</t>
  </si>
  <si>
    <t>Ashade</t>
  </si>
  <si>
    <t>Bılal Olalere</t>
  </si>
  <si>
    <t>205101102</t>
  </si>
  <si>
    <t>GÜRLEK</t>
  </si>
  <si>
    <t>Bilal</t>
  </si>
  <si>
    <t>21030111035</t>
  </si>
  <si>
    <t>Beyzanur</t>
  </si>
  <si>
    <t>18020411010</t>
  </si>
  <si>
    <t>YAVAŞ</t>
  </si>
  <si>
    <t>18050211062</t>
  </si>
  <si>
    <t>Beyza Sinem</t>
  </si>
  <si>
    <t>20050311016</t>
  </si>
  <si>
    <t>Beyza Nur</t>
  </si>
  <si>
    <t>20050211035</t>
  </si>
  <si>
    <t>215320116</t>
  </si>
  <si>
    <t>DADAK</t>
  </si>
  <si>
    <t>19030211008</t>
  </si>
  <si>
    <t>UZUNOĞLU</t>
  </si>
  <si>
    <t>17010111140</t>
  </si>
  <si>
    <t>ALTUNIŞIK</t>
  </si>
  <si>
    <t>19060211029</t>
  </si>
  <si>
    <t>AKAY</t>
  </si>
  <si>
    <t>195210107</t>
  </si>
  <si>
    <t>PAÇAL</t>
  </si>
  <si>
    <t>Beytullah Berk</t>
  </si>
  <si>
    <t>18050471001</t>
  </si>
  <si>
    <t>Betül Nazan</t>
  </si>
  <si>
    <t>19080211026</t>
  </si>
  <si>
    <t>KILIÇ</t>
  </si>
  <si>
    <t>Defne Esra</t>
  </si>
  <si>
    <t>17080111061</t>
  </si>
  <si>
    <t>MUTLULUK</t>
  </si>
  <si>
    <t>Damla Nur</t>
  </si>
  <si>
    <t>19020311066</t>
  </si>
  <si>
    <t>18050311025</t>
  </si>
  <si>
    <t>17070411038</t>
  </si>
  <si>
    <t>ALKHAHDMİ</t>
  </si>
  <si>
    <t>Daif Allah Mohammed</t>
  </si>
  <si>
    <t>19070141003</t>
  </si>
  <si>
    <t>GÜÇLÜOĞLU</t>
  </si>
  <si>
    <t>Cumali</t>
  </si>
  <si>
    <t>19030311060</t>
  </si>
  <si>
    <t>TOPUZ</t>
  </si>
  <si>
    <t>Cuma Tekin</t>
  </si>
  <si>
    <t xml:space="preserve">	1501011107</t>
  </si>
  <si>
    <t>AYDIN ŞAHİN</t>
  </si>
  <si>
    <t>17010111029</t>
  </si>
  <si>
    <t>AVCU</t>
  </si>
  <si>
    <t>Ceren Nisa</t>
  </si>
  <si>
    <t>20050211012</t>
  </si>
  <si>
    <t>Ceren</t>
  </si>
  <si>
    <t>18080111009</t>
  </si>
  <si>
    <t>AKÇINAR</t>
  </si>
  <si>
    <t>21730111019</t>
  </si>
  <si>
    <t>AYIK</t>
  </si>
  <si>
    <t>Cemre</t>
  </si>
  <si>
    <t>19050311044</t>
  </si>
  <si>
    <t>YAŞAR</t>
  </si>
  <si>
    <t>Cemile</t>
  </si>
  <si>
    <t>19070111060</t>
  </si>
  <si>
    <t>17010111219</t>
  </si>
  <si>
    <t>Şeker</t>
  </si>
  <si>
    <t>Cansel</t>
  </si>
  <si>
    <t>19010111112</t>
  </si>
  <si>
    <t>ARASLI</t>
  </si>
  <si>
    <t>Candan</t>
  </si>
  <si>
    <t>17050311057</t>
  </si>
  <si>
    <t>MEDET</t>
  </si>
  <si>
    <t>Can Muhammet</t>
  </si>
  <si>
    <t>20020311023</t>
  </si>
  <si>
    <t>TALİ</t>
  </si>
  <si>
    <t>Çağrı</t>
  </si>
  <si>
    <t>19020311013</t>
  </si>
  <si>
    <t>Saraç</t>
  </si>
  <si>
    <t>19050211026</t>
  </si>
  <si>
    <t>Çağla Şevval</t>
  </si>
  <si>
    <t>19080111034</t>
  </si>
  <si>
    <t>KIZGIN</t>
  </si>
  <si>
    <t>Çağla</t>
  </si>
  <si>
    <t>20060451005</t>
  </si>
  <si>
    <t>AÇIKGÖZ</t>
  </si>
  <si>
    <t>20030411044</t>
  </si>
  <si>
    <t>Turhan</t>
  </si>
  <si>
    <t>17070211005</t>
  </si>
  <si>
    <t>NERGİZ</t>
  </si>
  <si>
    <t>19050311002</t>
  </si>
  <si>
    <t>KÖSALI</t>
  </si>
  <si>
    <t>20090111011</t>
  </si>
  <si>
    <t>Ege</t>
  </si>
  <si>
    <t>18050211019</t>
  </si>
  <si>
    <t>ADEBOYE</t>
  </si>
  <si>
    <t>EDRISSA</t>
  </si>
  <si>
    <t>19070441008</t>
  </si>
  <si>
    <t>DEMİREL</t>
  </si>
  <si>
    <t>Eda Nur</t>
  </si>
  <si>
    <t>18080211136</t>
  </si>
  <si>
    <t>YAĞLIKARA</t>
  </si>
  <si>
    <t>19080211064</t>
  </si>
  <si>
    <t>19010111071</t>
  </si>
  <si>
    <t>Mutlu</t>
  </si>
  <si>
    <t>19120111041</t>
  </si>
  <si>
    <t>BALIK</t>
  </si>
  <si>
    <t>19030211005</t>
  </si>
  <si>
    <t>EREN</t>
  </si>
  <si>
    <t>Ece Ayşenur</t>
  </si>
  <si>
    <t>195210402</t>
  </si>
  <si>
    <t>AKTAŞ</t>
  </si>
  <si>
    <t>Ece</t>
  </si>
  <si>
    <t>20720711002</t>
  </si>
  <si>
    <t>AKYAR</t>
  </si>
  <si>
    <t>19050211030</t>
  </si>
  <si>
    <t>Ebrar Eda</t>
  </si>
  <si>
    <t>21740551003</t>
  </si>
  <si>
    <t>UYSAL</t>
  </si>
  <si>
    <t>17010111080</t>
  </si>
  <si>
    <t>yalçınkaya</t>
  </si>
  <si>
    <t>duygu</t>
  </si>
  <si>
    <t>19020511044</t>
  </si>
  <si>
    <t>NAR</t>
  </si>
  <si>
    <t>Dursun</t>
  </si>
  <si>
    <t>16080211042</t>
  </si>
  <si>
    <t>KANTER</t>
  </si>
  <si>
    <t>Duha Sıla</t>
  </si>
  <si>
    <t>19070411050</t>
  </si>
  <si>
    <t>ÜNAL</t>
  </si>
  <si>
    <t>Dilsat</t>
  </si>
  <si>
    <t>17030311047</t>
  </si>
  <si>
    <t>Güngör</t>
  </si>
  <si>
    <t>Dilek</t>
  </si>
  <si>
    <t>18050511019</t>
  </si>
  <si>
    <t>ÇOMAK</t>
  </si>
  <si>
    <t>Dilara Gaye</t>
  </si>
  <si>
    <t>21060841004</t>
  </si>
  <si>
    <t>KARLI</t>
  </si>
  <si>
    <t>Dilara</t>
  </si>
  <si>
    <t>16080111003</t>
  </si>
  <si>
    <t>YILDIRIM</t>
  </si>
  <si>
    <t>Dilan</t>
  </si>
  <si>
    <t>18070411062</t>
  </si>
  <si>
    <t>ÇALIŞ</t>
  </si>
  <si>
    <t>Didem</t>
  </si>
  <si>
    <t>19060711037</t>
  </si>
  <si>
    <t>YÜKSEL</t>
  </si>
  <si>
    <t>Devran</t>
  </si>
  <si>
    <t>19030311039</t>
  </si>
  <si>
    <t>ŞİRİN</t>
  </si>
  <si>
    <t>19020811005</t>
  </si>
  <si>
    <t>ŞENCAN</t>
  </si>
  <si>
    <t>19020411105</t>
  </si>
  <si>
    <t>ERGÜN</t>
  </si>
  <si>
    <t>Esengül</t>
  </si>
  <si>
    <t>17030411028</t>
  </si>
  <si>
    <t>KALKAN</t>
  </si>
  <si>
    <t>Erva</t>
  </si>
  <si>
    <t>19050711022</t>
  </si>
  <si>
    <t>ALİBAŞ</t>
  </si>
  <si>
    <t>Ertuğrul</t>
  </si>
  <si>
    <t>20080111099</t>
  </si>
  <si>
    <t>ERKEKER</t>
  </si>
  <si>
    <t>Ersin</t>
  </si>
  <si>
    <t>20020311058</t>
  </si>
  <si>
    <t>DOYMAZ</t>
  </si>
  <si>
    <t>19070411009</t>
  </si>
  <si>
    <t>SEVİMLİ</t>
  </si>
  <si>
    <t>20070411053</t>
  </si>
  <si>
    <t>ALBAYRAK</t>
  </si>
  <si>
    <t>20110151007</t>
  </si>
  <si>
    <t>NAZLI</t>
  </si>
  <si>
    <t>Enes Mirza</t>
  </si>
  <si>
    <t>19050411061</t>
  </si>
  <si>
    <t>AKARÇAY</t>
  </si>
  <si>
    <t>Enes Berkay</t>
  </si>
  <si>
    <t>18030211025</t>
  </si>
  <si>
    <t>ÇAĞLIN</t>
  </si>
  <si>
    <t>Enes</t>
  </si>
  <si>
    <t>19050311060</t>
  </si>
  <si>
    <t>KAYA</t>
  </si>
  <si>
    <t>Emre Yücel</t>
  </si>
  <si>
    <t>18030311037</t>
  </si>
  <si>
    <t>AYIKLAR</t>
  </si>
  <si>
    <t>21030211016</t>
  </si>
  <si>
    <t>ÇIKAR</t>
  </si>
  <si>
    <t>Emir Han</t>
  </si>
  <si>
    <t>19030311050</t>
  </si>
  <si>
    <t>BORU</t>
  </si>
  <si>
    <t>Emine Gizem</t>
  </si>
  <si>
    <t>17070411061</t>
  </si>
  <si>
    <t>Eman</t>
  </si>
  <si>
    <t>17030241011</t>
  </si>
  <si>
    <t>AKBAŞ</t>
  </si>
  <si>
    <t>Elif Şeyma</t>
  </si>
  <si>
    <t>16050311017</t>
  </si>
  <si>
    <t>ÖZBEK</t>
  </si>
  <si>
    <t>Elif Nur</t>
  </si>
  <si>
    <t>19030211026</t>
  </si>
  <si>
    <t>YALÇINKAYA</t>
  </si>
  <si>
    <t>Elif Naz</t>
  </si>
  <si>
    <t>17080211102</t>
  </si>
  <si>
    <t>ERDOĞAN</t>
  </si>
  <si>
    <t>Elif Ahsen</t>
  </si>
  <si>
    <t>18010111068</t>
  </si>
  <si>
    <t>Uca</t>
  </si>
  <si>
    <t>18060111032</t>
  </si>
  <si>
    <t>KESİK</t>
  </si>
  <si>
    <t>19030211056</t>
  </si>
  <si>
    <t>19080111073</t>
  </si>
  <si>
    <t>EĞRİKILIÇ</t>
  </si>
  <si>
    <t>17010111005</t>
  </si>
  <si>
    <t>Elanur</t>
  </si>
  <si>
    <t>18030111050</t>
  </si>
  <si>
    <t>SHAHRİYAR</t>
  </si>
  <si>
    <t>215206452</t>
  </si>
  <si>
    <t>GÖKYÜREK</t>
  </si>
  <si>
    <t>Fatma Nur</t>
  </si>
  <si>
    <t>16050311030</t>
  </si>
  <si>
    <t>DEMİRCİ</t>
  </si>
  <si>
    <t>19030111053</t>
  </si>
  <si>
    <t>DEMİRBAŞ</t>
  </si>
  <si>
    <t>Fatma Gül</t>
  </si>
  <si>
    <t>19030411004</t>
  </si>
  <si>
    <t>CİVAN</t>
  </si>
  <si>
    <t>Fatma Buse</t>
  </si>
  <si>
    <t>215211101</t>
  </si>
  <si>
    <t>ÇEVİK</t>
  </si>
  <si>
    <t>Fatma Aleyna</t>
  </si>
  <si>
    <t>19060451004</t>
  </si>
  <si>
    <t>TAŞTEMİR</t>
  </si>
  <si>
    <t>17090141013</t>
  </si>
  <si>
    <t>EKİCİ</t>
  </si>
  <si>
    <t>19060211075</t>
  </si>
  <si>
    <t>BALABAN</t>
  </si>
  <si>
    <t>Fatihhan</t>
  </si>
  <si>
    <t>19010111128</t>
  </si>
  <si>
    <t>KÖSE</t>
  </si>
  <si>
    <t>19050411052</t>
  </si>
  <si>
    <t>20020311028</t>
  </si>
  <si>
    <t>PAKDİL</t>
  </si>
  <si>
    <t>Falez</t>
  </si>
  <si>
    <t>20100111080</t>
  </si>
  <si>
    <t>AKDAĞ</t>
  </si>
  <si>
    <t>Faike Nurbanu</t>
  </si>
  <si>
    <t>17080111008</t>
  </si>
  <si>
    <t>Fadime Sema</t>
  </si>
  <si>
    <t>20030111038</t>
  </si>
  <si>
    <t>AYDEMİR</t>
  </si>
  <si>
    <t>19140211014</t>
  </si>
  <si>
    <t>SİLAH</t>
  </si>
  <si>
    <t>Eyüp Fatih</t>
  </si>
  <si>
    <t>20020211060</t>
  </si>
  <si>
    <t>TEKİN</t>
  </si>
  <si>
    <t>Etkin</t>
  </si>
  <si>
    <t>18060111058</t>
  </si>
  <si>
    <t>ZAİM</t>
  </si>
  <si>
    <t>Esranur</t>
  </si>
  <si>
    <t>17090111024</t>
  </si>
  <si>
    <t>YİLDIZ</t>
  </si>
  <si>
    <t>17030411038</t>
  </si>
  <si>
    <t>Esra Nur</t>
  </si>
  <si>
    <t>18030411024</t>
  </si>
  <si>
    <t>KUŞKAYA</t>
  </si>
  <si>
    <t>21060251004</t>
  </si>
  <si>
    <t>18090111039</t>
  </si>
  <si>
    <t>KARAKAYA</t>
  </si>
  <si>
    <t>19020411078</t>
  </si>
  <si>
    <t>DAMAR</t>
  </si>
  <si>
    <t>DURNA</t>
  </si>
  <si>
    <t>Esma Seniha</t>
  </si>
  <si>
    <t>19010111131</t>
  </si>
  <si>
    <t>KILIC</t>
  </si>
  <si>
    <t>Esin Bilge</t>
  </si>
  <si>
    <t>18010111114</t>
  </si>
  <si>
    <t>Matava</t>
  </si>
  <si>
    <t>Godfrey</t>
  </si>
  <si>
    <t>19050541034</t>
  </si>
  <si>
    <t>ÇAYIRLEN</t>
  </si>
  <si>
    <t>17030311024</t>
  </si>
  <si>
    <t>ALANLI</t>
  </si>
  <si>
    <t>17080251010</t>
  </si>
  <si>
    <t>YUSUFİ</t>
  </si>
  <si>
    <t>Ghulam Yahya</t>
  </si>
  <si>
    <t>14080141055</t>
  </si>
  <si>
    <t>Öndeş</t>
  </si>
  <si>
    <t>18030111011</t>
  </si>
  <si>
    <t>TAŞTAN</t>
  </si>
  <si>
    <t>Furkan Güven</t>
  </si>
  <si>
    <t>175207403</t>
  </si>
  <si>
    <t>YEŞİLTAŞ</t>
  </si>
  <si>
    <t>Furkan Fatih</t>
  </si>
  <si>
    <t>17070411012</t>
  </si>
  <si>
    <t>BÜKE</t>
  </si>
  <si>
    <t>Furkan Çağlar</t>
  </si>
  <si>
    <t>21050551003</t>
  </si>
  <si>
    <t>SÖNMEZ</t>
  </si>
  <si>
    <t>Furkan</t>
  </si>
  <si>
    <t>16050311049</t>
  </si>
  <si>
    <t>19030311013</t>
  </si>
  <si>
    <t>İNANÇ</t>
  </si>
  <si>
    <t>18030311025</t>
  </si>
  <si>
    <t>19050511046</t>
  </si>
  <si>
    <t>18050711045</t>
  </si>
  <si>
    <t>ATASOY</t>
  </si>
  <si>
    <t>16010111177</t>
  </si>
  <si>
    <t>YAĞMUR</t>
  </si>
  <si>
    <t>Funda</t>
  </si>
  <si>
    <t>16080111053</t>
  </si>
  <si>
    <t>RAHİMOVA</t>
  </si>
  <si>
    <t>Firuza</t>
  </si>
  <si>
    <t>20050141056</t>
  </si>
  <si>
    <t>KOCA</t>
  </si>
  <si>
    <t>Feyza Nur</t>
  </si>
  <si>
    <t>17020311040</t>
  </si>
  <si>
    <t>GÜNTAŞ</t>
  </si>
  <si>
    <t>18070211048</t>
  </si>
  <si>
    <t>CANALP</t>
  </si>
  <si>
    <t>19070421001</t>
  </si>
  <si>
    <t>HAKBİLİR</t>
  </si>
  <si>
    <t>Feyza Naz</t>
  </si>
  <si>
    <t>19020611009</t>
  </si>
  <si>
    <t>YUVACI</t>
  </si>
  <si>
    <t>Feyza</t>
  </si>
  <si>
    <t>19020411002</t>
  </si>
  <si>
    <t>NALÇAKAN</t>
  </si>
  <si>
    <t>18070411027</t>
  </si>
  <si>
    <t>DECDELİ</t>
  </si>
  <si>
    <t>18050111062</t>
  </si>
  <si>
    <t>AKCAN</t>
  </si>
  <si>
    <t>Fatmagül</t>
  </si>
  <si>
    <t>19010111081</t>
  </si>
  <si>
    <t>DANIŞMAN</t>
  </si>
  <si>
    <t>19070411055</t>
  </si>
  <si>
    <t>WAHAB</t>
  </si>
  <si>
    <t>Hasıbullah</t>
  </si>
  <si>
    <t>16070141015</t>
  </si>
  <si>
    <t>OZTURK</t>
  </si>
  <si>
    <t>Harun Yahya</t>
  </si>
  <si>
    <t>18050111027</t>
  </si>
  <si>
    <t>ÖZEKİN</t>
  </si>
  <si>
    <t>Harun Musa</t>
  </si>
  <si>
    <t>215206104</t>
  </si>
  <si>
    <t>PARÇAL</t>
  </si>
  <si>
    <t>Hanife</t>
  </si>
  <si>
    <t>19030111063</t>
  </si>
  <si>
    <t>YAKIN</t>
  </si>
  <si>
    <t>Handan</t>
  </si>
  <si>
    <t>18050211033</t>
  </si>
  <si>
    <t>HAJİ</t>
  </si>
  <si>
    <t>Hamze</t>
  </si>
  <si>
    <t>215204154</t>
  </si>
  <si>
    <t>HAMZA DJAMAL ELMİ</t>
  </si>
  <si>
    <t>Hamza Djamal Elmi</t>
  </si>
  <si>
    <t>19030341016</t>
  </si>
  <si>
    <t>Hamza</t>
  </si>
  <si>
    <t>17030411056</t>
  </si>
  <si>
    <t>YASİNİ</t>
  </si>
  <si>
    <t>20010141012</t>
  </si>
  <si>
    <t>TOMBAKOĞLU</t>
  </si>
  <si>
    <t>Halil İbrahim</t>
  </si>
  <si>
    <t>19030211015</t>
  </si>
  <si>
    <t>TANDOĞAN</t>
  </si>
  <si>
    <t>Halenur</t>
  </si>
  <si>
    <t>18010111146</t>
  </si>
  <si>
    <t>MAULİDİ</t>
  </si>
  <si>
    <t>Haleemah</t>
  </si>
  <si>
    <t>18070441006</t>
  </si>
  <si>
    <t>AŞUT</t>
  </si>
  <si>
    <t>Hacı Emine</t>
  </si>
  <si>
    <t>205221136</t>
  </si>
  <si>
    <t>EVİRGEN</t>
  </si>
  <si>
    <t>Hacer Erva</t>
  </si>
  <si>
    <t>21080111039</t>
  </si>
  <si>
    <t>Habip</t>
  </si>
  <si>
    <t>19050511012</t>
  </si>
  <si>
    <t>KARAÖZ</t>
  </si>
  <si>
    <t>Güney</t>
  </si>
  <si>
    <t>20050811025</t>
  </si>
  <si>
    <t>KAYMAK</t>
  </si>
  <si>
    <t>Gülsüm Buse</t>
  </si>
  <si>
    <t>17080111131</t>
  </si>
  <si>
    <t>Gülcan</t>
  </si>
  <si>
    <t>18030111015</t>
  </si>
  <si>
    <t>Gülben</t>
  </si>
  <si>
    <t>19070111037</t>
  </si>
  <si>
    <t>ÖNDER</t>
  </si>
  <si>
    <t>Gözde</t>
  </si>
  <si>
    <t>19010111149</t>
  </si>
  <si>
    <t>KOÇ</t>
  </si>
  <si>
    <t>Görkem Berkay</t>
  </si>
  <si>
    <t>18050211061</t>
  </si>
  <si>
    <t>GÖKDEMİR</t>
  </si>
  <si>
    <t>Goncagül</t>
  </si>
  <si>
    <t>18020611038</t>
  </si>
  <si>
    <t>DURAN</t>
  </si>
  <si>
    <t>Gökhan</t>
  </si>
  <si>
    <t>19070411063</t>
  </si>
  <si>
    <t>Gökçe Sena</t>
  </si>
  <si>
    <t>18080211157</t>
  </si>
  <si>
    <t>GÖKOĞLU</t>
  </si>
  <si>
    <t>Gökalp</t>
  </si>
  <si>
    <t>17030211022</t>
  </si>
  <si>
    <t>16020211059</t>
  </si>
  <si>
    <t>İklil Rumeysa</t>
  </si>
  <si>
    <t>18020411094</t>
  </si>
  <si>
    <t>AKKOYUNLU</t>
  </si>
  <si>
    <t>İhsan Tarık</t>
  </si>
  <si>
    <t>17030411057</t>
  </si>
  <si>
    <t>İLK</t>
  </si>
  <si>
    <t>Ibrahim Gorkem</t>
  </si>
  <si>
    <t>21020811018</t>
  </si>
  <si>
    <t>ÖZHÖLÇEK</t>
  </si>
  <si>
    <t>İbrahim</t>
  </si>
  <si>
    <t>19070111008</t>
  </si>
  <si>
    <t>ALHEGRI</t>
  </si>
  <si>
    <t>Husseın</t>
  </si>
  <si>
    <t>19070341003</t>
  </si>
  <si>
    <t>Hüseyin</t>
  </si>
  <si>
    <t>20020311024</t>
  </si>
  <si>
    <t>DENİZ</t>
  </si>
  <si>
    <t>18030411031</t>
  </si>
  <si>
    <t>KARAER</t>
  </si>
  <si>
    <t>Hümeyra Nur</t>
  </si>
  <si>
    <t>20150211004</t>
  </si>
  <si>
    <t>YARIMCI</t>
  </si>
  <si>
    <t>Hümeyra</t>
  </si>
  <si>
    <t>19010111110</t>
  </si>
  <si>
    <t>ILIK</t>
  </si>
  <si>
    <t>18030111052</t>
  </si>
  <si>
    <t xml:space="preserve">Kılıçaslan </t>
  </si>
  <si>
    <t>Hüma Nur</t>
  </si>
  <si>
    <t>21060111060</t>
  </si>
  <si>
    <t>ECE</t>
  </si>
  <si>
    <t>Hüda Nur</t>
  </si>
  <si>
    <t>18060141013</t>
  </si>
  <si>
    <t>BÜYÜKAKÇALI</t>
  </si>
  <si>
    <t>Hilal Nur</t>
  </si>
  <si>
    <t>19020151001</t>
  </si>
  <si>
    <t>17060611061</t>
  </si>
  <si>
    <t>ARMUTCU</t>
  </si>
  <si>
    <t>Hicran</t>
  </si>
  <si>
    <t>2010111040</t>
  </si>
  <si>
    <t>Helin</t>
  </si>
  <si>
    <t>19010111117</t>
  </si>
  <si>
    <t>19070111016</t>
  </si>
  <si>
    <t>Hazel</t>
  </si>
  <si>
    <t>17050311001</t>
  </si>
  <si>
    <t>Hazal</t>
  </si>
  <si>
    <t>16010111106</t>
  </si>
  <si>
    <t>BELET</t>
  </si>
  <si>
    <t>Haydar Ali</t>
  </si>
  <si>
    <t>19020611014</t>
  </si>
  <si>
    <t>BİYTUR</t>
  </si>
  <si>
    <t>Havva Nur</t>
  </si>
  <si>
    <t>20070411002</t>
  </si>
  <si>
    <t>ZABIN</t>
  </si>
  <si>
    <t>Hatice Merve</t>
  </si>
  <si>
    <t>1809011011</t>
  </si>
  <si>
    <t>SÜRGEÇ</t>
  </si>
  <si>
    <t>20720411049</t>
  </si>
  <si>
    <t>ULUSOY</t>
  </si>
  <si>
    <t>Hatice Melis</t>
  </si>
  <si>
    <t>20080111115</t>
  </si>
  <si>
    <t>YETKİN</t>
  </si>
  <si>
    <t>17080111074</t>
  </si>
  <si>
    <t>18030311061</t>
  </si>
  <si>
    <t>TURAN</t>
  </si>
  <si>
    <t>İremnaz</t>
  </si>
  <si>
    <t>19020411077</t>
  </si>
  <si>
    <t>UĞUZ</t>
  </si>
  <si>
    <t>İrem Seyda</t>
  </si>
  <si>
    <t>19050711029</t>
  </si>
  <si>
    <t>18050211008</t>
  </si>
  <si>
    <t>ERGÜL</t>
  </si>
  <si>
    <t>19110111023</t>
  </si>
  <si>
    <t>ÇINAR</t>
  </si>
  <si>
    <t>21010111145</t>
  </si>
  <si>
    <t>ÇELİKEL</t>
  </si>
  <si>
    <t>19070211044</t>
  </si>
  <si>
    <t>AĞA</t>
  </si>
  <si>
    <t>19050211050</t>
  </si>
  <si>
    <t>BİLGİN</t>
  </si>
  <si>
    <t>İnci Nur</t>
  </si>
  <si>
    <t>18050711008</t>
  </si>
  <si>
    <t>TETİK</t>
  </si>
  <si>
    <t>İmran</t>
  </si>
  <si>
    <t>215206108</t>
  </si>
  <si>
    <t>TAŞKIRAN</t>
  </si>
  <si>
    <t>İlknur Beria</t>
  </si>
  <si>
    <t>21060111064</t>
  </si>
  <si>
    <t>BOLAKAR</t>
  </si>
  <si>
    <t>İlkim</t>
  </si>
  <si>
    <t>19050211007</t>
  </si>
  <si>
    <t>KARABACAK</t>
  </si>
  <si>
    <t>İlke</t>
  </si>
  <si>
    <t>20060751007</t>
  </si>
  <si>
    <t>ANDAÇ</t>
  </si>
  <si>
    <t>İlhami Emir</t>
  </si>
  <si>
    <t>21060911054</t>
  </si>
  <si>
    <t>MUCUK</t>
  </si>
  <si>
    <t>İlayda Buse</t>
  </si>
  <si>
    <t>19020411056</t>
  </si>
  <si>
    <t>MAMEDOVA</t>
  </si>
  <si>
    <t>Lıana</t>
  </si>
  <si>
    <t>19080141023</t>
  </si>
  <si>
    <t>Kutay</t>
  </si>
  <si>
    <t>19050411063</t>
  </si>
  <si>
    <t>USLU</t>
  </si>
  <si>
    <t>19060511057</t>
  </si>
  <si>
    <t>sümer</t>
  </si>
  <si>
    <t>kübra</t>
  </si>
  <si>
    <t>19070211038</t>
  </si>
  <si>
    <t>FAIZY</t>
  </si>
  <si>
    <t>Kh Mohd Mansoor</t>
  </si>
  <si>
    <t>17070141019</t>
  </si>
  <si>
    <t>SHEVADENA</t>
  </si>
  <si>
    <t>Kayla</t>
  </si>
  <si>
    <t>20070141014</t>
  </si>
  <si>
    <t>TEKDEMİR</t>
  </si>
  <si>
    <t>Kadir</t>
  </si>
  <si>
    <t>19070111059</t>
  </si>
  <si>
    <t>AYKUT</t>
  </si>
  <si>
    <t>19070411023</t>
  </si>
  <si>
    <t>BAYTEKIN</t>
  </si>
  <si>
    <t>Kader Fatma</t>
  </si>
  <si>
    <t>17070311049</t>
  </si>
  <si>
    <t>KARAKOCAK</t>
  </si>
  <si>
    <t>19020211055</t>
  </si>
  <si>
    <t>GÜRCÜOĞLU</t>
  </si>
  <si>
    <t>205233193</t>
  </si>
  <si>
    <t>Kaan Hasan</t>
  </si>
  <si>
    <t>20030411006</t>
  </si>
  <si>
    <t>19030211057</t>
  </si>
  <si>
    <t>MUHY</t>
  </si>
  <si>
    <t>Junaıd Ameer Muhy</t>
  </si>
  <si>
    <t>19060341011</t>
  </si>
  <si>
    <t>Yusifli</t>
  </si>
  <si>
    <t>Jihad</t>
  </si>
  <si>
    <t>20030241012</t>
  </si>
  <si>
    <t>Horasanlı</t>
  </si>
  <si>
    <t>İsmet</t>
  </si>
  <si>
    <t>215503124</t>
  </si>
  <si>
    <t>ALAN</t>
  </si>
  <si>
    <t>18030311047</t>
  </si>
  <si>
    <t>19050211065</t>
  </si>
  <si>
    <t>18010111131</t>
  </si>
  <si>
    <t>ÖZEN</t>
  </si>
  <si>
    <t>Mehmet Rüstem</t>
  </si>
  <si>
    <t>20020211066</t>
  </si>
  <si>
    <t>IŞILAK</t>
  </si>
  <si>
    <t>Mehmet Kaan</t>
  </si>
  <si>
    <t>17030411042</t>
  </si>
  <si>
    <t>UĞURLU</t>
  </si>
  <si>
    <t>Mehmet Furkan</t>
  </si>
  <si>
    <t>19050511068</t>
  </si>
  <si>
    <t>OZTİRYAKİ</t>
  </si>
  <si>
    <t>Mehmet Burak</t>
  </si>
  <si>
    <t>19010111105</t>
  </si>
  <si>
    <t>MERCİMEK</t>
  </si>
  <si>
    <t>Mehmet Batuhan</t>
  </si>
  <si>
    <t>19050411065</t>
  </si>
  <si>
    <t>Televi</t>
  </si>
  <si>
    <t>Mehmet Ali</t>
  </si>
  <si>
    <t>19110111036</t>
  </si>
  <si>
    <t>17030111012</t>
  </si>
  <si>
    <t>SERTKAYA</t>
  </si>
  <si>
    <t>Mehmet Akif</t>
  </si>
  <si>
    <t>21050211078</t>
  </si>
  <si>
    <t>KESKİN</t>
  </si>
  <si>
    <t>17010111108</t>
  </si>
  <si>
    <t>Mehmet Adnan</t>
  </si>
  <si>
    <t>16050311007</t>
  </si>
  <si>
    <t>18070311048</t>
  </si>
  <si>
    <t>SAFİRA</t>
  </si>
  <si>
    <t>Mayra Najmifajri</t>
  </si>
  <si>
    <t>20070441026</t>
  </si>
  <si>
    <t>MANNEH</t>
  </si>
  <si>
    <t>Mariama</t>
  </si>
  <si>
    <t>20070141020</t>
  </si>
  <si>
    <t>Merve Aleyna</t>
  </si>
  <si>
    <t>17010111115</t>
  </si>
  <si>
    <t>18030411052</t>
  </si>
  <si>
    <t>İME</t>
  </si>
  <si>
    <t>19020311059</t>
  </si>
  <si>
    <t>HAYKIR</t>
  </si>
  <si>
    <t>20060751002</t>
  </si>
  <si>
    <t>BEDİR</t>
  </si>
  <si>
    <t>17080111038</t>
  </si>
  <si>
    <t>17030111036</t>
  </si>
  <si>
    <t>Mert Yüksl</t>
  </si>
  <si>
    <t>18070411059</t>
  </si>
  <si>
    <t>KANAK</t>
  </si>
  <si>
    <t>19050111063</t>
  </si>
  <si>
    <t>Meral Büşra Nur</t>
  </si>
  <si>
    <t>17020311009</t>
  </si>
  <si>
    <t>DALKIRAN</t>
  </si>
  <si>
    <t>Meral</t>
  </si>
  <si>
    <t>18070311041</t>
  </si>
  <si>
    <t>AVCI</t>
  </si>
  <si>
    <t>Menekşe</t>
  </si>
  <si>
    <t>19050311006</t>
  </si>
  <si>
    <t>ENGİN</t>
  </si>
  <si>
    <t>Melisay</t>
  </si>
  <si>
    <t>215207116</t>
  </si>
  <si>
    <t>BACAKSIZ</t>
  </si>
  <si>
    <t>Melike Nur</t>
  </si>
  <si>
    <t>21070411052</t>
  </si>
  <si>
    <t>ÖZERLİ</t>
  </si>
  <si>
    <t>19060111033</t>
  </si>
  <si>
    <t>BAŞER</t>
  </si>
  <si>
    <t>17070111056</t>
  </si>
  <si>
    <t>HUSSAIN</t>
  </si>
  <si>
    <t>Mohamad Yaman</t>
  </si>
  <si>
    <t>19050441020</t>
  </si>
  <si>
    <t>KALLAWI</t>
  </si>
  <si>
    <t>Mohamad Anas</t>
  </si>
  <si>
    <t>19070441009</t>
  </si>
  <si>
    <t>RUSTM</t>
  </si>
  <si>
    <t>Mohamad</t>
  </si>
  <si>
    <t>17080141072</t>
  </si>
  <si>
    <t>PAKSOY</t>
  </si>
  <si>
    <t>Mislina Suden</t>
  </si>
  <si>
    <t>19070411062</t>
  </si>
  <si>
    <t>Miraç</t>
  </si>
  <si>
    <t>17030111046</t>
  </si>
  <si>
    <t>19140211034</t>
  </si>
  <si>
    <t>ÖZKESKİN</t>
  </si>
  <si>
    <t>Meyse</t>
  </si>
  <si>
    <t>17030211031</t>
  </si>
  <si>
    <t>TUZDELEN</t>
  </si>
  <si>
    <t>Metehan</t>
  </si>
  <si>
    <t>19080211027</t>
  </si>
  <si>
    <t>AKDOĞAN</t>
  </si>
  <si>
    <t>Mesut Bora</t>
  </si>
  <si>
    <t>19050511030</t>
  </si>
  <si>
    <t>Meryem Gülbahar</t>
  </si>
  <si>
    <t>20060911010</t>
  </si>
  <si>
    <t>ATEŞ</t>
  </si>
  <si>
    <t>Meryem</t>
  </si>
  <si>
    <t>16030211023</t>
  </si>
  <si>
    <t>TAYYAR</t>
  </si>
  <si>
    <t>18090111042</t>
  </si>
  <si>
    <t>ÖZIŞIK</t>
  </si>
  <si>
    <t>17010111054</t>
  </si>
  <si>
    <t>BALCI</t>
  </si>
  <si>
    <t>18010111085</t>
  </si>
  <si>
    <t>ŞENGEL</t>
  </si>
  <si>
    <t>Merve Gülsüm</t>
  </si>
  <si>
    <t>20050711034</t>
  </si>
  <si>
    <t>SEİS</t>
  </si>
  <si>
    <t>Merve Burçin</t>
  </si>
  <si>
    <t>19020411089</t>
  </si>
  <si>
    <t>AMANVERMEZ</t>
  </si>
  <si>
    <t>Muhammet Ali</t>
  </si>
  <si>
    <t>19030411007</t>
  </si>
  <si>
    <t>Muhammet</t>
  </si>
  <si>
    <t>19070211002</t>
  </si>
  <si>
    <t>Muhammed Talha</t>
  </si>
  <si>
    <t>18070411042</t>
  </si>
  <si>
    <t>CANYİĞİT</t>
  </si>
  <si>
    <t>Muhammed Kaan</t>
  </si>
  <si>
    <t>19030311046</t>
  </si>
  <si>
    <t>ÖZEL</t>
  </si>
  <si>
    <t>Muhammed Emre</t>
  </si>
  <si>
    <t>20020311042</t>
  </si>
  <si>
    <t>ÇULHA</t>
  </si>
  <si>
    <t>Muhammed Abdulsamet</t>
  </si>
  <si>
    <t>17070211030</t>
  </si>
  <si>
    <t>ŞEN</t>
  </si>
  <si>
    <t>Muhammed</t>
  </si>
  <si>
    <t>19110111011</t>
  </si>
  <si>
    <t>CANDAN</t>
  </si>
  <si>
    <t>17070111027</t>
  </si>
  <si>
    <t>ÇETİNKAYA</t>
  </si>
  <si>
    <t>Mücahit Cem</t>
  </si>
  <si>
    <t>18020311035</t>
  </si>
  <si>
    <t>SAIJARE</t>
  </si>
  <si>
    <t>Mounzer</t>
  </si>
  <si>
    <t>215203450</t>
  </si>
  <si>
    <t>HOUSSENI</t>
  </si>
  <si>
    <t>Mouhamed Naré</t>
  </si>
  <si>
    <t>18020141011</t>
  </si>
  <si>
    <t>ALHAJ</t>
  </si>
  <si>
    <t>Mostapha</t>
  </si>
  <si>
    <t>18030441019</t>
  </si>
  <si>
    <t>ALKHATIB</t>
  </si>
  <si>
    <t>MOSAB RM</t>
  </si>
  <si>
    <t>21030341011</t>
  </si>
  <si>
    <t>YOUSEF</t>
  </si>
  <si>
    <t>Mohammad</t>
  </si>
  <si>
    <t>195208457</t>
  </si>
  <si>
    <t>GHANBARZEHİ KHEİL</t>
  </si>
  <si>
    <t>18020141010</t>
  </si>
  <si>
    <t>Mohamed Mohamud</t>
  </si>
  <si>
    <t>20050141028</t>
  </si>
  <si>
    <t>JAİTEH</t>
  </si>
  <si>
    <t>Mustapha</t>
  </si>
  <si>
    <t>20030341038</t>
  </si>
  <si>
    <t>GÜNEYSU</t>
  </si>
  <si>
    <t>Mustafa Tuna</t>
  </si>
  <si>
    <t>18070311056</t>
  </si>
  <si>
    <t>20050111010</t>
  </si>
  <si>
    <t>ŞANLI</t>
  </si>
  <si>
    <t>19110111019</t>
  </si>
  <si>
    <t>GÜNEŞ</t>
  </si>
  <si>
    <t>19050551001</t>
  </si>
  <si>
    <t>Müslüm</t>
  </si>
  <si>
    <t>205207112</t>
  </si>
  <si>
    <t>KAMARA</t>
  </si>
  <si>
    <t>Musa M</t>
  </si>
  <si>
    <t>195206134</t>
  </si>
  <si>
    <t>HAKSEVER</t>
  </si>
  <si>
    <t>Musa Ethem</t>
  </si>
  <si>
    <t>17050511026</t>
  </si>
  <si>
    <t>YAPRAK</t>
  </si>
  <si>
    <t>18080111083</t>
  </si>
  <si>
    <t>SHERANİ</t>
  </si>
  <si>
    <t>Muqadasa</t>
  </si>
  <si>
    <t>19050141004</t>
  </si>
  <si>
    <t>İLBAL</t>
  </si>
  <si>
    <t>Münevver</t>
  </si>
  <si>
    <t>18080211141</t>
  </si>
  <si>
    <t>BAŞKAN</t>
  </si>
  <si>
    <t>Muhterem</t>
  </si>
  <si>
    <t>18050511061</t>
  </si>
  <si>
    <t>ÇAKMAK</t>
  </si>
  <si>
    <t>Muhsin Zahid</t>
  </si>
  <si>
    <t>17010111220</t>
  </si>
  <si>
    <t>ÖNKOL</t>
  </si>
  <si>
    <t>Muhammet Salih</t>
  </si>
  <si>
    <t>18050441015</t>
  </si>
  <si>
    <t>AKEL</t>
  </si>
  <si>
    <t>Muhammet Enes</t>
  </si>
  <si>
    <t>19050211049</t>
  </si>
  <si>
    <t>AKBURAK</t>
  </si>
  <si>
    <t>19050511067</t>
  </si>
  <si>
    <t>ALZAWAWİ</t>
  </si>
  <si>
    <t>Noor Maher Zakarıa</t>
  </si>
  <si>
    <t>19130141010</t>
  </si>
  <si>
    <t>GÜL</t>
  </si>
  <si>
    <t>17080111130</t>
  </si>
  <si>
    <t>KILINÇ</t>
  </si>
  <si>
    <t>Nisa Nur</t>
  </si>
  <si>
    <t>21060711038</t>
  </si>
  <si>
    <t>BEKTAŞ</t>
  </si>
  <si>
    <t>215502756</t>
  </si>
  <si>
    <t>DEMİRKAN</t>
  </si>
  <si>
    <t>Nisa Begüm</t>
  </si>
  <si>
    <t>17010111186</t>
  </si>
  <si>
    <t>CANBOLAT</t>
  </si>
  <si>
    <t>Nil Kerime</t>
  </si>
  <si>
    <t>18070411029</t>
  </si>
  <si>
    <t>Saral</t>
  </si>
  <si>
    <t>Nihat Can</t>
  </si>
  <si>
    <t>20110151002</t>
  </si>
  <si>
    <t>ÖNER</t>
  </si>
  <si>
    <t>Nevin</t>
  </si>
  <si>
    <t>177110020</t>
  </si>
  <si>
    <t>Nazife</t>
  </si>
  <si>
    <t>18050311030</t>
  </si>
  <si>
    <t>MUSSA</t>
  </si>
  <si>
    <t>Natasha</t>
  </si>
  <si>
    <t>215308104</t>
  </si>
  <si>
    <t>KARİMZADA</t>
  </si>
  <si>
    <t>Narmin</t>
  </si>
  <si>
    <t>17080241017</t>
  </si>
  <si>
    <t>UMIL</t>
  </si>
  <si>
    <t>Nailah Sayidatul</t>
  </si>
  <si>
    <t>20030241033</t>
  </si>
  <si>
    <t>BAYRAK</t>
  </si>
  <si>
    <t>Naciye Sena</t>
  </si>
  <si>
    <t>17080111123</t>
  </si>
  <si>
    <t>BEĞEN</t>
  </si>
  <si>
    <t>Müzeyyen İnci</t>
  </si>
  <si>
    <t>18050611020</t>
  </si>
  <si>
    <t>TİMUR</t>
  </si>
  <si>
    <t>Müzeyyen Beyza</t>
  </si>
  <si>
    <t>215113118</t>
  </si>
  <si>
    <t>BULGAY</t>
  </si>
  <si>
    <t>Muzaffer Enes</t>
  </si>
  <si>
    <t>18130111004</t>
  </si>
  <si>
    <t>19020811016</t>
  </si>
  <si>
    <t>KILIÇASLAN</t>
  </si>
  <si>
    <t>20050111077</t>
  </si>
  <si>
    <t>KIZILGEDİK</t>
  </si>
  <si>
    <t>Ömer</t>
  </si>
  <si>
    <t>17030411015</t>
  </si>
  <si>
    <t>KARSLIOĞLU</t>
  </si>
  <si>
    <t>17050211061</t>
  </si>
  <si>
    <t>DAĞLAR</t>
  </si>
  <si>
    <t>18080111008</t>
  </si>
  <si>
    <t>SALHAB</t>
  </si>
  <si>
    <t>Omar</t>
  </si>
  <si>
    <t>195101130</t>
  </si>
  <si>
    <t>IBRAHİMİ</t>
  </si>
  <si>
    <t>19080141055</t>
  </si>
  <si>
    <t>URGAN</t>
  </si>
  <si>
    <t>19020311036</t>
  </si>
  <si>
    <t>KAYAN</t>
  </si>
  <si>
    <t>20020851001</t>
  </si>
  <si>
    <t>21060211070</t>
  </si>
  <si>
    <t>OKTAZE</t>
  </si>
  <si>
    <t>Oğuz Kaan</t>
  </si>
  <si>
    <t>18080111027</t>
  </si>
  <si>
    <t>ÜNLERŞEN</t>
  </si>
  <si>
    <t>20050211059</t>
  </si>
  <si>
    <t>Nuriye</t>
  </si>
  <si>
    <t>19050311022</t>
  </si>
  <si>
    <t>KARAAĞAÇ</t>
  </si>
  <si>
    <t>Nuray</t>
  </si>
  <si>
    <t>17010111004</t>
  </si>
  <si>
    <t>BUUL</t>
  </si>
  <si>
    <t>Nur Abdullahı</t>
  </si>
  <si>
    <t>20070341035</t>
  </si>
  <si>
    <t>BOZBOĞA</t>
  </si>
  <si>
    <t>Nupel</t>
  </si>
  <si>
    <t>16080111006</t>
  </si>
  <si>
    <t>19020411044</t>
  </si>
  <si>
    <t>19020411023</t>
  </si>
  <si>
    <t>Öykü Su</t>
  </si>
  <si>
    <t>19080211044</t>
  </si>
  <si>
    <t>kalaç</t>
  </si>
  <si>
    <t>öykü</t>
  </si>
  <si>
    <t>19050711027</t>
  </si>
  <si>
    <t>ERBİL</t>
  </si>
  <si>
    <t>Öykü</t>
  </si>
  <si>
    <t>17080111108</t>
  </si>
  <si>
    <t>0</t>
  </si>
  <si>
    <t>KARAGÖZ</t>
  </si>
  <si>
    <t>Osman</t>
  </si>
  <si>
    <t>18080111059</t>
  </si>
  <si>
    <t>Orhan</t>
  </si>
  <si>
    <t>17010111217</t>
  </si>
  <si>
    <t>DURMUŞ</t>
  </si>
  <si>
    <t>Onurhan</t>
  </si>
  <si>
    <t>20110111022</t>
  </si>
  <si>
    <t>Onur Hakan</t>
  </si>
  <si>
    <t>20050611019</t>
  </si>
  <si>
    <t>TOPBAŞ</t>
  </si>
  <si>
    <t>21050711031</t>
  </si>
  <si>
    <t>FIRAT</t>
  </si>
  <si>
    <t>20020311006</t>
  </si>
  <si>
    <t>ERARSLAN</t>
  </si>
  <si>
    <t>Ömür Nebi</t>
  </si>
  <si>
    <t>17030411006</t>
  </si>
  <si>
    <t>Ömerv Faruk</t>
  </si>
  <si>
    <t>18070111018</t>
  </si>
  <si>
    <t>VURGUN</t>
  </si>
  <si>
    <t>17080111043</t>
  </si>
  <si>
    <t>215206102</t>
  </si>
  <si>
    <t>DAĞLI</t>
  </si>
  <si>
    <t>17010111024</t>
  </si>
  <si>
    <t>KAYAALP</t>
  </si>
  <si>
    <t>Rukiye Buse</t>
  </si>
  <si>
    <t>19020411062</t>
  </si>
  <si>
    <t>ILGAZ</t>
  </si>
  <si>
    <t>Rukiye</t>
  </si>
  <si>
    <t>19020411102</t>
  </si>
  <si>
    <t>KARAKUŞ</t>
  </si>
  <si>
    <t>Rüken</t>
  </si>
  <si>
    <t>19060711027</t>
  </si>
  <si>
    <t>Rıfat</t>
  </si>
  <si>
    <t>19060211066</t>
  </si>
  <si>
    <t>KALAYCI</t>
  </si>
  <si>
    <t>Rıdvan</t>
  </si>
  <si>
    <t>18050261002</t>
  </si>
  <si>
    <t>Gachomba</t>
  </si>
  <si>
    <t>Regina</t>
  </si>
  <si>
    <t>18050141024</t>
  </si>
  <si>
    <t>MUBENGA</t>
  </si>
  <si>
    <t>Reagan Kalala</t>
  </si>
  <si>
    <t>16020641002</t>
  </si>
  <si>
    <t>Ramazan Mert</t>
  </si>
  <si>
    <t>18030411005</t>
  </si>
  <si>
    <t>PAPAĞAN</t>
  </si>
  <si>
    <t>Rabia Sultan</t>
  </si>
  <si>
    <t>19030311059</t>
  </si>
  <si>
    <t>20050351006</t>
  </si>
  <si>
    <t>SOYUĞUZ</t>
  </si>
  <si>
    <t>Pınar</t>
  </si>
  <si>
    <t>19050711040</t>
  </si>
  <si>
    <t>Perihan</t>
  </si>
  <si>
    <t>17020411029</t>
  </si>
  <si>
    <t>18030111014</t>
  </si>
  <si>
    <t>Özüm</t>
  </si>
  <si>
    <t>17100111008</t>
  </si>
  <si>
    <t>YELLİCE</t>
  </si>
  <si>
    <t>18030311052</t>
  </si>
  <si>
    <t>PEHLİVAN</t>
  </si>
  <si>
    <t>Selcan</t>
  </si>
  <si>
    <t>16030211025</t>
  </si>
  <si>
    <t>ERKILIÇ</t>
  </si>
  <si>
    <t>Şefika Sümeyye</t>
  </si>
  <si>
    <t>18020311059</t>
  </si>
  <si>
    <t>ÖZER</t>
  </si>
  <si>
    <t>Sefa</t>
  </si>
  <si>
    <t>17070211059</t>
  </si>
  <si>
    <t>KOYUN</t>
  </si>
  <si>
    <t>Sedef</t>
  </si>
  <si>
    <t>17070411050</t>
  </si>
  <si>
    <t>GÜREL</t>
  </si>
  <si>
    <t>Seda Nur</t>
  </si>
  <si>
    <t>18010111017</t>
  </si>
  <si>
    <t>ACIOĞLU</t>
  </si>
  <si>
    <t>20070411028</t>
  </si>
  <si>
    <t>TARAKİ</t>
  </si>
  <si>
    <t>Saqeb</t>
  </si>
  <si>
    <t>15080141047</t>
  </si>
  <si>
    <t>BULUT</t>
  </si>
  <si>
    <t>Sami Burak</t>
  </si>
  <si>
    <t>16030411050</t>
  </si>
  <si>
    <t>ADIGÜZEL</t>
  </si>
  <si>
    <t>Şafak</t>
  </si>
  <si>
    <t>18020411059</t>
  </si>
  <si>
    <t>AKGEDİK</t>
  </si>
  <si>
    <t>Safa Kaan</t>
  </si>
  <si>
    <t>16080111082</t>
  </si>
  <si>
    <t>MOHAMED</t>
  </si>
  <si>
    <t>Sadik</t>
  </si>
  <si>
    <t>21070441023</t>
  </si>
  <si>
    <t>ANBARYAPAN</t>
  </si>
  <si>
    <t>Sacide</t>
  </si>
  <si>
    <t>17090111014</t>
  </si>
  <si>
    <t>Sabire Ceren</t>
  </si>
  <si>
    <t>19080111004</t>
  </si>
  <si>
    <t>KURTGÖZ</t>
  </si>
  <si>
    <t>19020411031</t>
  </si>
  <si>
    <t>KİRİK</t>
  </si>
  <si>
    <t>19060911025</t>
  </si>
  <si>
    <t>İBİLOĞLU</t>
  </si>
  <si>
    <t>Senanur</t>
  </si>
  <si>
    <t>21020811047</t>
  </si>
  <si>
    <t>19070411012</t>
  </si>
  <si>
    <t>TANRIKULU</t>
  </si>
  <si>
    <t>20050211030</t>
  </si>
  <si>
    <t>21030411038</t>
  </si>
  <si>
    <t>KARATAŞ</t>
  </si>
  <si>
    <t>17070311011</t>
  </si>
  <si>
    <t>GÜRGİL</t>
  </si>
  <si>
    <t>17070211008</t>
  </si>
  <si>
    <t>SALEH</t>
  </si>
  <si>
    <t>Semır Mohammed</t>
  </si>
  <si>
    <t>205103401</t>
  </si>
  <si>
    <t>GÜR</t>
  </si>
  <si>
    <t>19050111017</t>
  </si>
  <si>
    <t>İNCE</t>
  </si>
  <si>
    <t>Semanur</t>
  </si>
  <si>
    <t>19030211048</t>
  </si>
  <si>
    <t>OYGUR</t>
  </si>
  <si>
    <t>20050511006</t>
  </si>
  <si>
    <t>Sema</t>
  </si>
  <si>
    <t>18020411027</t>
  </si>
  <si>
    <t>GÜNAYDIN</t>
  </si>
  <si>
    <t>Selma Ceren</t>
  </si>
  <si>
    <t>19060211012</t>
  </si>
  <si>
    <t>Seçkin</t>
  </si>
  <si>
    <t>Selin</t>
  </si>
  <si>
    <t>18080211082</t>
  </si>
  <si>
    <t>KARAGÜLLÜ</t>
  </si>
  <si>
    <t>20050511052</t>
  </si>
  <si>
    <t>20070411056</t>
  </si>
  <si>
    <t>ÇİVİCİ</t>
  </si>
  <si>
    <t>Selennur</t>
  </si>
  <si>
    <t>19030211045</t>
  </si>
  <si>
    <t>TAŞEL</t>
  </si>
  <si>
    <t>Seyran</t>
  </si>
  <si>
    <t>16030111002</t>
  </si>
  <si>
    <t>AH</t>
  </si>
  <si>
    <t>Şeyma Nur</t>
  </si>
  <si>
    <t>17090141015</t>
  </si>
  <si>
    <t xml:space="preserve">Ekinci </t>
  </si>
  <si>
    <t>Şeyma</t>
  </si>
  <si>
    <t>19020311022</t>
  </si>
  <si>
    <t>AKAN</t>
  </si>
  <si>
    <t>17090111032</t>
  </si>
  <si>
    <t>KÖKSAL</t>
  </si>
  <si>
    <t>Seyhan</t>
  </si>
  <si>
    <t>19030111033</t>
  </si>
  <si>
    <t>Tanrıverdi</t>
  </si>
  <si>
    <t>Seyfettin</t>
  </si>
  <si>
    <t>16050411050</t>
  </si>
  <si>
    <t>KIRCA</t>
  </si>
  <si>
    <t>Şeyda Nur</t>
  </si>
  <si>
    <t>19020411032</t>
  </si>
  <si>
    <t>Şeyda</t>
  </si>
  <si>
    <t>19050611010</t>
  </si>
  <si>
    <t>Şevval Zeynep</t>
  </si>
  <si>
    <t>19060311109</t>
  </si>
  <si>
    <t>ACUNER</t>
  </si>
  <si>
    <t>Şevval Nur</t>
  </si>
  <si>
    <t>17010111045</t>
  </si>
  <si>
    <t>KUM</t>
  </si>
  <si>
    <t>Sevil Şilan</t>
  </si>
  <si>
    <t>18010111080</t>
  </si>
  <si>
    <t>AKDUMAN</t>
  </si>
  <si>
    <t>Sevdenur</t>
  </si>
  <si>
    <t>17010111091</t>
  </si>
  <si>
    <t>Yeşil</t>
  </si>
  <si>
    <t>Sevde</t>
  </si>
  <si>
    <t>17020411030</t>
  </si>
  <si>
    <t>Serhat</t>
  </si>
  <si>
    <t>17080291003</t>
  </si>
  <si>
    <t>Serdar</t>
  </si>
  <si>
    <t>19030411010</t>
  </si>
  <si>
    <t>CAN</t>
  </si>
  <si>
    <t>15080211120</t>
  </si>
  <si>
    <t>Sümeyye Gizem</t>
  </si>
  <si>
    <t>19010111178</t>
  </si>
  <si>
    <t>USTA</t>
  </si>
  <si>
    <t>Sümeyye Betül</t>
  </si>
  <si>
    <t>17010111013</t>
  </si>
  <si>
    <t>19030211054</t>
  </si>
  <si>
    <t>Sümeyra</t>
  </si>
  <si>
    <t>20020511049</t>
  </si>
  <si>
    <t>Şükran</t>
  </si>
  <si>
    <t>19020111005</t>
  </si>
  <si>
    <t>Gökgöz</t>
  </si>
  <si>
    <t>19060211031</t>
  </si>
  <si>
    <t>DERVİŞ</t>
  </si>
  <si>
    <t>Suheyb</t>
  </si>
  <si>
    <t>19050441012</t>
  </si>
  <si>
    <t>Süha Berk</t>
  </si>
  <si>
    <t>19050411067</t>
  </si>
  <si>
    <t>KÜÇÜKER</t>
  </si>
  <si>
    <t>Sude</t>
  </si>
  <si>
    <t>19010111055</t>
  </si>
  <si>
    <t>Durusoy</t>
  </si>
  <si>
    <t>Songül</t>
  </si>
  <si>
    <t>18130111015</t>
  </si>
  <si>
    <t>Sinem Sena</t>
  </si>
  <si>
    <t>20050211007</t>
  </si>
  <si>
    <t>TEKİNARSLAN</t>
  </si>
  <si>
    <t>18130111062</t>
  </si>
  <si>
    <t>SARICA</t>
  </si>
  <si>
    <t>18070411002</t>
  </si>
  <si>
    <t>ÇELİKTEN</t>
  </si>
  <si>
    <t>Sinan Şahin</t>
  </si>
  <si>
    <t>21710911029</t>
  </si>
  <si>
    <t>Sıla</t>
  </si>
  <si>
    <t>20060111005</t>
  </si>
  <si>
    <t>Sidal Sinem</t>
  </si>
  <si>
    <t>18020411049</t>
  </si>
  <si>
    <t>TÜRKKAN</t>
  </si>
  <si>
    <t>17050311047</t>
  </si>
  <si>
    <t>19030211030</t>
  </si>
  <si>
    <t>18080211108</t>
  </si>
  <si>
    <t>AYALUS PAONG LADANDENO</t>
  </si>
  <si>
    <t>VIO</t>
  </si>
  <si>
    <t>21050641005</t>
  </si>
  <si>
    <t>ARPACIK</t>
  </si>
  <si>
    <t>Vildan</t>
  </si>
  <si>
    <t>16080211036</t>
  </si>
  <si>
    <t>KARTUNOĞLU</t>
  </si>
  <si>
    <t>Vehbi</t>
  </si>
  <si>
    <t>17010111222</t>
  </si>
  <si>
    <t>YANBULOĞLU</t>
  </si>
  <si>
    <t>Ünsal</t>
  </si>
  <si>
    <t>19080111040</t>
  </si>
  <si>
    <t>GÖZEL</t>
  </si>
  <si>
    <t>Ümran</t>
  </si>
  <si>
    <t>18070411028</t>
  </si>
  <si>
    <t>YİĞİT</t>
  </si>
  <si>
    <t>Ufuk Can</t>
  </si>
  <si>
    <t>20050211021</t>
  </si>
  <si>
    <t>ÖZBAYRAK</t>
  </si>
  <si>
    <t>20050751002</t>
  </si>
  <si>
    <t>DAYI</t>
  </si>
  <si>
    <t>19070211056</t>
  </si>
  <si>
    <t>Tunay</t>
  </si>
  <si>
    <t>19030311048</t>
  </si>
  <si>
    <t>SUNGUR</t>
  </si>
  <si>
    <t>Tuğçe Selen</t>
  </si>
  <si>
    <t>18070311055</t>
  </si>
  <si>
    <t>POLAT</t>
  </si>
  <si>
    <t>20110111003</t>
  </si>
  <si>
    <t>TUNCAY</t>
  </si>
  <si>
    <t>Taha</t>
  </si>
  <si>
    <t>19030411055</t>
  </si>
  <si>
    <t>ÇAVDAR</t>
  </si>
  <si>
    <t>Şura</t>
  </si>
  <si>
    <t>20030451001</t>
  </si>
  <si>
    <t>GRP30</t>
  </si>
  <si>
    <t>GRP31</t>
  </si>
  <si>
    <t>Zahide</t>
  </si>
  <si>
    <t>18090111028</t>
  </si>
  <si>
    <t>AMİNİ</t>
  </si>
  <si>
    <t>Zabihullah</t>
  </si>
  <si>
    <t>18030241008</t>
  </si>
  <si>
    <t>UZUNER</t>
  </si>
  <si>
    <t>Yusuf</t>
  </si>
  <si>
    <t>19080111018</t>
  </si>
  <si>
    <t>KARADUT</t>
  </si>
  <si>
    <t>18050411002</t>
  </si>
  <si>
    <t>DİKMEN</t>
  </si>
  <si>
    <t>17030441011</t>
  </si>
  <si>
    <t>CEYHAN</t>
  </si>
  <si>
    <t>05050387206</t>
  </si>
  <si>
    <t>19070441022</t>
  </si>
  <si>
    <t>AKKOYUN</t>
  </si>
  <si>
    <t>18130111049</t>
  </si>
  <si>
    <t>ARSLANTÜRK</t>
  </si>
  <si>
    <t>Yeşim</t>
  </si>
  <si>
    <t>19050411042</t>
  </si>
  <si>
    <t>AULİA</t>
  </si>
  <si>
    <t>Yaztrid Nur</t>
  </si>
  <si>
    <t>15080141043</t>
  </si>
  <si>
    <t>Yasin</t>
  </si>
  <si>
    <t>19050461003</t>
  </si>
  <si>
    <t>20090111095</t>
  </si>
  <si>
    <t>KAYMAZ</t>
  </si>
  <si>
    <t>Yaren</t>
  </si>
  <si>
    <t>18070411041</t>
  </si>
  <si>
    <t>BAYKUŞ</t>
  </si>
  <si>
    <t>17010111043</t>
  </si>
  <si>
    <t>DOĞDU</t>
  </si>
  <si>
    <t>Yağmur Zeynep</t>
  </si>
  <si>
    <t>19080211078</t>
  </si>
  <si>
    <t>Yağmur Dilara</t>
  </si>
  <si>
    <t>20080111111</t>
  </si>
  <si>
    <t>UÇAR</t>
  </si>
  <si>
    <t>19070211045</t>
  </si>
  <si>
    <t>TÜREDİLER</t>
  </si>
  <si>
    <t>19050711032</t>
  </si>
  <si>
    <t>TOKBAY</t>
  </si>
  <si>
    <t>21070451001</t>
  </si>
  <si>
    <t>SEYMAN</t>
  </si>
  <si>
    <t>16090111043</t>
  </si>
  <si>
    <t>KURTOĞLU</t>
  </si>
  <si>
    <t>20050711002</t>
  </si>
  <si>
    <t>17010111216</t>
  </si>
  <si>
    <t>AYTEKİN</t>
  </si>
  <si>
    <t>Zekeriya Bilal</t>
  </si>
  <si>
    <t>18070361001</t>
  </si>
  <si>
    <t>SERT</t>
  </si>
  <si>
    <t>Zehra Betül</t>
  </si>
  <si>
    <t>20060911037</t>
  </si>
  <si>
    <t>VAROL</t>
  </si>
  <si>
    <t>197110036</t>
  </si>
  <si>
    <t>ERDEM</t>
  </si>
  <si>
    <t>20090121001</t>
  </si>
  <si>
    <t>ÇAKAR</t>
  </si>
  <si>
    <t>20050511046</t>
  </si>
  <si>
    <t>BAYIN</t>
  </si>
  <si>
    <t>195103156</t>
  </si>
  <si>
    <t>ASYILI</t>
  </si>
  <si>
    <t>19030111028</t>
  </si>
  <si>
    <t>Askarli</t>
  </si>
  <si>
    <t>Zarifa</t>
  </si>
  <si>
    <t>19030241035</t>
  </si>
  <si>
    <t>ELAMAMİ</t>
  </si>
  <si>
    <t>zakarya</t>
  </si>
  <si>
    <t>14080141001</t>
  </si>
  <si>
    <t>ALBUAZAM</t>
  </si>
  <si>
    <t>Zaıd Alı Abdulkathım</t>
  </si>
  <si>
    <t>17050241001</t>
  </si>
  <si>
    <t>Zeynep İlayda</t>
  </si>
  <si>
    <t>19020311017</t>
  </si>
  <si>
    <t>DEMİR</t>
  </si>
  <si>
    <t>Zeynep Nur</t>
  </si>
  <si>
    <t>18070211059</t>
  </si>
  <si>
    <t>Zeynep Sude</t>
  </si>
  <si>
    <t>20080111104</t>
  </si>
  <si>
    <t>Zeynep Verda</t>
  </si>
  <si>
    <t>18010111150</t>
  </si>
  <si>
    <t>19020411073</t>
  </si>
  <si>
    <t>Zeynepnur</t>
  </si>
  <si>
    <t>ŞENTÜRK</t>
  </si>
  <si>
    <t>20020311043</t>
  </si>
  <si>
    <t>Zülal</t>
  </si>
  <si>
    <t>20060511045</t>
  </si>
  <si>
    <t>Zümrette</t>
  </si>
  <si>
    <t>TERCANER</t>
  </si>
  <si>
    <t>C312</t>
  </si>
  <si>
    <t>C405</t>
  </si>
  <si>
    <t>C406</t>
  </si>
  <si>
    <t>C408</t>
  </si>
  <si>
    <t>C410</t>
  </si>
  <si>
    <t>C412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</si>
</sst>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b/>
      <sz val="10"/>
      <color theme="1"/>
      <name val="Times New Roman"/>
      <family val="1"/>
      <charset val="162"/>
    </font>
    <font>
      <b/>
      <sz val="10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9" xfId="3" xr:uid="{00000000-0005-0000-0000-000004000000}"/>
    <cellStyle name="Normal 4" xfId="4" xr:uid="{00000000-0005-0000-0000-000005000000}"/>
    <cellStyle name="Normal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K706"/>
  <sheetViews>
    <sheetView tabSelected="1" view="pageBreakPreview" zoomScaleNormal="100" zoomScaleSheetLayoutView="100" zoomScalePageLayoutView="80" workbookViewId="0"/>
  </sheetViews>
  <sheetFormatPr baseColWidth="10" defaultColWidth="12.5" defaultRowHeight="24.75" customHeight="1" x14ac:dyDescent="0.2"/>
  <cols>
    <col min="1" max="1" width="4" style="8" customWidth="1"/>
    <col min="2" max="2" width="8.5" style="8" customWidth="1"/>
    <col min="3" max="3" width="13.33203125" style="5" customWidth="1"/>
    <col min="4" max="4" width="20.5" style="4" customWidth="1"/>
    <col min="5" max="5" width="28.5" style="4" customWidth="1"/>
    <col min="6" max="9" width="3" style="2" customWidth="1"/>
    <col min="10" max="10" width="26.33203125" style="2" customWidth="1"/>
    <col min="11" max="16384" width="12.5" style="2"/>
  </cols>
  <sheetData>
    <row r="1" spans="1:10" ht="24.75" customHeight="1" x14ac:dyDescent="0.2">
      <c r="B1" s="8" t="s">
        <v>4</v>
      </c>
      <c r="C1" s="5" t="s">
        <v>23</v>
      </c>
      <c r="F1" s="2" t="s">
        <v>0</v>
      </c>
      <c r="H1" s="12"/>
      <c r="I1" s="12"/>
      <c r="J1" s="2" t="s">
        <v>51</v>
      </c>
    </row>
    <row r="2" spans="1:10" ht="24.75" customHeight="1" x14ac:dyDescent="0.2">
      <c r="F2" s="12" t="s">
        <v>3</v>
      </c>
      <c r="G2" s="12"/>
      <c r="H2" s="12"/>
      <c r="I2" s="12"/>
      <c r="J2" s="12"/>
    </row>
    <row r="3" spans="1:10" ht="24.75" customHeight="1" x14ac:dyDescent="0.2">
      <c r="A3" s="8">
        <v>1</v>
      </c>
      <c r="C3" s="13" t="s">
        <v>163</v>
      </c>
      <c r="D3" s="10" t="s">
        <v>164</v>
      </c>
      <c r="E3" s="10" t="s">
        <v>165</v>
      </c>
      <c r="F3" s="12"/>
      <c r="G3" s="12"/>
      <c r="H3" s="12"/>
      <c r="I3" s="12"/>
      <c r="J3" s="12"/>
    </row>
    <row r="4" spans="1:10" ht="24.75" customHeight="1" x14ac:dyDescent="0.2">
      <c r="A4" s="8">
        <v>2</v>
      </c>
      <c r="C4" s="13" t="s">
        <v>166</v>
      </c>
      <c r="D4" s="10" t="s">
        <v>167</v>
      </c>
      <c r="E4" s="10" t="s">
        <v>168</v>
      </c>
      <c r="F4" s="12"/>
      <c r="G4" s="12"/>
      <c r="H4" s="12"/>
      <c r="I4" s="12"/>
      <c r="J4" s="12"/>
    </row>
    <row r="5" spans="1:10" ht="24.75" customHeight="1" x14ac:dyDescent="0.2">
      <c r="A5" s="8">
        <v>3</v>
      </c>
      <c r="C5" s="13" t="s">
        <v>169</v>
      </c>
      <c r="D5" s="10" t="s">
        <v>170</v>
      </c>
      <c r="E5" s="10" t="s">
        <v>17</v>
      </c>
      <c r="F5" s="12"/>
      <c r="G5" s="12"/>
      <c r="H5" s="12"/>
      <c r="I5" s="12"/>
      <c r="J5" s="12"/>
    </row>
    <row r="6" spans="1:10" ht="24.75" customHeight="1" x14ac:dyDescent="0.2">
      <c r="A6" s="8">
        <v>4</v>
      </c>
      <c r="C6" s="13" t="s">
        <v>171</v>
      </c>
      <c r="D6" s="10" t="s">
        <v>172</v>
      </c>
      <c r="E6" s="10" t="s">
        <v>173</v>
      </c>
      <c r="F6" s="12"/>
      <c r="G6" s="12"/>
      <c r="H6" s="12"/>
      <c r="I6" s="12"/>
      <c r="J6" s="12"/>
    </row>
    <row r="7" spans="1:10" ht="24.75" customHeight="1" x14ac:dyDescent="0.2">
      <c r="A7" s="8">
        <v>5</v>
      </c>
      <c r="C7" s="13" t="s">
        <v>174</v>
      </c>
      <c r="D7" s="10" t="s">
        <v>175</v>
      </c>
      <c r="E7" s="10" t="s">
        <v>176</v>
      </c>
      <c r="F7" s="12"/>
      <c r="G7" s="12"/>
      <c r="H7" s="12"/>
      <c r="I7" s="12"/>
      <c r="J7" s="12"/>
    </row>
    <row r="8" spans="1:10" ht="24.75" customHeight="1" x14ac:dyDescent="0.2">
      <c r="A8" s="8">
        <v>6</v>
      </c>
      <c r="C8" s="13" t="s">
        <v>177</v>
      </c>
      <c r="D8" s="10" t="s">
        <v>178</v>
      </c>
      <c r="E8" s="10" t="s">
        <v>9</v>
      </c>
      <c r="F8" s="12"/>
      <c r="G8" s="12"/>
      <c r="H8" s="12"/>
      <c r="I8" s="12"/>
      <c r="J8" s="12"/>
    </row>
    <row r="9" spans="1:10" ht="24.75" customHeight="1" x14ac:dyDescent="0.2">
      <c r="A9" s="8">
        <v>7</v>
      </c>
      <c r="C9" s="13" t="s">
        <v>179</v>
      </c>
      <c r="D9" s="10" t="s">
        <v>180</v>
      </c>
      <c r="E9" s="10" t="s">
        <v>181</v>
      </c>
      <c r="F9" s="12"/>
      <c r="G9" s="12"/>
      <c r="H9" s="12"/>
      <c r="I9" s="12"/>
      <c r="J9" s="12"/>
    </row>
    <row r="10" spans="1:10" ht="24.75" customHeight="1" x14ac:dyDescent="0.2">
      <c r="A10" s="8">
        <v>8</v>
      </c>
      <c r="C10" s="13" t="s">
        <v>182</v>
      </c>
      <c r="D10" s="10" t="s">
        <v>183</v>
      </c>
      <c r="E10" s="10" t="s">
        <v>184</v>
      </c>
      <c r="F10" s="12"/>
      <c r="G10" s="12"/>
      <c r="H10" s="12"/>
      <c r="I10" s="12"/>
      <c r="J10" s="12"/>
    </row>
    <row r="11" spans="1:10" ht="24.75" customHeight="1" x14ac:dyDescent="0.2">
      <c r="A11" s="8">
        <v>9</v>
      </c>
      <c r="C11" s="13" t="s">
        <v>185</v>
      </c>
      <c r="D11" s="10" t="s">
        <v>138</v>
      </c>
      <c r="E11" s="10" t="s">
        <v>186</v>
      </c>
      <c r="F11" s="12"/>
      <c r="G11" s="12"/>
      <c r="H11" s="12"/>
      <c r="I11" s="12"/>
      <c r="J11" s="12"/>
    </row>
    <row r="12" spans="1:10" ht="24.75" customHeight="1" x14ac:dyDescent="0.2">
      <c r="A12" s="8">
        <v>10</v>
      </c>
      <c r="C12" s="13" t="s">
        <v>187</v>
      </c>
      <c r="D12" s="10" t="s">
        <v>138</v>
      </c>
      <c r="E12" s="10" t="s">
        <v>81</v>
      </c>
      <c r="F12" s="12"/>
      <c r="G12" s="12"/>
      <c r="H12" s="12"/>
      <c r="I12" s="12"/>
      <c r="J12" s="12"/>
    </row>
    <row r="13" spans="1:10" ht="24.75" customHeight="1" x14ac:dyDescent="0.2">
      <c r="A13" s="8">
        <v>11</v>
      </c>
      <c r="B13" s="3"/>
      <c r="C13" s="13" t="s">
        <v>188</v>
      </c>
      <c r="D13" s="10" t="s">
        <v>138</v>
      </c>
      <c r="E13" s="10" t="s">
        <v>37</v>
      </c>
      <c r="F13" s="12"/>
      <c r="G13" s="12"/>
      <c r="H13" s="12"/>
      <c r="I13" s="12"/>
      <c r="J13" s="12"/>
    </row>
    <row r="14" spans="1:10" ht="24.75" customHeight="1" x14ac:dyDescent="0.2">
      <c r="A14" s="8">
        <v>12</v>
      </c>
      <c r="B14" s="3"/>
      <c r="C14" s="13" t="s">
        <v>189</v>
      </c>
      <c r="D14" s="10" t="s">
        <v>190</v>
      </c>
      <c r="E14" s="10" t="s">
        <v>191</v>
      </c>
      <c r="F14" s="12"/>
      <c r="G14" s="12"/>
      <c r="H14" s="12"/>
      <c r="I14" s="12"/>
      <c r="J14" s="12"/>
    </row>
    <row r="15" spans="1:10" ht="24.75" customHeight="1" x14ac:dyDescent="0.2">
      <c r="A15" s="8">
        <v>13</v>
      </c>
      <c r="B15" s="3"/>
      <c r="C15" s="13" t="s">
        <v>192</v>
      </c>
      <c r="D15" s="10" t="s">
        <v>193</v>
      </c>
      <c r="E15" s="10" t="s">
        <v>194</v>
      </c>
      <c r="F15" s="12"/>
      <c r="G15" s="12"/>
      <c r="H15" s="12"/>
      <c r="I15" s="12"/>
      <c r="J15" s="12"/>
    </row>
    <row r="16" spans="1:10" ht="24.75" customHeight="1" x14ac:dyDescent="0.2">
      <c r="A16" s="8">
        <v>14</v>
      </c>
      <c r="B16" s="3"/>
      <c r="C16" s="13" t="s">
        <v>195</v>
      </c>
      <c r="D16" s="10" t="s">
        <v>196</v>
      </c>
      <c r="E16" s="10" t="s">
        <v>7</v>
      </c>
      <c r="F16" s="12"/>
      <c r="G16" s="12"/>
      <c r="H16" s="12"/>
      <c r="I16" s="12"/>
      <c r="J16" s="12"/>
    </row>
    <row r="17" spans="1:10" ht="24.75" customHeight="1" x14ac:dyDescent="0.2">
      <c r="A17" s="8">
        <v>15</v>
      </c>
      <c r="B17" s="3"/>
      <c r="C17" s="13" t="s">
        <v>197</v>
      </c>
      <c r="D17" s="10" t="s">
        <v>198</v>
      </c>
      <c r="E17" s="10" t="s">
        <v>199</v>
      </c>
      <c r="F17" s="12"/>
      <c r="G17" s="12"/>
      <c r="H17" s="12"/>
      <c r="I17" s="12"/>
      <c r="J17" s="12"/>
    </row>
    <row r="18" spans="1:10" ht="24.75" customHeight="1" x14ac:dyDescent="0.2">
      <c r="A18" s="8">
        <v>16</v>
      </c>
      <c r="B18" s="3"/>
      <c r="C18" s="13" t="s">
        <v>200</v>
      </c>
      <c r="D18" s="10" t="s">
        <v>201</v>
      </c>
      <c r="E18" s="10" t="s">
        <v>202</v>
      </c>
      <c r="F18" s="12"/>
      <c r="G18" s="12"/>
      <c r="H18" s="12"/>
      <c r="I18" s="12"/>
      <c r="J18" s="12"/>
    </row>
    <row r="19" spans="1:10" ht="24.75" customHeight="1" x14ac:dyDescent="0.2">
      <c r="A19" s="8">
        <v>17</v>
      </c>
      <c r="B19" s="3"/>
      <c r="C19" s="13" t="s">
        <v>203</v>
      </c>
      <c r="D19" s="10" t="s">
        <v>204</v>
      </c>
      <c r="E19" s="10" t="s">
        <v>205</v>
      </c>
      <c r="F19" s="12"/>
      <c r="G19" s="12"/>
      <c r="H19" s="12"/>
      <c r="I19" s="12"/>
      <c r="J19" s="12"/>
    </row>
    <row r="20" spans="1:10" ht="24.75" customHeight="1" x14ac:dyDescent="0.2">
      <c r="A20" s="8">
        <v>18</v>
      </c>
      <c r="B20" s="3"/>
      <c r="C20" s="13" t="s">
        <v>206</v>
      </c>
      <c r="D20" s="10" t="s">
        <v>207</v>
      </c>
      <c r="E20" s="10" t="s">
        <v>208</v>
      </c>
      <c r="F20" s="12"/>
      <c r="G20" s="12"/>
      <c r="H20" s="12"/>
      <c r="I20" s="12"/>
      <c r="J20" s="12"/>
    </row>
    <row r="21" spans="1:10" ht="24.75" customHeight="1" x14ac:dyDescent="0.2">
      <c r="A21" s="8">
        <v>19</v>
      </c>
      <c r="B21" s="3"/>
      <c r="C21" s="13" t="s">
        <v>209</v>
      </c>
      <c r="D21" s="10" t="s">
        <v>210</v>
      </c>
      <c r="E21" s="10" t="s">
        <v>17</v>
      </c>
      <c r="F21" s="12"/>
      <c r="G21" s="12"/>
      <c r="H21" s="12"/>
      <c r="I21" s="12"/>
      <c r="J21" s="12"/>
    </row>
    <row r="22" spans="1:10" ht="24.75" customHeight="1" x14ac:dyDescent="0.2">
      <c r="A22" s="8">
        <v>20</v>
      </c>
      <c r="B22" s="3"/>
      <c r="C22" s="13" t="s">
        <v>211</v>
      </c>
      <c r="D22" s="10" t="s">
        <v>212</v>
      </c>
      <c r="E22" s="10" t="s">
        <v>213</v>
      </c>
      <c r="F22" s="12"/>
      <c r="G22" s="12"/>
      <c r="H22" s="12"/>
      <c r="I22" s="12"/>
      <c r="J22" s="12"/>
    </row>
    <row r="23" spans="1:10" ht="24.75" customHeight="1" x14ac:dyDescent="0.2">
      <c r="A23" s="8">
        <v>21</v>
      </c>
      <c r="B23" s="3"/>
      <c r="C23" s="13" t="s">
        <v>214</v>
      </c>
      <c r="D23" s="10" t="s">
        <v>215</v>
      </c>
      <c r="E23" s="10" t="s">
        <v>216</v>
      </c>
      <c r="F23" s="12"/>
      <c r="G23" s="12"/>
      <c r="H23" s="12"/>
      <c r="I23" s="12"/>
      <c r="J23" s="12"/>
    </row>
    <row r="24" spans="1:10" ht="24.75" customHeight="1" x14ac:dyDescent="0.2">
      <c r="A24" s="8">
        <v>22</v>
      </c>
      <c r="B24" s="3"/>
      <c r="C24" s="13" t="s">
        <v>217</v>
      </c>
      <c r="D24" s="10" t="s">
        <v>218</v>
      </c>
      <c r="E24" s="10" t="s">
        <v>219</v>
      </c>
      <c r="F24" s="12"/>
      <c r="G24" s="12"/>
      <c r="H24" s="12"/>
      <c r="I24" s="12"/>
      <c r="J24" s="12"/>
    </row>
    <row r="25" spans="1:10" ht="24.75" customHeight="1" x14ac:dyDescent="0.2">
      <c r="A25" s="8">
        <v>23</v>
      </c>
      <c r="B25" s="3"/>
      <c r="C25" s="13" t="s">
        <v>220</v>
      </c>
      <c r="D25" s="10" t="s">
        <v>221</v>
      </c>
      <c r="E25" s="10" t="s">
        <v>222</v>
      </c>
      <c r="F25" s="12"/>
      <c r="G25" s="12"/>
      <c r="H25" s="12"/>
      <c r="I25" s="12"/>
      <c r="J25" s="12"/>
    </row>
    <row r="26" spans="1:10" ht="24.75" customHeight="1" x14ac:dyDescent="0.2">
      <c r="A26" s="8">
        <v>24</v>
      </c>
      <c r="B26" s="3"/>
      <c r="C26" s="13" t="s">
        <v>223</v>
      </c>
      <c r="D26" s="10" t="s">
        <v>224</v>
      </c>
      <c r="E26" s="10" t="s">
        <v>225</v>
      </c>
      <c r="F26" s="12"/>
      <c r="G26" s="12"/>
      <c r="H26" s="12"/>
      <c r="I26" s="12"/>
      <c r="J26" s="12"/>
    </row>
    <row r="27" spans="1:10" ht="24.75" customHeight="1" x14ac:dyDescent="0.2">
      <c r="A27" s="8">
        <v>25</v>
      </c>
      <c r="B27" s="3"/>
      <c r="C27" s="13" t="s">
        <v>226</v>
      </c>
      <c r="D27" s="10" t="s">
        <v>227</v>
      </c>
      <c r="E27" s="10" t="s">
        <v>228</v>
      </c>
      <c r="F27" s="12"/>
      <c r="G27" s="12"/>
      <c r="H27" s="12"/>
      <c r="I27" s="12"/>
      <c r="J27" s="12"/>
    </row>
    <row r="28" spans="1:10" ht="24.75" customHeight="1" x14ac:dyDescent="0.2">
      <c r="A28" s="8">
        <v>26</v>
      </c>
      <c r="B28" s="3"/>
      <c r="C28" s="14"/>
      <c r="D28" s="11"/>
      <c r="E28" s="11"/>
      <c r="F28" s="12"/>
      <c r="G28" s="12"/>
      <c r="H28" s="12"/>
      <c r="I28" s="12"/>
      <c r="J28" s="12"/>
    </row>
    <row r="29" spans="1:10" ht="24.75" customHeight="1" x14ac:dyDescent="0.2">
      <c r="B29" s="8" t="s">
        <v>4</v>
      </c>
      <c r="C29" s="5" t="s">
        <v>24</v>
      </c>
      <c r="F29" s="2" t="s">
        <v>0</v>
      </c>
      <c r="H29" s="12"/>
      <c r="I29" s="12"/>
      <c r="J29" s="2" t="s">
        <v>52</v>
      </c>
    </row>
    <row r="30" spans="1:10" ht="24.75" customHeight="1" x14ac:dyDescent="0.2">
      <c r="F30" s="12" t="s">
        <v>3</v>
      </c>
      <c r="G30" s="12"/>
      <c r="H30" s="12"/>
      <c r="I30" s="12"/>
      <c r="J30" s="12"/>
    </row>
    <row r="31" spans="1:10" ht="24.75" customHeight="1" x14ac:dyDescent="0.2">
      <c r="A31" s="3">
        <v>1</v>
      </c>
      <c r="B31" s="3"/>
      <c r="C31" s="13" t="s">
        <v>288</v>
      </c>
      <c r="D31" s="10" t="s">
        <v>280</v>
      </c>
      <c r="E31" s="10" t="s">
        <v>287</v>
      </c>
      <c r="F31" s="12"/>
      <c r="G31" s="12"/>
      <c r="H31" s="12"/>
      <c r="I31" s="12"/>
      <c r="J31" s="12"/>
    </row>
    <row r="32" spans="1:10" ht="24.75" customHeight="1" x14ac:dyDescent="0.2">
      <c r="A32" s="3">
        <v>2</v>
      </c>
      <c r="B32" s="3"/>
      <c r="C32" s="13" t="s">
        <v>286</v>
      </c>
      <c r="D32" s="10" t="s">
        <v>280</v>
      </c>
      <c r="E32" s="10" t="s">
        <v>36</v>
      </c>
      <c r="F32" s="12"/>
      <c r="G32" s="12"/>
      <c r="H32" s="12"/>
      <c r="I32" s="12"/>
      <c r="J32" s="12"/>
    </row>
    <row r="33" spans="1:10" ht="24.75" customHeight="1" x14ac:dyDescent="0.2">
      <c r="A33" s="3">
        <v>3</v>
      </c>
      <c r="B33" s="3"/>
      <c r="C33" s="13" t="s">
        <v>285</v>
      </c>
      <c r="D33" s="10" t="s">
        <v>280</v>
      </c>
      <c r="E33" s="10" t="s">
        <v>284</v>
      </c>
      <c r="F33" s="12"/>
      <c r="G33" s="12"/>
      <c r="H33" s="12"/>
      <c r="I33" s="12"/>
      <c r="J33" s="12"/>
    </row>
    <row r="34" spans="1:10" ht="24.75" customHeight="1" x14ac:dyDescent="0.2">
      <c r="A34" s="3">
        <v>4</v>
      </c>
      <c r="B34" s="3"/>
      <c r="C34" s="13" t="s">
        <v>283</v>
      </c>
      <c r="D34" s="10" t="s">
        <v>280</v>
      </c>
      <c r="E34" s="10" t="s">
        <v>282</v>
      </c>
      <c r="F34" s="12"/>
      <c r="G34" s="12"/>
      <c r="H34" s="12"/>
      <c r="I34" s="12"/>
      <c r="J34" s="12"/>
    </row>
    <row r="35" spans="1:10" ht="24.75" customHeight="1" x14ac:dyDescent="0.2">
      <c r="A35" s="3">
        <v>5</v>
      </c>
      <c r="B35" s="3"/>
      <c r="C35" s="13" t="s">
        <v>281</v>
      </c>
      <c r="D35" s="10" t="s">
        <v>280</v>
      </c>
      <c r="E35" s="10" t="s">
        <v>279</v>
      </c>
      <c r="F35" s="12"/>
      <c r="G35" s="12"/>
      <c r="H35" s="12"/>
      <c r="I35" s="12"/>
      <c r="J35" s="12"/>
    </row>
    <row r="36" spans="1:10" ht="24.75" customHeight="1" x14ac:dyDescent="0.2">
      <c r="A36" s="3">
        <v>6</v>
      </c>
      <c r="B36" s="3"/>
      <c r="C36" s="13" t="s">
        <v>278</v>
      </c>
      <c r="D36" s="10" t="s">
        <v>277</v>
      </c>
      <c r="E36" s="10" t="s">
        <v>276</v>
      </c>
      <c r="F36" s="12"/>
      <c r="G36" s="12"/>
      <c r="H36" s="12"/>
      <c r="I36" s="12"/>
      <c r="J36" s="12"/>
    </row>
    <row r="37" spans="1:10" ht="24.75" customHeight="1" x14ac:dyDescent="0.2">
      <c r="A37" s="3">
        <v>7</v>
      </c>
      <c r="B37" s="3"/>
      <c r="C37" s="13" t="s">
        <v>275</v>
      </c>
      <c r="D37" s="10" t="s">
        <v>274</v>
      </c>
      <c r="E37" s="10" t="s">
        <v>273</v>
      </c>
      <c r="F37" s="12"/>
      <c r="G37" s="12"/>
      <c r="H37" s="12"/>
      <c r="I37" s="12"/>
      <c r="J37" s="12"/>
    </row>
    <row r="38" spans="1:10" ht="24.75" customHeight="1" x14ac:dyDescent="0.2">
      <c r="A38" s="3">
        <v>8</v>
      </c>
      <c r="B38" s="3"/>
      <c r="C38" s="13" t="s">
        <v>272</v>
      </c>
      <c r="D38" s="10" t="s">
        <v>271</v>
      </c>
      <c r="E38" s="10" t="s">
        <v>270</v>
      </c>
      <c r="F38" s="12"/>
      <c r="G38" s="12"/>
      <c r="H38" s="12"/>
      <c r="I38" s="12"/>
      <c r="J38" s="12"/>
    </row>
    <row r="39" spans="1:10" ht="24.75" customHeight="1" x14ac:dyDescent="0.2">
      <c r="A39" s="3">
        <v>9</v>
      </c>
      <c r="B39" s="3"/>
      <c r="C39" s="13" t="s">
        <v>269</v>
      </c>
      <c r="D39" s="10" t="s">
        <v>268</v>
      </c>
      <c r="E39" s="10" t="s">
        <v>267</v>
      </c>
      <c r="F39" s="12"/>
      <c r="G39" s="12"/>
      <c r="H39" s="12"/>
      <c r="I39" s="12"/>
      <c r="J39" s="12"/>
    </row>
    <row r="40" spans="1:10" ht="24.75" customHeight="1" x14ac:dyDescent="0.2">
      <c r="A40" s="3">
        <v>10</v>
      </c>
      <c r="B40" s="3"/>
      <c r="C40" s="13" t="s">
        <v>266</v>
      </c>
      <c r="D40" s="10" t="s">
        <v>265</v>
      </c>
      <c r="E40" s="10" t="s">
        <v>264</v>
      </c>
      <c r="F40" s="12"/>
      <c r="G40" s="12"/>
      <c r="H40" s="12"/>
      <c r="I40" s="12"/>
      <c r="J40" s="12"/>
    </row>
    <row r="41" spans="1:10" ht="24.75" customHeight="1" x14ac:dyDescent="0.2">
      <c r="A41" s="3">
        <v>11</v>
      </c>
      <c r="B41" s="3"/>
      <c r="C41" s="13" t="s">
        <v>263</v>
      </c>
      <c r="D41" s="10" t="s">
        <v>262</v>
      </c>
      <c r="E41" s="10" t="s">
        <v>261</v>
      </c>
      <c r="F41" s="12"/>
      <c r="G41" s="12"/>
      <c r="H41" s="12"/>
      <c r="I41" s="12"/>
      <c r="J41" s="12"/>
    </row>
    <row r="42" spans="1:10" ht="24.75" customHeight="1" x14ac:dyDescent="0.2">
      <c r="A42" s="3">
        <v>12</v>
      </c>
      <c r="B42" s="3"/>
      <c r="C42" s="13" t="s">
        <v>260</v>
      </c>
      <c r="D42" s="10" t="s">
        <v>259</v>
      </c>
      <c r="E42" s="10" t="s">
        <v>258</v>
      </c>
      <c r="F42" s="12"/>
      <c r="G42" s="12"/>
      <c r="H42" s="12"/>
      <c r="I42" s="12"/>
      <c r="J42" s="12"/>
    </row>
    <row r="43" spans="1:10" ht="24.75" customHeight="1" x14ac:dyDescent="0.2">
      <c r="A43" s="3">
        <v>13</v>
      </c>
      <c r="B43" s="3"/>
      <c r="C43" s="13" t="s">
        <v>257</v>
      </c>
      <c r="D43" s="10" t="s">
        <v>256</v>
      </c>
      <c r="E43" s="10" t="s">
        <v>255</v>
      </c>
      <c r="F43" s="12"/>
      <c r="G43" s="12"/>
      <c r="H43" s="12"/>
      <c r="I43" s="12"/>
      <c r="J43" s="12"/>
    </row>
    <row r="44" spans="1:10" ht="24.75" customHeight="1" x14ac:dyDescent="0.2">
      <c r="A44" s="3">
        <v>14</v>
      </c>
      <c r="B44" s="3"/>
      <c r="C44" s="13" t="s">
        <v>254</v>
      </c>
      <c r="D44" s="10" t="s">
        <v>253</v>
      </c>
      <c r="E44" s="10" t="s">
        <v>252</v>
      </c>
      <c r="F44" s="12"/>
      <c r="G44" s="12"/>
      <c r="H44" s="12"/>
      <c r="I44" s="12"/>
      <c r="J44" s="12"/>
    </row>
    <row r="45" spans="1:10" ht="24.75" customHeight="1" x14ac:dyDescent="0.2">
      <c r="A45" s="3">
        <v>15</v>
      </c>
      <c r="B45" s="3"/>
      <c r="C45" s="13" t="s">
        <v>251</v>
      </c>
      <c r="D45" s="10" t="s">
        <v>242</v>
      </c>
      <c r="E45" s="10" t="s">
        <v>250</v>
      </c>
      <c r="F45" s="12"/>
      <c r="G45" s="12"/>
      <c r="H45" s="12"/>
      <c r="I45" s="12"/>
      <c r="J45" s="12"/>
    </row>
    <row r="46" spans="1:10" ht="24.75" customHeight="1" x14ac:dyDescent="0.2">
      <c r="A46" s="3">
        <v>16</v>
      </c>
      <c r="B46" s="3"/>
      <c r="C46" s="13" t="s">
        <v>249</v>
      </c>
      <c r="D46" s="10" t="s">
        <v>242</v>
      </c>
      <c r="E46" s="10" t="s">
        <v>248</v>
      </c>
      <c r="F46" s="12"/>
      <c r="G46" s="12"/>
      <c r="H46" s="12"/>
      <c r="I46" s="12"/>
      <c r="J46" s="12"/>
    </row>
    <row r="47" spans="1:10" ht="24.75" customHeight="1" x14ac:dyDescent="0.2">
      <c r="A47" s="3">
        <v>17</v>
      </c>
      <c r="B47" s="3"/>
      <c r="C47" s="13" t="s">
        <v>247</v>
      </c>
      <c r="D47" s="10" t="s">
        <v>242</v>
      </c>
      <c r="E47" s="10" t="s">
        <v>246</v>
      </c>
      <c r="F47" s="12"/>
      <c r="G47" s="12"/>
      <c r="H47" s="12"/>
      <c r="I47" s="12"/>
      <c r="J47" s="12"/>
    </row>
    <row r="48" spans="1:10" ht="24.75" customHeight="1" x14ac:dyDescent="0.2">
      <c r="A48" s="3">
        <v>18</v>
      </c>
      <c r="B48" s="3"/>
      <c r="C48" s="13" t="s">
        <v>245</v>
      </c>
      <c r="D48" s="10" t="s">
        <v>242</v>
      </c>
      <c r="E48" s="10" t="s">
        <v>244</v>
      </c>
      <c r="F48" s="12"/>
      <c r="G48" s="12"/>
      <c r="H48" s="12"/>
      <c r="I48" s="12"/>
      <c r="J48" s="12"/>
    </row>
    <row r="49" spans="1:10" ht="24.75" customHeight="1" x14ac:dyDescent="0.2">
      <c r="A49" s="3">
        <v>19</v>
      </c>
      <c r="B49" s="3"/>
      <c r="C49" s="13" t="s">
        <v>243</v>
      </c>
      <c r="D49" s="10" t="s">
        <v>242</v>
      </c>
      <c r="E49" s="10" t="s">
        <v>241</v>
      </c>
      <c r="F49" s="12"/>
      <c r="G49" s="12"/>
      <c r="H49" s="12"/>
      <c r="I49" s="12"/>
      <c r="J49" s="12"/>
    </row>
    <row r="50" spans="1:10" ht="24.75" customHeight="1" x14ac:dyDescent="0.2">
      <c r="A50" s="3">
        <v>20</v>
      </c>
      <c r="B50" s="3"/>
      <c r="C50" s="13" t="s">
        <v>240</v>
      </c>
      <c r="D50" s="10" t="s">
        <v>239</v>
      </c>
      <c r="E50" s="10" t="s">
        <v>238</v>
      </c>
      <c r="F50" s="12"/>
      <c r="G50" s="12"/>
      <c r="H50" s="12"/>
      <c r="I50" s="12"/>
      <c r="J50" s="12"/>
    </row>
    <row r="51" spans="1:10" ht="24.75" customHeight="1" x14ac:dyDescent="0.2">
      <c r="A51" s="3">
        <v>21</v>
      </c>
      <c r="B51" s="3"/>
      <c r="C51" s="13" t="s">
        <v>237</v>
      </c>
      <c r="D51" s="10" t="s">
        <v>115</v>
      </c>
      <c r="E51" s="10" t="s">
        <v>236</v>
      </c>
      <c r="F51" s="12"/>
      <c r="G51" s="12"/>
      <c r="H51" s="12"/>
      <c r="I51" s="12"/>
      <c r="J51" s="12"/>
    </row>
    <row r="52" spans="1:10" ht="24.75" customHeight="1" x14ac:dyDescent="0.2">
      <c r="A52" s="3">
        <v>22</v>
      </c>
      <c r="B52" s="3"/>
      <c r="C52" s="13" t="s">
        <v>235</v>
      </c>
      <c r="D52" s="10" t="s">
        <v>115</v>
      </c>
      <c r="E52" s="10" t="s">
        <v>234</v>
      </c>
      <c r="F52" s="12"/>
      <c r="G52" s="12"/>
      <c r="H52" s="12"/>
      <c r="I52" s="12"/>
      <c r="J52" s="12"/>
    </row>
    <row r="53" spans="1:10" ht="24.75" customHeight="1" x14ac:dyDescent="0.2">
      <c r="A53" s="3">
        <v>23</v>
      </c>
      <c r="B53" s="3"/>
      <c r="C53" s="13" t="s">
        <v>233</v>
      </c>
      <c r="D53" s="10" t="s">
        <v>115</v>
      </c>
      <c r="E53" s="10" t="s">
        <v>232</v>
      </c>
      <c r="F53" s="12"/>
      <c r="G53" s="12"/>
      <c r="H53" s="12"/>
      <c r="I53" s="12"/>
      <c r="J53" s="12"/>
    </row>
    <row r="54" spans="1:10" ht="24.75" customHeight="1" x14ac:dyDescent="0.2">
      <c r="A54" s="3">
        <v>24</v>
      </c>
      <c r="B54" s="3"/>
      <c r="C54" s="13" t="s">
        <v>231</v>
      </c>
      <c r="D54" s="10" t="s">
        <v>230</v>
      </c>
      <c r="E54" s="10" t="s">
        <v>229</v>
      </c>
      <c r="F54" s="12"/>
      <c r="G54" s="12"/>
      <c r="H54" s="12"/>
      <c r="I54" s="12"/>
      <c r="J54" s="12"/>
    </row>
    <row r="55" spans="1:10" ht="24.75" customHeight="1" x14ac:dyDescent="0.2">
      <c r="A55" s="3">
        <v>25</v>
      </c>
      <c r="B55" s="3"/>
      <c r="C55" s="13" t="s">
        <v>290</v>
      </c>
      <c r="D55" s="10" t="s">
        <v>158</v>
      </c>
      <c r="E55" s="10" t="s">
        <v>289</v>
      </c>
      <c r="F55" s="12"/>
      <c r="G55" s="12"/>
      <c r="H55" s="12"/>
      <c r="I55" s="12"/>
      <c r="J55" s="12"/>
    </row>
    <row r="56" spans="1:10" ht="24.75" customHeight="1" x14ac:dyDescent="0.2">
      <c r="A56" s="3">
        <v>26</v>
      </c>
      <c r="B56" s="3"/>
      <c r="C56" s="14"/>
      <c r="D56" s="11"/>
      <c r="E56" s="11"/>
      <c r="F56" s="12"/>
      <c r="G56" s="12"/>
      <c r="H56" s="12"/>
      <c r="I56" s="12"/>
      <c r="J56" s="12"/>
    </row>
    <row r="57" spans="1:10" ht="24.75" customHeight="1" x14ac:dyDescent="0.2">
      <c r="B57" s="8" t="s">
        <v>4</v>
      </c>
      <c r="C57" s="15" t="s">
        <v>25</v>
      </c>
      <c r="D57" s="12"/>
      <c r="E57" s="12"/>
      <c r="F57" s="2" t="s">
        <v>0</v>
      </c>
      <c r="H57" s="12"/>
      <c r="I57" s="12"/>
      <c r="J57" s="2" t="s">
        <v>53</v>
      </c>
    </row>
    <row r="58" spans="1:10" ht="24.75" customHeight="1" x14ac:dyDescent="0.2">
      <c r="E58" s="5"/>
      <c r="F58" s="12" t="s">
        <v>3</v>
      </c>
      <c r="G58" s="12"/>
      <c r="H58" s="12"/>
      <c r="I58" s="12"/>
      <c r="J58" s="12"/>
    </row>
    <row r="59" spans="1:10" ht="24.75" customHeight="1" x14ac:dyDescent="0.2">
      <c r="A59" s="3">
        <v>1</v>
      </c>
      <c r="B59" s="3"/>
      <c r="C59" s="13" t="s">
        <v>357</v>
      </c>
      <c r="D59" s="10" t="s">
        <v>356</v>
      </c>
      <c r="E59" s="10" t="s">
        <v>355</v>
      </c>
      <c r="F59" s="12"/>
      <c r="G59" s="12"/>
      <c r="H59" s="12"/>
      <c r="I59" s="12"/>
      <c r="J59" s="12"/>
    </row>
    <row r="60" spans="1:10" ht="24.75" customHeight="1" x14ac:dyDescent="0.2">
      <c r="A60" s="3">
        <v>2</v>
      </c>
      <c r="B60" s="3"/>
      <c r="C60" s="13" t="s">
        <v>354</v>
      </c>
      <c r="D60" s="10" t="s">
        <v>353</v>
      </c>
      <c r="E60" s="10" t="s">
        <v>352</v>
      </c>
      <c r="F60" s="12"/>
      <c r="G60" s="12"/>
      <c r="H60" s="12"/>
      <c r="I60" s="12"/>
      <c r="J60" s="12"/>
    </row>
    <row r="61" spans="1:10" ht="24.75" customHeight="1" x14ac:dyDescent="0.2">
      <c r="A61" s="3">
        <v>3</v>
      </c>
      <c r="B61" s="3"/>
      <c r="C61" s="13" t="s">
        <v>351</v>
      </c>
      <c r="D61" s="10" t="s">
        <v>151</v>
      </c>
      <c r="E61" s="10" t="s">
        <v>49</v>
      </c>
      <c r="F61" s="12"/>
      <c r="G61" s="12"/>
      <c r="H61" s="12"/>
      <c r="I61" s="12"/>
      <c r="J61" s="12"/>
    </row>
    <row r="62" spans="1:10" ht="24.75" customHeight="1" x14ac:dyDescent="0.2">
      <c r="A62" s="3">
        <v>4</v>
      </c>
      <c r="B62" s="3"/>
      <c r="C62" s="13" t="s">
        <v>350</v>
      </c>
      <c r="D62" s="10" t="s">
        <v>347</v>
      </c>
      <c r="E62" s="10" t="s">
        <v>349</v>
      </c>
      <c r="F62" s="12"/>
      <c r="G62" s="12"/>
      <c r="H62" s="12"/>
      <c r="I62" s="12"/>
      <c r="J62" s="12"/>
    </row>
    <row r="63" spans="1:10" ht="24.75" customHeight="1" x14ac:dyDescent="0.2">
      <c r="A63" s="3">
        <v>5</v>
      </c>
      <c r="B63" s="3"/>
      <c r="C63" s="13" t="s">
        <v>348</v>
      </c>
      <c r="D63" s="10" t="s">
        <v>347</v>
      </c>
      <c r="E63" s="10" t="s">
        <v>346</v>
      </c>
      <c r="F63" s="12"/>
      <c r="G63" s="12"/>
      <c r="H63" s="12"/>
      <c r="I63" s="12"/>
      <c r="J63" s="12"/>
    </row>
    <row r="64" spans="1:10" ht="24.75" customHeight="1" x14ac:dyDescent="0.2">
      <c r="A64" s="3">
        <v>6</v>
      </c>
      <c r="B64" s="3"/>
      <c r="C64" s="13" t="s">
        <v>345</v>
      </c>
      <c r="D64" s="10" t="s">
        <v>344</v>
      </c>
      <c r="E64" s="10" t="s">
        <v>343</v>
      </c>
      <c r="F64" s="12"/>
      <c r="G64" s="12"/>
      <c r="H64" s="12"/>
      <c r="I64" s="12"/>
      <c r="J64" s="12"/>
    </row>
    <row r="65" spans="1:10" ht="24.75" customHeight="1" x14ac:dyDescent="0.2">
      <c r="A65" s="3">
        <v>7</v>
      </c>
      <c r="B65" s="3"/>
      <c r="C65" s="13" t="s">
        <v>342</v>
      </c>
      <c r="D65" s="10" t="s">
        <v>341</v>
      </c>
      <c r="E65" s="10" t="s">
        <v>340</v>
      </c>
      <c r="F65" s="12"/>
      <c r="G65" s="12"/>
      <c r="H65" s="12"/>
      <c r="I65" s="12"/>
      <c r="J65" s="12"/>
    </row>
    <row r="66" spans="1:10" ht="24.75" customHeight="1" x14ac:dyDescent="0.2">
      <c r="A66" s="3">
        <v>8</v>
      </c>
      <c r="B66" s="3"/>
      <c r="C66" s="13" t="s">
        <v>339</v>
      </c>
      <c r="D66" s="10" t="s">
        <v>338</v>
      </c>
      <c r="E66" s="10" t="s">
        <v>337</v>
      </c>
      <c r="F66" s="12"/>
      <c r="G66" s="12"/>
      <c r="H66" s="12"/>
      <c r="I66" s="12"/>
      <c r="J66" s="12"/>
    </row>
    <row r="67" spans="1:10" ht="24.75" customHeight="1" x14ac:dyDescent="0.2">
      <c r="A67" s="3">
        <v>9</v>
      </c>
      <c r="B67" s="3"/>
      <c r="C67" s="13" t="s">
        <v>336</v>
      </c>
      <c r="D67" s="10" t="s">
        <v>333</v>
      </c>
      <c r="E67" s="10" t="s">
        <v>335</v>
      </c>
      <c r="F67" s="12"/>
      <c r="G67" s="12"/>
      <c r="H67" s="12"/>
      <c r="I67" s="12"/>
      <c r="J67" s="12"/>
    </row>
    <row r="68" spans="1:10" ht="24.75" customHeight="1" x14ac:dyDescent="0.2">
      <c r="A68" s="3">
        <v>10</v>
      </c>
      <c r="B68" s="3"/>
      <c r="C68" s="13" t="s">
        <v>334</v>
      </c>
      <c r="D68" s="10" t="s">
        <v>333</v>
      </c>
      <c r="E68" s="10" t="s">
        <v>332</v>
      </c>
      <c r="F68" s="12"/>
      <c r="G68" s="12"/>
      <c r="H68" s="12"/>
      <c r="I68" s="12"/>
      <c r="J68" s="12"/>
    </row>
    <row r="69" spans="1:10" ht="24.75" customHeight="1" x14ac:dyDescent="0.2">
      <c r="A69" s="3">
        <v>11</v>
      </c>
      <c r="B69" s="3"/>
      <c r="C69" s="13" t="s">
        <v>331</v>
      </c>
      <c r="D69" s="10" t="s">
        <v>330</v>
      </c>
      <c r="E69" s="10" t="s">
        <v>329</v>
      </c>
      <c r="F69" s="12"/>
      <c r="G69" s="12"/>
      <c r="H69" s="12"/>
      <c r="I69" s="12"/>
      <c r="J69" s="12"/>
    </row>
    <row r="70" spans="1:10" ht="24.75" customHeight="1" x14ac:dyDescent="0.2">
      <c r="A70" s="3">
        <v>12</v>
      </c>
      <c r="B70" s="3"/>
      <c r="C70" s="13" t="s">
        <v>328</v>
      </c>
      <c r="D70" s="10" t="s">
        <v>149</v>
      </c>
      <c r="E70" s="10" t="s">
        <v>327</v>
      </c>
      <c r="F70" s="12"/>
      <c r="G70" s="12"/>
      <c r="H70" s="12"/>
      <c r="I70" s="12"/>
      <c r="J70" s="12"/>
    </row>
    <row r="71" spans="1:10" ht="24.75" customHeight="1" x14ac:dyDescent="0.2">
      <c r="A71" s="3">
        <v>13</v>
      </c>
      <c r="B71" s="3"/>
      <c r="C71" s="13" t="s">
        <v>326</v>
      </c>
      <c r="D71" s="10" t="s">
        <v>325</v>
      </c>
      <c r="E71" s="10" t="s">
        <v>324</v>
      </c>
      <c r="F71" s="12"/>
      <c r="G71" s="12"/>
      <c r="H71" s="12"/>
      <c r="I71" s="12"/>
      <c r="J71" s="12"/>
    </row>
    <row r="72" spans="1:10" ht="24.75" customHeight="1" x14ac:dyDescent="0.2">
      <c r="A72" s="3">
        <v>14</v>
      </c>
      <c r="B72" s="3"/>
      <c r="C72" s="13" t="s">
        <v>323</v>
      </c>
      <c r="D72" s="10" t="s">
        <v>322</v>
      </c>
      <c r="E72" s="10" t="s">
        <v>321</v>
      </c>
      <c r="F72" s="12"/>
      <c r="G72" s="12"/>
      <c r="H72" s="12"/>
      <c r="I72" s="12"/>
      <c r="J72" s="12"/>
    </row>
    <row r="73" spans="1:10" ht="24.75" customHeight="1" x14ac:dyDescent="0.2">
      <c r="A73" s="3">
        <v>15</v>
      </c>
      <c r="B73" s="3"/>
      <c r="C73" s="13" t="s">
        <v>320</v>
      </c>
      <c r="D73" s="10" t="s">
        <v>319</v>
      </c>
      <c r="E73" s="10" t="s">
        <v>318</v>
      </c>
      <c r="F73" s="12"/>
      <c r="G73" s="12"/>
      <c r="H73" s="12"/>
      <c r="I73" s="12"/>
      <c r="J73" s="12"/>
    </row>
    <row r="74" spans="1:10" ht="24.75" customHeight="1" x14ac:dyDescent="0.2">
      <c r="A74" s="3">
        <v>16</v>
      </c>
      <c r="B74" s="3"/>
      <c r="C74" s="13" t="s">
        <v>317</v>
      </c>
      <c r="D74" s="10" t="s">
        <v>316</v>
      </c>
      <c r="E74" s="10" t="s">
        <v>315</v>
      </c>
      <c r="F74" s="12"/>
      <c r="G74" s="12"/>
      <c r="H74" s="12"/>
      <c r="I74" s="12"/>
      <c r="J74" s="12"/>
    </row>
    <row r="75" spans="1:10" ht="24.75" customHeight="1" x14ac:dyDescent="0.2">
      <c r="A75" s="3">
        <v>17</v>
      </c>
      <c r="B75" s="3"/>
      <c r="C75" s="13" t="s">
        <v>314</v>
      </c>
      <c r="D75" s="10" t="s">
        <v>313</v>
      </c>
      <c r="E75" s="10" t="s">
        <v>312</v>
      </c>
      <c r="F75" s="12"/>
      <c r="G75" s="12"/>
      <c r="H75" s="12"/>
      <c r="I75" s="12"/>
      <c r="J75" s="12"/>
    </row>
    <row r="76" spans="1:10" ht="24.75" customHeight="1" x14ac:dyDescent="0.2">
      <c r="A76" s="3">
        <v>18</v>
      </c>
      <c r="B76" s="3"/>
      <c r="C76" s="13" t="s">
        <v>311</v>
      </c>
      <c r="D76" s="10" t="s">
        <v>310</v>
      </c>
      <c r="E76" s="10" t="s">
        <v>309</v>
      </c>
      <c r="F76" s="12"/>
      <c r="G76" s="12"/>
      <c r="H76" s="12"/>
      <c r="I76" s="12"/>
      <c r="J76" s="12"/>
    </row>
    <row r="77" spans="1:10" ht="24.75" customHeight="1" x14ac:dyDescent="0.2">
      <c r="A77" s="3">
        <v>19</v>
      </c>
      <c r="B77" s="3"/>
      <c r="C77" s="13" t="s">
        <v>308</v>
      </c>
      <c r="D77" s="10" t="s">
        <v>307</v>
      </c>
      <c r="E77" s="10" t="s">
        <v>306</v>
      </c>
      <c r="F77" s="12"/>
      <c r="G77" s="12"/>
      <c r="H77" s="12"/>
      <c r="I77" s="12"/>
      <c r="J77" s="12"/>
    </row>
    <row r="78" spans="1:10" ht="24.75" customHeight="1" x14ac:dyDescent="0.2">
      <c r="A78" s="3">
        <v>20</v>
      </c>
      <c r="B78" s="3"/>
      <c r="C78" s="13" t="s">
        <v>305</v>
      </c>
      <c r="D78" s="10" t="s">
        <v>304</v>
      </c>
      <c r="E78" s="10" t="s">
        <v>9</v>
      </c>
      <c r="F78" s="12"/>
      <c r="G78" s="12"/>
      <c r="H78" s="12"/>
      <c r="I78" s="12"/>
      <c r="J78" s="12"/>
    </row>
    <row r="79" spans="1:10" ht="24.75" customHeight="1" x14ac:dyDescent="0.2">
      <c r="A79" s="3">
        <v>21</v>
      </c>
      <c r="B79" s="3"/>
      <c r="C79" s="13" t="s">
        <v>303</v>
      </c>
      <c r="D79" s="10" t="s">
        <v>302</v>
      </c>
      <c r="E79" s="10" t="s">
        <v>301</v>
      </c>
      <c r="F79" s="12"/>
      <c r="G79" s="12"/>
      <c r="H79" s="12"/>
      <c r="I79" s="12"/>
      <c r="J79" s="12"/>
    </row>
    <row r="80" spans="1:10" ht="24.75" customHeight="1" x14ac:dyDescent="0.2">
      <c r="A80" s="3">
        <v>22</v>
      </c>
      <c r="B80" s="3"/>
      <c r="C80" s="13" t="s">
        <v>300</v>
      </c>
      <c r="D80" s="10" t="s">
        <v>105</v>
      </c>
      <c r="E80" s="10" t="s">
        <v>299</v>
      </c>
      <c r="F80" s="12"/>
      <c r="G80" s="12"/>
      <c r="H80" s="12"/>
      <c r="I80" s="12"/>
      <c r="J80" s="12"/>
    </row>
    <row r="81" spans="1:10" ht="24.75" customHeight="1" x14ac:dyDescent="0.2">
      <c r="A81" s="3">
        <v>23</v>
      </c>
      <c r="B81" s="3"/>
      <c r="C81" s="13" t="s">
        <v>298</v>
      </c>
      <c r="D81" s="10" t="s">
        <v>297</v>
      </c>
      <c r="E81" s="10" t="s">
        <v>296</v>
      </c>
      <c r="F81" s="12"/>
      <c r="G81" s="12"/>
      <c r="H81" s="12"/>
      <c r="I81" s="12"/>
      <c r="J81" s="12"/>
    </row>
    <row r="82" spans="1:10" ht="24.75" customHeight="1" x14ac:dyDescent="0.2">
      <c r="A82" s="3">
        <v>24</v>
      </c>
      <c r="B82" s="3"/>
      <c r="C82" s="13" t="s">
        <v>295</v>
      </c>
      <c r="D82" s="10" t="s">
        <v>294</v>
      </c>
      <c r="E82" s="10" t="s">
        <v>7</v>
      </c>
      <c r="F82" s="12"/>
      <c r="G82" s="12"/>
      <c r="H82" s="12"/>
      <c r="I82" s="12"/>
      <c r="J82" s="12"/>
    </row>
    <row r="83" spans="1:10" ht="24.75" customHeight="1" x14ac:dyDescent="0.2">
      <c r="A83" s="3">
        <v>25</v>
      </c>
      <c r="B83" s="3"/>
      <c r="C83" s="13" t="s">
        <v>293</v>
      </c>
      <c r="D83" s="10" t="s">
        <v>292</v>
      </c>
      <c r="E83" s="10" t="s">
        <v>291</v>
      </c>
      <c r="F83" s="12"/>
      <c r="G83" s="12"/>
      <c r="H83" s="12"/>
      <c r="I83" s="12"/>
      <c r="J83" s="12"/>
    </row>
    <row r="84" spans="1:10" ht="24.75" customHeight="1" x14ac:dyDescent="0.15">
      <c r="A84" s="3">
        <v>26</v>
      </c>
      <c r="B84" s="3"/>
      <c r="C84" s="16"/>
      <c r="D84" s="7"/>
      <c r="E84" s="7"/>
      <c r="F84" s="12"/>
      <c r="G84" s="12"/>
      <c r="H84" s="12"/>
      <c r="I84" s="12"/>
      <c r="J84" s="12"/>
    </row>
    <row r="85" spans="1:10" ht="24.75" customHeight="1" x14ac:dyDescent="0.2">
      <c r="B85" s="8" t="s">
        <v>4</v>
      </c>
      <c r="C85" s="17" t="s">
        <v>26</v>
      </c>
      <c r="D85" s="12"/>
      <c r="E85" s="12"/>
      <c r="F85" s="2" t="s">
        <v>0</v>
      </c>
      <c r="H85" s="12"/>
      <c r="I85" s="12"/>
      <c r="J85" s="2" t="s">
        <v>54</v>
      </c>
    </row>
    <row r="86" spans="1:10" ht="24.75" customHeight="1" x14ac:dyDescent="0.2">
      <c r="D86" s="6"/>
      <c r="E86" s="6"/>
      <c r="F86" s="12" t="s">
        <v>3</v>
      </c>
      <c r="G86" s="12"/>
      <c r="H86" s="12"/>
      <c r="I86" s="12"/>
      <c r="J86" s="12"/>
    </row>
    <row r="87" spans="1:10" ht="24.75" customHeight="1" x14ac:dyDescent="0.2">
      <c r="A87" s="3">
        <v>1</v>
      </c>
      <c r="B87" s="3"/>
      <c r="C87" s="13" t="s">
        <v>418</v>
      </c>
      <c r="D87" s="10" t="s">
        <v>292</v>
      </c>
      <c r="E87" s="10" t="s">
        <v>417</v>
      </c>
      <c r="F87" s="12"/>
      <c r="G87" s="12"/>
      <c r="H87" s="12"/>
      <c r="I87" s="12"/>
      <c r="J87" s="12"/>
    </row>
    <row r="88" spans="1:10" ht="24.75" customHeight="1" x14ac:dyDescent="0.2">
      <c r="A88" s="3">
        <v>2</v>
      </c>
      <c r="B88" s="3"/>
      <c r="C88" s="13" t="s">
        <v>416</v>
      </c>
      <c r="D88" s="10" t="s">
        <v>410</v>
      </c>
      <c r="E88" s="10" t="s">
        <v>415</v>
      </c>
      <c r="F88" s="12"/>
      <c r="G88" s="12"/>
      <c r="H88" s="12"/>
      <c r="I88" s="12"/>
      <c r="J88" s="12"/>
    </row>
    <row r="89" spans="1:10" ht="24.75" customHeight="1" x14ac:dyDescent="0.2">
      <c r="A89" s="3">
        <v>3</v>
      </c>
      <c r="B89" s="3"/>
      <c r="C89" s="13" t="s">
        <v>414</v>
      </c>
      <c r="D89" s="10" t="s">
        <v>410</v>
      </c>
      <c r="E89" s="10" t="s">
        <v>88</v>
      </c>
      <c r="F89" s="12"/>
      <c r="G89" s="12"/>
      <c r="H89" s="12"/>
      <c r="I89" s="12"/>
      <c r="J89" s="12"/>
    </row>
    <row r="90" spans="1:10" ht="24.75" customHeight="1" x14ac:dyDescent="0.2">
      <c r="A90" s="3">
        <v>4</v>
      </c>
      <c r="B90" s="3"/>
      <c r="C90" s="13" t="s">
        <v>413</v>
      </c>
      <c r="D90" s="10" t="s">
        <v>410</v>
      </c>
      <c r="E90" s="10" t="s">
        <v>412</v>
      </c>
      <c r="F90" s="12"/>
      <c r="G90" s="12"/>
      <c r="H90" s="12"/>
      <c r="I90" s="12"/>
      <c r="J90" s="12"/>
    </row>
    <row r="91" spans="1:10" ht="24.75" customHeight="1" x14ac:dyDescent="0.2">
      <c r="A91" s="3">
        <v>5</v>
      </c>
      <c r="B91" s="3"/>
      <c r="C91" s="13" t="s">
        <v>411</v>
      </c>
      <c r="D91" s="10" t="s">
        <v>410</v>
      </c>
      <c r="E91" s="10" t="s">
        <v>409</v>
      </c>
      <c r="F91" s="12"/>
      <c r="G91" s="12"/>
      <c r="H91" s="12"/>
      <c r="I91" s="12"/>
      <c r="J91" s="12"/>
    </row>
    <row r="92" spans="1:10" ht="24.75" customHeight="1" x14ac:dyDescent="0.2">
      <c r="A92" s="3">
        <v>6</v>
      </c>
      <c r="B92" s="3"/>
      <c r="C92" s="13" t="s">
        <v>408</v>
      </c>
      <c r="D92" s="10" t="s">
        <v>407</v>
      </c>
      <c r="E92" s="10" t="s">
        <v>406</v>
      </c>
      <c r="F92" s="12"/>
      <c r="G92" s="12"/>
      <c r="H92" s="12"/>
      <c r="I92" s="12"/>
      <c r="J92" s="12"/>
    </row>
    <row r="93" spans="1:10" ht="24.75" customHeight="1" x14ac:dyDescent="0.2">
      <c r="A93" s="3">
        <v>7</v>
      </c>
      <c r="B93" s="3"/>
      <c r="C93" s="13" t="s">
        <v>405</v>
      </c>
      <c r="D93" s="10" t="s">
        <v>404</v>
      </c>
      <c r="E93" s="10" t="s">
        <v>403</v>
      </c>
      <c r="F93" s="12"/>
      <c r="G93" s="12"/>
      <c r="H93" s="12"/>
      <c r="I93" s="12"/>
      <c r="J93" s="12"/>
    </row>
    <row r="94" spans="1:10" ht="24.75" customHeight="1" x14ac:dyDescent="0.2">
      <c r="A94" s="3">
        <v>8</v>
      </c>
      <c r="B94" s="3"/>
      <c r="C94" s="13" t="s">
        <v>402</v>
      </c>
      <c r="D94" s="10" t="s">
        <v>401</v>
      </c>
      <c r="E94" s="10" t="s">
        <v>400</v>
      </c>
      <c r="F94" s="12"/>
      <c r="G94" s="12"/>
      <c r="H94" s="12"/>
      <c r="I94" s="12"/>
      <c r="J94" s="12"/>
    </row>
    <row r="95" spans="1:10" ht="24.75" customHeight="1" x14ac:dyDescent="0.2">
      <c r="A95" s="3">
        <v>9</v>
      </c>
      <c r="B95" s="3"/>
      <c r="C95" s="13" t="s">
        <v>399</v>
      </c>
      <c r="D95" s="10" t="s">
        <v>398</v>
      </c>
      <c r="E95" s="10" t="s">
        <v>397</v>
      </c>
      <c r="F95" s="12"/>
      <c r="G95" s="12"/>
      <c r="H95" s="12"/>
      <c r="I95" s="12"/>
      <c r="J95" s="12"/>
    </row>
    <row r="96" spans="1:10" ht="24.75" customHeight="1" x14ac:dyDescent="0.2">
      <c r="A96" s="3">
        <v>10</v>
      </c>
      <c r="B96" s="3"/>
      <c r="C96" s="13" t="s">
        <v>396</v>
      </c>
      <c r="D96" s="10" t="s">
        <v>84</v>
      </c>
      <c r="E96" s="10" t="s">
        <v>395</v>
      </c>
      <c r="F96" s="12"/>
      <c r="G96" s="12"/>
      <c r="H96" s="12"/>
      <c r="I96" s="12"/>
      <c r="J96" s="12"/>
    </row>
    <row r="97" spans="1:10" ht="24.75" customHeight="1" x14ac:dyDescent="0.2">
      <c r="A97" s="3">
        <v>11</v>
      </c>
      <c r="B97" s="3"/>
      <c r="C97" s="13" t="s">
        <v>394</v>
      </c>
      <c r="D97" s="10" t="s">
        <v>393</v>
      </c>
      <c r="E97" s="10" t="s">
        <v>392</v>
      </c>
      <c r="F97" s="12"/>
      <c r="G97" s="12"/>
      <c r="H97" s="12"/>
      <c r="I97" s="12"/>
      <c r="J97" s="12"/>
    </row>
    <row r="98" spans="1:10" ht="24.75" customHeight="1" x14ac:dyDescent="0.2">
      <c r="A98" s="3">
        <v>12</v>
      </c>
      <c r="B98" s="3"/>
      <c r="C98" s="13" t="s">
        <v>391</v>
      </c>
      <c r="D98" s="10" t="s">
        <v>139</v>
      </c>
      <c r="E98" s="10" t="s">
        <v>390</v>
      </c>
      <c r="F98" s="12"/>
      <c r="G98" s="12"/>
      <c r="H98" s="12"/>
      <c r="I98" s="12"/>
      <c r="J98" s="12"/>
    </row>
    <row r="99" spans="1:10" ht="24.75" customHeight="1" x14ac:dyDescent="0.2">
      <c r="A99" s="3">
        <v>13</v>
      </c>
      <c r="B99" s="3"/>
      <c r="C99" s="13" t="s">
        <v>389</v>
      </c>
      <c r="D99" s="10" t="s">
        <v>139</v>
      </c>
      <c r="E99" s="10" t="s">
        <v>388</v>
      </c>
      <c r="F99" s="12"/>
      <c r="G99" s="12"/>
      <c r="H99" s="12"/>
      <c r="I99" s="12"/>
      <c r="J99" s="12"/>
    </row>
    <row r="100" spans="1:10" ht="24.75" customHeight="1" x14ac:dyDescent="0.2">
      <c r="A100" s="3">
        <v>14</v>
      </c>
      <c r="B100" s="3"/>
      <c r="C100" s="13" t="s">
        <v>387</v>
      </c>
      <c r="D100" s="10" t="s">
        <v>386</v>
      </c>
      <c r="E100" s="10" t="s">
        <v>385</v>
      </c>
      <c r="F100" s="12"/>
      <c r="G100" s="12"/>
      <c r="H100" s="12"/>
      <c r="I100" s="12"/>
      <c r="J100" s="12"/>
    </row>
    <row r="101" spans="1:10" ht="24.75" customHeight="1" x14ac:dyDescent="0.2">
      <c r="A101" s="3">
        <v>15</v>
      </c>
      <c r="B101" s="3"/>
      <c r="C101" s="13" t="s">
        <v>384</v>
      </c>
      <c r="D101" s="10" t="s">
        <v>383</v>
      </c>
      <c r="E101" s="10" t="s">
        <v>382</v>
      </c>
      <c r="F101" s="12"/>
      <c r="G101" s="12"/>
      <c r="H101" s="12"/>
      <c r="I101" s="12"/>
      <c r="J101" s="12"/>
    </row>
    <row r="102" spans="1:10" ht="24.75" customHeight="1" x14ac:dyDescent="0.2">
      <c r="A102" s="3">
        <v>16</v>
      </c>
      <c r="B102" s="3"/>
      <c r="C102" s="13" t="s">
        <v>381</v>
      </c>
      <c r="D102" s="10" t="s">
        <v>380</v>
      </c>
      <c r="E102" s="10" t="s">
        <v>379</v>
      </c>
      <c r="F102" s="12"/>
      <c r="G102" s="12"/>
      <c r="H102" s="12"/>
      <c r="I102" s="12"/>
      <c r="J102" s="12"/>
    </row>
    <row r="103" spans="1:10" ht="24.75" customHeight="1" x14ac:dyDescent="0.2">
      <c r="A103" s="3">
        <v>17</v>
      </c>
      <c r="B103" s="3"/>
      <c r="C103" s="13" t="s">
        <v>378</v>
      </c>
      <c r="D103" s="10" t="s">
        <v>145</v>
      </c>
      <c r="E103" s="10" t="s">
        <v>377</v>
      </c>
      <c r="F103" s="12"/>
      <c r="G103" s="12"/>
      <c r="H103" s="12"/>
      <c r="I103" s="12"/>
      <c r="J103" s="12"/>
    </row>
    <row r="104" spans="1:10" ht="24.75" customHeight="1" x14ac:dyDescent="0.2">
      <c r="A104" s="3">
        <v>18</v>
      </c>
      <c r="B104" s="3"/>
      <c r="C104" s="13" t="s">
        <v>245</v>
      </c>
      <c r="D104" s="10" t="s">
        <v>374</v>
      </c>
      <c r="E104" s="10" t="s">
        <v>376</v>
      </c>
      <c r="F104" s="12"/>
      <c r="G104" s="12"/>
      <c r="H104" s="12"/>
      <c r="I104" s="12"/>
      <c r="J104" s="12"/>
    </row>
    <row r="105" spans="1:10" ht="24.75" customHeight="1" x14ac:dyDescent="0.2">
      <c r="A105" s="3">
        <v>19</v>
      </c>
      <c r="B105" s="3"/>
      <c r="C105" s="13" t="s">
        <v>375</v>
      </c>
      <c r="D105" s="10" t="s">
        <v>374</v>
      </c>
      <c r="E105" s="10" t="s">
        <v>373</v>
      </c>
      <c r="F105" s="12"/>
      <c r="G105" s="12"/>
      <c r="H105" s="12"/>
      <c r="I105" s="12"/>
      <c r="J105" s="12"/>
    </row>
    <row r="106" spans="1:10" ht="24.75" customHeight="1" x14ac:dyDescent="0.2">
      <c r="A106" s="3">
        <v>20</v>
      </c>
      <c r="B106" s="3"/>
      <c r="C106" s="13" t="s">
        <v>372</v>
      </c>
      <c r="D106" s="10" t="s">
        <v>371</v>
      </c>
      <c r="E106" s="10" t="s">
        <v>370</v>
      </c>
      <c r="F106" s="12"/>
      <c r="G106" s="12"/>
      <c r="H106" s="12"/>
      <c r="I106" s="12"/>
      <c r="J106" s="12"/>
    </row>
    <row r="107" spans="1:10" ht="24.75" customHeight="1" x14ac:dyDescent="0.2">
      <c r="A107" s="3">
        <v>21</v>
      </c>
      <c r="B107" s="3"/>
      <c r="C107" s="13" t="s">
        <v>369</v>
      </c>
      <c r="D107" s="10" t="s">
        <v>368</v>
      </c>
      <c r="E107" s="10" t="s">
        <v>367</v>
      </c>
      <c r="F107" s="12"/>
      <c r="G107" s="12"/>
      <c r="H107" s="12"/>
      <c r="I107" s="12"/>
      <c r="J107" s="12"/>
    </row>
    <row r="108" spans="1:10" ht="24.75" customHeight="1" x14ac:dyDescent="0.2">
      <c r="A108" s="3">
        <v>22</v>
      </c>
      <c r="B108" s="3"/>
      <c r="C108" s="13" t="s">
        <v>366</v>
      </c>
      <c r="D108" s="10" t="s">
        <v>365</v>
      </c>
      <c r="E108" s="10" t="s">
        <v>364</v>
      </c>
      <c r="F108" s="12"/>
      <c r="G108" s="12"/>
      <c r="H108" s="12"/>
      <c r="I108" s="12"/>
      <c r="J108" s="12"/>
    </row>
    <row r="109" spans="1:10" ht="24.75" customHeight="1" x14ac:dyDescent="0.2">
      <c r="A109" s="3">
        <v>23</v>
      </c>
      <c r="B109" s="3"/>
      <c r="C109" s="13" t="s">
        <v>363</v>
      </c>
      <c r="D109" s="10" t="s">
        <v>359</v>
      </c>
      <c r="E109" s="10" t="s">
        <v>362</v>
      </c>
      <c r="F109" s="12"/>
      <c r="G109" s="12"/>
      <c r="H109" s="12"/>
      <c r="I109" s="12"/>
      <c r="J109" s="12"/>
    </row>
    <row r="110" spans="1:10" ht="24.75" customHeight="1" x14ac:dyDescent="0.2">
      <c r="A110" s="3">
        <v>24</v>
      </c>
      <c r="B110" s="3"/>
      <c r="C110" s="13" t="s">
        <v>361</v>
      </c>
      <c r="D110" s="10" t="s">
        <v>359</v>
      </c>
      <c r="E110" s="10" t="s">
        <v>11</v>
      </c>
      <c r="F110" s="12"/>
      <c r="G110" s="12"/>
      <c r="H110" s="12"/>
      <c r="I110" s="12"/>
      <c r="J110" s="12"/>
    </row>
    <row r="111" spans="1:10" ht="24.75" customHeight="1" x14ac:dyDescent="0.2">
      <c r="A111" s="3">
        <v>25</v>
      </c>
      <c r="B111" s="3"/>
      <c r="C111" s="13" t="s">
        <v>360</v>
      </c>
      <c r="D111" s="10" t="s">
        <v>359</v>
      </c>
      <c r="E111" s="10" t="s">
        <v>358</v>
      </c>
      <c r="F111" s="12"/>
      <c r="G111" s="12"/>
      <c r="H111" s="12"/>
      <c r="I111" s="12"/>
      <c r="J111" s="12"/>
    </row>
    <row r="112" spans="1:10" ht="24.75" customHeight="1" x14ac:dyDescent="0.15">
      <c r="A112" s="3">
        <v>26</v>
      </c>
      <c r="B112" s="3"/>
      <c r="C112" s="18"/>
      <c r="D112" s="7"/>
      <c r="E112" s="7"/>
      <c r="F112" s="12"/>
      <c r="G112" s="12"/>
      <c r="H112" s="12"/>
      <c r="I112" s="12"/>
      <c r="J112" s="12"/>
    </row>
    <row r="113" spans="1:10" ht="24.75" customHeight="1" x14ac:dyDescent="0.2">
      <c r="B113" s="8" t="s">
        <v>4</v>
      </c>
      <c r="C113" s="9" t="s">
        <v>27</v>
      </c>
      <c r="D113" s="12"/>
      <c r="E113" s="12"/>
      <c r="F113" s="2" t="s">
        <v>0</v>
      </c>
      <c r="H113" s="12"/>
      <c r="I113" s="12"/>
      <c r="J113" s="2" t="s">
        <v>55</v>
      </c>
    </row>
    <row r="114" spans="1:10" ht="24.75" customHeight="1" x14ac:dyDescent="0.2">
      <c r="D114" s="6"/>
      <c r="E114" s="6"/>
      <c r="F114" s="12" t="s">
        <v>3</v>
      </c>
      <c r="G114" s="12"/>
      <c r="H114" s="12"/>
      <c r="I114" s="12"/>
      <c r="J114" s="12"/>
    </row>
    <row r="115" spans="1:10" ht="24.75" customHeight="1" x14ac:dyDescent="0.2">
      <c r="A115" s="3">
        <v>1</v>
      </c>
      <c r="B115" s="3"/>
      <c r="C115" s="13" t="s">
        <v>474</v>
      </c>
      <c r="D115" s="10" t="s">
        <v>359</v>
      </c>
      <c r="E115" s="10" t="s">
        <v>473</v>
      </c>
      <c r="F115" s="12"/>
      <c r="G115" s="12"/>
      <c r="H115" s="12"/>
      <c r="I115" s="12"/>
      <c r="J115" s="12"/>
    </row>
    <row r="116" spans="1:10" ht="24.75" customHeight="1" x14ac:dyDescent="0.2">
      <c r="A116" s="3">
        <v>2</v>
      </c>
      <c r="B116" s="3"/>
      <c r="C116" s="13" t="s">
        <v>472</v>
      </c>
      <c r="D116" s="10" t="s">
        <v>121</v>
      </c>
      <c r="E116" s="10" t="s">
        <v>471</v>
      </c>
      <c r="F116" s="12"/>
      <c r="G116" s="12"/>
      <c r="H116" s="12"/>
      <c r="I116" s="12"/>
      <c r="J116" s="12"/>
    </row>
    <row r="117" spans="1:10" ht="24.75" customHeight="1" x14ac:dyDescent="0.2">
      <c r="A117" s="3">
        <v>3</v>
      </c>
      <c r="B117" s="3"/>
      <c r="C117" s="13" t="s">
        <v>470</v>
      </c>
      <c r="D117" s="10" t="s">
        <v>121</v>
      </c>
      <c r="E117" s="10" t="s">
        <v>469</v>
      </c>
      <c r="F117" s="12"/>
      <c r="G117" s="12"/>
      <c r="H117" s="12"/>
      <c r="I117" s="12"/>
      <c r="J117" s="12"/>
    </row>
    <row r="118" spans="1:10" ht="24.75" customHeight="1" x14ac:dyDescent="0.2">
      <c r="A118" s="3">
        <v>4</v>
      </c>
      <c r="B118" s="3"/>
      <c r="C118" s="13" t="s">
        <v>468</v>
      </c>
      <c r="D118" s="10" t="s">
        <v>121</v>
      </c>
      <c r="E118" s="10" t="s">
        <v>467</v>
      </c>
      <c r="F118" s="12"/>
      <c r="G118" s="12"/>
      <c r="H118" s="12"/>
      <c r="I118" s="12"/>
      <c r="J118" s="12"/>
    </row>
    <row r="119" spans="1:10" ht="24.75" customHeight="1" x14ac:dyDescent="0.2">
      <c r="A119" s="3">
        <v>5</v>
      </c>
      <c r="B119" s="3"/>
      <c r="C119" s="13" t="s">
        <v>466</v>
      </c>
      <c r="D119" s="10" t="s">
        <v>121</v>
      </c>
      <c r="E119" s="10" t="s">
        <v>465</v>
      </c>
      <c r="F119" s="12"/>
      <c r="G119" s="12"/>
      <c r="H119" s="12"/>
      <c r="I119" s="12"/>
      <c r="J119" s="12"/>
    </row>
    <row r="120" spans="1:10" ht="24.75" customHeight="1" x14ac:dyDescent="0.2">
      <c r="A120" s="3">
        <v>6</v>
      </c>
      <c r="B120" s="3"/>
      <c r="C120" s="13" t="s">
        <v>464</v>
      </c>
      <c r="D120" s="10" t="s">
        <v>463</v>
      </c>
      <c r="E120" s="10" t="s">
        <v>462</v>
      </c>
      <c r="F120" s="12"/>
      <c r="G120" s="12"/>
      <c r="H120" s="12"/>
      <c r="I120" s="12"/>
      <c r="J120" s="12"/>
    </row>
    <row r="121" spans="1:10" ht="24.75" customHeight="1" x14ac:dyDescent="0.2">
      <c r="A121" s="3">
        <v>7</v>
      </c>
      <c r="B121" s="3"/>
      <c r="C121" s="13" t="s">
        <v>461</v>
      </c>
      <c r="D121" s="10" t="s">
        <v>460</v>
      </c>
      <c r="E121" s="10" t="s">
        <v>459</v>
      </c>
      <c r="F121" s="12"/>
      <c r="G121" s="12"/>
      <c r="H121" s="12"/>
      <c r="I121" s="12"/>
      <c r="J121" s="12"/>
    </row>
    <row r="122" spans="1:10" ht="24.75" customHeight="1" x14ac:dyDescent="0.2">
      <c r="A122" s="3">
        <v>8</v>
      </c>
      <c r="B122" s="3"/>
      <c r="C122" s="13" t="s">
        <v>458</v>
      </c>
      <c r="D122" s="10" t="s">
        <v>457</v>
      </c>
      <c r="E122" s="10" t="s">
        <v>456</v>
      </c>
      <c r="F122" s="12"/>
      <c r="G122" s="12"/>
      <c r="H122" s="12"/>
      <c r="I122" s="12"/>
      <c r="J122" s="12"/>
    </row>
    <row r="123" spans="1:10" ht="24.75" customHeight="1" x14ac:dyDescent="0.2">
      <c r="A123" s="3">
        <v>9</v>
      </c>
      <c r="B123" s="3"/>
      <c r="C123" s="13" t="s">
        <v>455</v>
      </c>
      <c r="D123" s="10" t="s">
        <v>454</v>
      </c>
      <c r="E123" s="10" t="s">
        <v>453</v>
      </c>
      <c r="F123" s="12"/>
      <c r="G123" s="12"/>
      <c r="H123" s="12"/>
      <c r="I123" s="12"/>
      <c r="J123" s="12"/>
    </row>
    <row r="124" spans="1:10" ht="24.75" customHeight="1" x14ac:dyDescent="0.2">
      <c r="A124" s="3">
        <v>10</v>
      </c>
      <c r="B124" s="3"/>
      <c r="C124" s="13" t="s">
        <v>452</v>
      </c>
      <c r="D124" s="10" t="s">
        <v>451</v>
      </c>
      <c r="E124" s="10" t="s">
        <v>450</v>
      </c>
      <c r="F124" s="12"/>
      <c r="G124" s="12"/>
      <c r="H124" s="12"/>
      <c r="I124" s="12"/>
      <c r="J124" s="12"/>
    </row>
    <row r="125" spans="1:10" ht="24.75" customHeight="1" x14ac:dyDescent="0.2">
      <c r="A125" s="3">
        <v>11</v>
      </c>
      <c r="B125" s="3"/>
      <c r="C125" s="13" t="s">
        <v>449</v>
      </c>
      <c r="D125" s="10" t="s">
        <v>445</v>
      </c>
      <c r="E125" s="10" t="s">
        <v>434</v>
      </c>
      <c r="F125" s="12"/>
      <c r="G125" s="12"/>
      <c r="H125" s="12"/>
      <c r="I125" s="12"/>
      <c r="J125" s="12"/>
    </row>
    <row r="126" spans="1:10" ht="24.75" customHeight="1" x14ac:dyDescent="0.2">
      <c r="A126" s="3">
        <v>12</v>
      </c>
      <c r="B126" s="3"/>
      <c r="C126" s="13" t="s">
        <v>448</v>
      </c>
      <c r="D126" s="10" t="s">
        <v>445</v>
      </c>
      <c r="E126" s="10" t="s">
        <v>447</v>
      </c>
      <c r="F126" s="12"/>
      <c r="G126" s="12"/>
      <c r="H126" s="12"/>
      <c r="I126" s="12"/>
      <c r="J126" s="12"/>
    </row>
    <row r="127" spans="1:10" ht="24.75" customHeight="1" x14ac:dyDescent="0.2">
      <c r="A127" s="3">
        <v>13</v>
      </c>
      <c r="B127" s="3"/>
      <c r="C127" s="13" t="s">
        <v>446</v>
      </c>
      <c r="D127" s="10" t="s">
        <v>445</v>
      </c>
      <c r="E127" s="10" t="s">
        <v>444</v>
      </c>
      <c r="F127" s="12"/>
      <c r="G127" s="12"/>
      <c r="H127" s="12"/>
      <c r="I127" s="12"/>
      <c r="J127" s="12"/>
    </row>
    <row r="128" spans="1:10" ht="24.75" customHeight="1" x14ac:dyDescent="0.2">
      <c r="A128" s="3">
        <v>14</v>
      </c>
      <c r="B128" s="3"/>
      <c r="C128" s="13" t="s">
        <v>443</v>
      </c>
      <c r="D128" s="10" t="s">
        <v>442</v>
      </c>
      <c r="E128" s="10" t="s">
        <v>441</v>
      </c>
      <c r="F128" s="12"/>
      <c r="G128" s="12"/>
      <c r="H128" s="12"/>
      <c r="I128" s="12"/>
      <c r="J128" s="12"/>
    </row>
    <row r="129" spans="1:10" ht="24.75" customHeight="1" x14ac:dyDescent="0.2">
      <c r="A129" s="3">
        <v>15</v>
      </c>
      <c r="B129" s="3"/>
      <c r="C129" s="13" t="s">
        <v>440</v>
      </c>
      <c r="D129" s="10" t="s">
        <v>439</v>
      </c>
      <c r="E129" s="10" t="s">
        <v>438</v>
      </c>
      <c r="F129" s="12"/>
      <c r="G129" s="12"/>
      <c r="H129" s="12"/>
      <c r="I129" s="12"/>
      <c r="J129" s="12"/>
    </row>
    <row r="130" spans="1:10" ht="24.75" customHeight="1" x14ac:dyDescent="0.2">
      <c r="A130" s="3">
        <v>16</v>
      </c>
      <c r="B130" s="3"/>
      <c r="C130" s="13" t="s">
        <v>437</v>
      </c>
      <c r="D130" s="10" t="s">
        <v>150</v>
      </c>
      <c r="E130" s="10" t="s">
        <v>436</v>
      </c>
      <c r="F130" s="12"/>
      <c r="G130" s="12"/>
      <c r="H130" s="12"/>
      <c r="I130" s="12"/>
      <c r="J130" s="12"/>
    </row>
    <row r="131" spans="1:10" ht="24.75" customHeight="1" x14ac:dyDescent="0.2">
      <c r="A131" s="3">
        <v>17</v>
      </c>
      <c r="B131" s="3"/>
      <c r="C131" s="13" t="s">
        <v>435</v>
      </c>
      <c r="D131" s="10" t="s">
        <v>89</v>
      </c>
      <c r="E131" s="10" t="s">
        <v>434</v>
      </c>
      <c r="F131" s="12"/>
      <c r="G131" s="12"/>
      <c r="H131" s="12"/>
      <c r="I131" s="12"/>
      <c r="J131" s="12"/>
    </row>
    <row r="132" spans="1:10" ht="24.75" customHeight="1" x14ac:dyDescent="0.2">
      <c r="A132" s="3">
        <v>18</v>
      </c>
      <c r="B132" s="3"/>
      <c r="C132" s="13" t="s">
        <v>433</v>
      </c>
      <c r="D132" s="10" t="s">
        <v>89</v>
      </c>
      <c r="E132" s="10" t="s">
        <v>432</v>
      </c>
      <c r="F132" s="12"/>
      <c r="G132" s="12"/>
      <c r="H132" s="12"/>
      <c r="I132" s="12"/>
      <c r="J132" s="12"/>
    </row>
    <row r="133" spans="1:10" ht="24.75" customHeight="1" x14ac:dyDescent="0.2">
      <c r="A133" s="3">
        <v>19</v>
      </c>
      <c r="B133" s="3"/>
      <c r="C133" s="13" t="s">
        <v>431</v>
      </c>
      <c r="D133" s="10" t="s">
        <v>430</v>
      </c>
      <c r="E133" s="10" t="s">
        <v>429</v>
      </c>
      <c r="F133" s="12"/>
      <c r="G133" s="12"/>
      <c r="H133" s="12"/>
      <c r="I133" s="12"/>
      <c r="J133" s="12"/>
    </row>
    <row r="134" spans="1:10" ht="24.75" customHeight="1" x14ac:dyDescent="0.2">
      <c r="A134" s="3">
        <v>20</v>
      </c>
      <c r="B134" s="3"/>
      <c r="C134" s="13" t="s">
        <v>428</v>
      </c>
      <c r="D134" s="10" t="s">
        <v>101</v>
      </c>
      <c r="E134" s="10" t="s">
        <v>427</v>
      </c>
      <c r="F134" s="12"/>
      <c r="G134" s="12"/>
      <c r="H134" s="12"/>
      <c r="I134" s="12"/>
      <c r="J134" s="12"/>
    </row>
    <row r="135" spans="1:10" ht="24.75" customHeight="1" x14ac:dyDescent="0.2">
      <c r="A135" s="3">
        <v>21</v>
      </c>
      <c r="B135" s="3"/>
      <c r="C135" s="13" t="s">
        <v>426</v>
      </c>
      <c r="D135" s="10" t="s">
        <v>101</v>
      </c>
      <c r="E135" s="10" t="s">
        <v>425</v>
      </c>
      <c r="F135" s="12"/>
      <c r="G135" s="12"/>
      <c r="H135" s="12"/>
      <c r="I135" s="12"/>
      <c r="J135" s="12"/>
    </row>
    <row r="136" spans="1:10" ht="24.75" customHeight="1" x14ac:dyDescent="0.2">
      <c r="A136" s="3">
        <v>22</v>
      </c>
      <c r="B136" s="3"/>
      <c r="C136" s="13" t="s">
        <v>424</v>
      </c>
      <c r="D136" s="10" t="s">
        <v>101</v>
      </c>
      <c r="E136" s="10" t="s">
        <v>306</v>
      </c>
      <c r="F136" s="12"/>
      <c r="G136" s="12"/>
      <c r="H136" s="12"/>
      <c r="I136" s="12"/>
      <c r="J136" s="12"/>
    </row>
    <row r="137" spans="1:10" ht="24.75" customHeight="1" x14ac:dyDescent="0.2">
      <c r="A137" s="3">
        <v>23</v>
      </c>
      <c r="B137" s="3"/>
      <c r="C137" s="13" t="s">
        <v>423</v>
      </c>
      <c r="D137" s="10" t="s">
        <v>101</v>
      </c>
      <c r="E137" s="10" t="s">
        <v>422</v>
      </c>
      <c r="F137" s="12"/>
      <c r="G137" s="12"/>
      <c r="H137" s="12"/>
      <c r="I137" s="12"/>
      <c r="J137" s="12"/>
    </row>
    <row r="138" spans="1:10" ht="24.75" customHeight="1" x14ac:dyDescent="0.2">
      <c r="A138" s="3">
        <v>24</v>
      </c>
      <c r="B138" s="3"/>
      <c r="C138" s="13" t="s">
        <v>421</v>
      </c>
      <c r="D138" s="10" t="s">
        <v>101</v>
      </c>
      <c r="E138" s="10" t="s">
        <v>22</v>
      </c>
      <c r="F138" s="12"/>
      <c r="G138" s="12"/>
      <c r="H138" s="12"/>
      <c r="I138" s="12"/>
      <c r="J138" s="12"/>
    </row>
    <row r="139" spans="1:10" ht="24.75" customHeight="1" x14ac:dyDescent="0.2">
      <c r="A139" s="3">
        <v>25</v>
      </c>
      <c r="B139" s="3"/>
      <c r="C139" s="13" t="s">
        <v>420</v>
      </c>
      <c r="D139" s="10" t="s">
        <v>101</v>
      </c>
      <c r="E139" s="10" t="s">
        <v>419</v>
      </c>
      <c r="F139" s="12"/>
      <c r="G139" s="12"/>
      <c r="H139" s="12"/>
      <c r="I139" s="12"/>
      <c r="J139" s="12"/>
    </row>
    <row r="140" spans="1:10" ht="24.75" customHeight="1" x14ac:dyDescent="0.15">
      <c r="A140" s="3">
        <v>26</v>
      </c>
      <c r="B140" s="3"/>
      <c r="C140" s="16"/>
      <c r="D140" s="7"/>
      <c r="E140" s="7"/>
      <c r="F140" s="12"/>
      <c r="G140" s="12"/>
      <c r="H140" s="12"/>
      <c r="I140" s="12"/>
      <c r="J140" s="12"/>
    </row>
    <row r="141" spans="1:10" ht="24.75" customHeight="1" x14ac:dyDescent="0.2">
      <c r="B141" s="8" t="s">
        <v>4</v>
      </c>
      <c r="C141" s="15" t="s">
        <v>28</v>
      </c>
      <c r="D141" s="12"/>
      <c r="E141" s="12"/>
      <c r="F141" s="2" t="s">
        <v>0</v>
      </c>
      <c r="H141" s="12"/>
      <c r="I141" s="12"/>
      <c r="J141" s="2" t="s">
        <v>56</v>
      </c>
    </row>
    <row r="142" spans="1:10" ht="24.75" customHeight="1" x14ac:dyDescent="0.2">
      <c r="D142" s="6"/>
      <c r="E142" s="6"/>
      <c r="F142" s="12" t="s">
        <v>3</v>
      </c>
      <c r="G142" s="12"/>
      <c r="H142" s="12"/>
      <c r="I142" s="12"/>
      <c r="J142" s="12"/>
    </row>
    <row r="143" spans="1:10" ht="24.75" customHeight="1" x14ac:dyDescent="0.2">
      <c r="A143" s="3">
        <v>1</v>
      </c>
      <c r="B143" s="3"/>
      <c r="C143" s="13" t="s">
        <v>528</v>
      </c>
      <c r="D143" s="10" t="s">
        <v>527</v>
      </c>
      <c r="E143" s="10" t="s">
        <v>343</v>
      </c>
      <c r="F143" s="12"/>
      <c r="G143" s="12"/>
      <c r="H143" s="12"/>
      <c r="I143" s="12"/>
      <c r="J143" s="12"/>
    </row>
    <row r="144" spans="1:10" ht="24.75" customHeight="1" x14ac:dyDescent="0.2">
      <c r="A144" s="3">
        <v>2</v>
      </c>
      <c r="B144" s="3"/>
      <c r="C144" s="13" t="s">
        <v>526</v>
      </c>
      <c r="D144" s="10" t="s">
        <v>525</v>
      </c>
      <c r="E144" s="10" t="s">
        <v>524</v>
      </c>
      <c r="F144" s="12"/>
      <c r="G144" s="12"/>
      <c r="H144" s="12"/>
      <c r="I144" s="12"/>
      <c r="J144" s="12"/>
    </row>
    <row r="145" spans="1:10" ht="24.75" customHeight="1" x14ac:dyDescent="0.2">
      <c r="A145" s="3">
        <v>3</v>
      </c>
      <c r="B145" s="3"/>
      <c r="C145" s="13" t="s">
        <v>523</v>
      </c>
      <c r="D145" s="10" t="s">
        <v>110</v>
      </c>
      <c r="E145" s="10" t="s">
        <v>522</v>
      </c>
      <c r="F145" s="12"/>
      <c r="G145" s="12"/>
      <c r="H145" s="12"/>
      <c r="I145" s="12"/>
      <c r="J145" s="12"/>
    </row>
    <row r="146" spans="1:10" ht="24.75" customHeight="1" x14ac:dyDescent="0.2">
      <c r="A146" s="3">
        <v>4</v>
      </c>
      <c r="B146" s="3"/>
      <c r="C146" s="13" t="s">
        <v>521</v>
      </c>
      <c r="D146" s="10" t="s">
        <v>110</v>
      </c>
      <c r="E146" s="10" t="s">
        <v>520</v>
      </c>
      <c r="F146" s="12"/>
      <c r="G146" s="12"/>
      <c r="H146" s="12"/>
      <c r="I146" s="12"/>
      <c r="J146" s="12"/>
    </row>
    <row r="147" spans="1:10" ht="24.75" customHeight="1" x14ac:dyDescent="0.2">
      <c r="A147" s="3">
        <v>5</v>
      </c>
      <c r="B147" s="3"/>
      <c r="C147" s="13" t="s">
        <v>519</v>
      </c>
      <c r="D147" s="10" t="s">
        <v>110</v>
      </c>
      <c r="E147" s="10" t="s">
        <v>518</v>
      </c>
      <c r="F147" s="12"/>
      <c r="G147" s="12"/>
      <c r="H147" s="12"/>
      <c r="I147" s="12"/>
      <c r="J147" s="12"/>
    </row>
    <row r="148" spans="1:10" ht="24.75" customHeight="1" x14ac:dyDescent="0.2">
      <c r="A148" s="3">
        <v>6</v>
      </c>
      <c r="B148" s="3"/>
      <c r="C148" s="13" t="s">
        <v>517</v>
      </c>
      <c r="D148" s="10" t="s">
        <v>513</v>
      </c>
      <c r="E148" s="10" t="s">
        <v>516</v>
      </c>
      <c r="F148" s="12"/>
      <c r="G148" s="12"/>
      <c r="H148" s="12"/>
      <c r="I148" s="12"/>
      <c r="J148" s="12"/>
    </row>
    <row r="149" spans="1:10" ht="24.75" customHeight="1" x14ac:dyDescent="0.2">
      <c r="A149" s="3">
        <v>7</v>
      </c>
      <c r="B149" s="3"/>
      <c r="C149" s="13" t="s">
        <v>515</v>
      </c>
      <c r="D149" s="10" t="s">
        <v>513</v>
      </c>
      <c r="E149" s="10" t="s">
        <v>130</v>
      </c>
      <c r="F149" s="12"/>
      <c r="G149" s="12"/>
      <c r="H149" s="12"/>
      <c r="I149" s="12"/>
      <c r="J149" s="12"/>
    </row>
    <row r="150" spans="1:10" ht="24.75" customHeight="1" x14ac:dyDescent="0.2">
      <c r="A150" s="3">
        <v>8</v>
      </c>
      <c r="B150" s="3"/>
      <c r="C150" s="13" t="s">
        <v>514</v>
      </c>
      <c r="D150" s="10" t="s">
        <v>513</v>
      </c>
      <c r="E150" s="10" t="s">
        <v>35</v>
      </c>
      <c r="F150" s="12"/>
      <c r="G150" s="12"/>
      <c r="H150" s="12"/>
      <c r="I150" s="12"/>
      <c r="J150" s="12"/>
    </row>
    <row r="151" spans="1:10" ht="24.75" customHeight="1" x14ac:dyDescent="0.2">
      <c r="A151" s="3">
        <v>9</v>
      </c>
      <c r="B151" s="3"/>
      <c r="C151" s="13" t="s">
        <v>512</v>
      </c>
      <c r="D151" s="10" t="s">
        <v>511</v>
      </c>
      <c r="E151" s="10" t="s">
        <v>343</v>
      </c>
      <c r="F151" s="12"/>
      <c r="G151" s="12"/>
      <c r="H151" s="12"/>
      <c r="I151" s="12"/>
      <c r="J151" s="12"/>
    </row>
    <row r="152" spans="1:10" ht="24.75" customHeight="1" x14ac:dyDescent="0.2">
      <c r="A152" s="3">
        <v>10</v>
      </c>
      <c r="B152" s="3"/>
      <c r="C152" s="13" t="s">
        <v>510</v>
      </c>
      <c r="D152" s="10" t="s">
        <v>507</v>
      </c>
      <c r="E152" s="10" t="s">
        <v>509</v>
      </c>
      <c r="F152" s="12"/>
      <c r="G152" s="12"/>
      <c r="H152" s="12"/>
      <c r="I152" s="12"/>
      <c r="J152" s="12"/>
    </row>
    <row r="153" spans="1:10" ht="24.75" customHeight="1" x14ac:dyDescent="0.2">
      <c r="A153" s="3">
        <v>11</v>
      </c>
      <c r="B153" s="3"/>
      <c r="C153" s="13" t="s">
        <v>508</v>
      </c>
      <c r="D153" s="10" t="s">
        <v>507</v>
      </c>
      <c r="E153" s="10" t="s">
        <v>37</v>
      </c>
      <c r="F153" s="12"/>
      <c r="G153" s="12"/>
      <c r="H153" s="12"/>
      <c r="I153" s="12"/>
      <c r="J153" s="12"/>
    </row>
    <row r="154" spans="1:10" ht="24.75" customHeight="1" x14ac:dyDescent="0.2">
      <c r="A154" s="3">
        <v>12</v>
      </c>
      <c r="B154" s="3"/>
      <c r="C154" s="13" t="s">
        <v>506</v>
      </c>
      <c r="D154" s="10" t="s">
        <v>505</v>
      </c>
      <c r="E154" s="10" t="s">
        <v>504</v>
      </c>
      <c r="F154" s="12"/>
      <c r="G154" s="12"/>
      <c r="H154" s="12"/>
      <c r="I154" s="12"/>
      <c r="J154" s="12"/>
    </row>
    <row r="155" spans="1:10" ht="24.75" customHeight="1" x14ac:dyDescent="0.2">
      <c r="A155" s="3">
        <v>13</v>
      </c>
      <c r="B155" s="3"/>
      <c r="C155" s="13" t="s">
        <v>503</v>
      </c>
      <c r="D155" s="10" t="s">
        <v>502</v>
      </c>
      <c r="E155" s="10" t="s">
        <v>501</v>
      </c>
      <c r="F155" s="12"/>
      <c r="G155" s="12"/>
      <c r="H155" s="12"/>
      <c r="I155" s="12"/>
      <c r="J155" s="12"/>
    </row>
    <row r="156" spans="1:10" ht="24.75" customHeight="1" x14ac:dyDescent="0.2">
      <c r="A156" s="3">
        <v>14</v>
      </c>
      <c r="B156" s="3"/>
      <c r="C156" s="13" t="s">
        <v>500</v>
      </c>
      <c r="D156" s="10" t="s">
        <v>499</v>
      </c>
      <c r="E156" s="10" t="s">
        <v>498</v>
      </c>
      <c r="F156" s="12"/>
      <c r="G156" s="12"/>
      <c r="H156" s="12"/>
      <c r="I156" s="12"/>
      <c r="J156" s="12"/>
    </row>
    <row r="157" spans="1:10" ht="24.75" customHeight="1" x14ac:dyDescent="0.2">
      <c r="A157" s="3">
        <v>15</v>
      </c>
      <c r="B157" s="3"/>
      <c r="C157" s="13" t="s">
        <v>497</v>
      </c>
      <c r="D157" s="10" t="s">
        <v>496</v>
      </c>
      <c r="E157" s="10" t="s">
        <v>11</v>
      </c>
      <c r="F157" s="12"/>
      <c r="G157" s="12"/>
      <c r="H157" s="12"/>
      <c r="I157" s="12"/>
      <c r="J157" s="12"/>
    </row>
    <row r="158" spans="1:10" ht="24.75" customHeight="1" x14ac:dyDescent="0.2">
      <c r="A158" s="3">
        <v>16</v>
      </c>
      <c r="B158" s="3"/>
      <c r="C158" s="13" t="s">
        <v>495</v>
      </c>
      <c r="D158" s="10" t="s">
        <v>116</v>
      </c>
      <c r="E158" s="10" t="s">
        <v>494</v>
      </c>
      <c r="F158" s="12"/>
      <c r="G158" s="12"/>
      <c r="H158" s="12"/>
      <c r="I158" s="12"/>
      <c r="J158" s="12"/>
    </row>
    <row r="159" spans="1:10" ht="24.75" customHeight="1" x14ac:dyDescent="0.2">
      <c r="A159" s="3">
        <v>17</v>
      </c>
      <c r="B159" s="3"/>
      <c r="C159" s="13" t="s">
        <v>493</v>
      </c>
      <c r="D159" s="10" t="s">
        <v>116</v>
      </c>
      <c r="E159" s="10" t="s">
        <v>492</v>
      </c>
      <c r="F159" s="12"/>
      <c r="G159" s="12"/>
      <c r="H159" s="12"/>
      <c r="I159" s="12"/>
      <c r="J159" s="12"/>
    </row>
    <row r="160" spans="1:10" ht="24.75" customHeight="1" x14ac:dyDescent="0.2">
      <c r="A160" s="3">
        <v>18</v>
      </c>
      <c r="B160" s="3"/>
      <c r="C160" s="13" t="s">
        <v>491</v>
      </c>
      <c r="D160" s="10" t="s">
        <v>119</v>
      </c>
      <c r="E160" s="10" t="s">
        <v>490</v>
      </c>
      <c r="F160" s="12"/>
      <c r="G160" s="12"/>
      <c r="H160" s="12"/>
      <c r="I160" s="12"/>
      <c r="J160" s="12"/>
    </row>
    <row r="161" spans="1:10" ht="24.75" customHeight="1" x14ac:dyDescent="0.2">
      <c r="A161" s="3">
        <v>19</v>
      </c>
      <c r="B161" s="3"/>
      <c r="C161" s="13" t="s">
        <v>489</v>
      </c>
      <c r="D161" s="10" t="s">
        <v>119</v>
      </c>
      <c r="E161" s="10" t="s">
        <v>18</v>
      </c>
      <c r="F161" s="12"/>
      <c r="G161" s="12"/>
      <c r="H161" s="12"/>
      <c r="I161" s="12"/>
      <c r="J161" s="12"/>
    </row>
    <row r="162" spans="1:10" ht="24.75" customHeight="1" x14ac:dyDescent="0.2">
      <c r="A162" s="3">
        <v>20</v>
      </c>
      <c r="B162" s="3"/>
      <c r="C162" s="13" t="s">
        <v>488</v>
      </c>
      <c r="D162" s="10" t="s">
        <v>119</v>
      </c>
      <c r="E162" s="10" t="s">
        <v>487</v>
      </c>
      <c r="F162" s="12"/>
      <c r="G162" s="12"/>
      <c r="H162" s="12"/>
      <c r="I162" s="12"/>
      <c r="J162" s="12"/>
    </row>
    <row r="163" spans="1:10" ht="24.75" customHeight="1" x14ac:dyDescent="0.2">
      <c r="A163" s="3">
        <v>21</v>
      </c>
      <c r="B163" s="3"/>
      <c r="C163" s="13" t="s">
        <v>486</v>
      </c>
      <c r="D163" s="10" t="s">
        <v>485</v>
      </c>
      <c r="E163" s="10" t="s">
        <v>484</v>
      </c>
      <c r="F163" s="12"/>
      <c r="G163" s="12"/>
      <c r="H163" s="12"/>
      <c r="I163" s="12"/>
      <c r="J163" s="12"/>
    </row>
    <row r="164" spans="1:10" ht="24.75" customHeight="1" x14ac:dyDescent="0.2">
      <c r="A164" s="3">
        <v>22</v>
      </c>
      <c r="B164" s="3"/>
      <c r="C164" s="13" t="s">
        <v>483</v>
      </c>
      <c r="D164" s="10" t="s">
        <v>482</v>
      </c>
      <c r="E164" s="10" t="s">
        <v>8</v>
      </c>
      <c r="F164" s="12"/>
      <c r="G164" s="12"/>
      <c r="H164" s="12"/>
      <c r="I164" s="12"/>
      <c r="J164" s="12"/>
    </row>
    <row r="165" spans="1:10" ht="24.75" customHeight="1" x14ac:dyDescent="0.2">
      <c r="A165" s="3">
        <v>23</v>
      </c>
      <c r="B165" s="3"/>
      <c r="C165" s="13" t="s">
        <v>481</v>
      </c>
      <c r="D165" s="10" t="s">
        <v>480</v>
      </c>
      <c r="E165" s="10" t="s">
        <v>479</v>
      </c>
      <c r="F165" s="12"/>
      <c r="G165" s="12"/>
      <c r="H165" s="12"/>
      <c r="I165" s="12"/>
      <c r="J165" s="12"/>
    </row>
    <row r="166" spans="1:10" ht="24.75" customHeight="1" x14ac:dyDescent="0.2">
      <c r="A166" s="3">
        <v>24</v>
      </c>
      <c r="B166" s="3"/>
      <c r="C166" s="13" t="s">
        <v>478</v>
      </c>
      <c r="D166" s="10" t="s">
        <v>127</v>
      </c>
      <c r="E166" s="10" t="s">
        <v>477</v>
      </c>
      <c r="F166" s="12"/>
      <c r="G166" s="12"/>
      <c r="H166" s="12"/>
      <c r="I166" s="12"/>
      <c r="J166" s="12"/>
    </row>
    <row r="167" spans="1:10" ht="24.75" customHeight="1" x14ac:dyDescent="0.2">
      <c r="A167" s="3">
        <v>25</v>
      </c>
      <c r="B167" s="3"/>
      <c r="C167" s="13" t="s">
        <v>476</v>
      </c>
      <c r="D167" s="10" t="s">
        <v>127</v>
      </c>
      <c r="E167" s="10" t="s">
        <v>475</v>
      </c>
      <c r="F167" s="12"/>
      <c r="G167" s="12"/>
      <c r="H167" s="12"/>
      <c r="I167" s="12"/>
      <c r="J167" s="12"/>
    </row>
    <row r="168" spans="1:10" ht="24.75" customHeight="1" x14ac:dyDescent="0.15">
      <c r="A168" s="3">
        <v>26</v>
      </c>
      <c r="B168" s="3"/>
      <c r="C168" s="16"/>
      <c r="D168" s="7"/>
      <c r="E168" s="7"/>
      <c r="F168" s="12"/>
      <c r="G168" s="12"/>
      <c r="H168" s="12"/>
      <c r="I168" s="12"/>
      <c r="J168" s="12"/>
    </row>
    <row r="169" spans="1:10" ht="24.75" customHeight="1" x14ac:dyDescent="0.2">
      <c r="B169" s="8" t="s">
        <v>4</v>
      </c>
      <c r="C169" s="9" t="s">
        <v>29</v>
      </c>
      <c r="D169" s="12"/>
      <c r="E169" s="12"/>
      <c r="F169" s="2" t="s">
        <v>0</v>
      </c>
      <c r="H169" s="12"/>
      <c r="I169" s="12"/>
      <c r="J169" s="2" t="s">
        <v>57</v>
      </c>
    </row>
    <row r="170" spans="1:10" ht="24.75" customHeight="1" x14ac:dyDescent="0.2">
      <c r="C170" s="9"/>
      <c r="D170" s="2"/>
      <c r="E170" s="2"/>
      <c r="F170" s="12" t="s">
        <v>3</v>
      </c>
      <c r="G170" s="12"/>
      <c r="H170" s="12"/>
      <c r="I170" s="12"/>
      <c r="J170" s="12"/>
    </row>
    <row r="171" spans="1:10" ht="24.75" customHeight="1" x14ac:dyDescent="0.2">
      <c r="A171" s="8">
        <v>1</v>
      </c>
      <c r="C171" s="13" t="s">
        <v>588</v>
      </c>
      <c r="D171" s="10" t="s">
        <v>127</v>
      </c>
      <c r="E171" s="10" t="s">
        <v>587</v>
      </c>
      <c r="F171" s="12"/>
      <c r="G171" s="12"/>
      <c r="H171" s="12"/>
      <c r="I171" s="12"/>
      <c r="J171" s="12"/>
    </row>
    <row r="172" spans="1:10" ht="24.75" customHeight="1" x14ac:dyDescent="0.2">
      <c r="A172" s="8">
        <v>2</v>
      </c>
      <c r="C172" s="13" t="s">
        <v>586</v>
      </c>
      <c r="D172" s="10" t="s">
        <v>127</v>
      </c>
      <c r="E172" s="10" t="s">
        <v>585</v>
      </c>
      <c r="F172" s="12"/>
      <c r="G172" s="12"/>
      <c r="H172" s="12"/>
      <c r="I172" s="12"/>
      <c r="J172" s="12"/>
    </row>
    <row r="173" spans="1:10" ht="24.75" customHeight="1" x14ac:dyDescent="0.2">
      <c r="A173" s="8">
        <v>3</v>
      </c>
      <c r="C173" s="13" t="s">
        <v>584</v>
      </c>
      <c r="D173" s="10" t="s">
        <v>127</v>
      </c>
      <c r="E173" s="10" t="s">
        <v>583</v>
      </c>
      <c r="F173" s="12"/>
      <c r="G173" s="12"/>
      <c r="H173" s="12"/>
      <c r="I173" s="12"/>
      <c r="J173" s="12"/>
    </row>
    <row r="174" spans="1:10" ht="24.75" customHeight="1" x14ac:dyDescent="0.2">
      <c r="A174" s="8">
        <v>4</v>
      </c>
      <c r="C174" s="13" t="s">
        <v>582</v>
      </c>
      <c r="D174" s="10" t="s">
        <v>579</v>
      </c>
      <c r="E174" s="10" t="s">
        <v>581</v>
      </c>
      <c r="F174" s="12"/>
      <c r="G174" s="12"/>
      <c r="H174" s="12"/>
      <c r="I174" s="12"/>
      <c r="J174" s="12"/>
    </row>
    <row r="175" spans="1:10" ht="24.75" customHeight="1" x14ac:dyDescent="0.2">
      <c r="A175" s="8">
        <v>5</v>
      </c>
      <c r="C175" s="13" t="s">
        <v>580</v>
      </c>
      <c r="D175" s="10" t="s">
        <v>579</v>
      </c>
      <c r="E175" s="10" t="s">
        <v>578</v>
      </c>
      <c r="F175" s="12"/>
      <c r="G175" s="12"/>
      <c r="H175" s="12"/>
      <c r="I175" s="12"/>
      <c r="J175" s="12"/>
    </row>
    <row r="176" spans="1:10" ht="24.75" customHeight="1" x14ac:dyDescent="0.2">
      <c r="A176" s="8">
        <v>6</v>
      </c>
      <c r="C176" s="13" t="s">
        <v>577</v>
      </c>
      <c r="D176" s="10" t="s">
        <v>576</v>
      </c>
      <c r="E176" s="10" t="s">
        <v>36</v>
      </c>
      <c r="F176" s="12"/>
      <c r="G176" s="12"/>
      <c r="H176" s="12"/>
      <c r="I176" s="12"/>
      <c r="J176" s="12"/>
    </row>
    <row r="177" spans="1:10" ht="24.75" customHeight="1" x14ac:dyDescent="0.2">
      <c r="A177" s="8">
        <v>7</v>
      </c>
      <c r="C177" s="13" t="s">
        <v>575</v>
      </c>
      <c r="D177" s="10" t="s">
        <v>572</v>
      </c>
      <c r="E177" s="10" t="s">
        <v>574</v>
      </c>
      <c r="F177" s="12"/>
      <c r="G177" s="12"/>
      <c r="H177" s="12"/>
      <c r="I177" s="12"/>
      <c r="J177" s="12"/>
    </row>
    <row r="178" spans="1:10" ht="24.75" customHeight="1" x14ac:dyDescent="0.2">
      <c r="A178" s="8">
        <v>8</v>
      </c>
      <c r="C178" s="13" t="s">
        <v>573</v>
      </c>
      <c r="D178" s="10" t="s">
        <v>572</v>
      </c>
      <c r="E178" s="10" t="s">
        <v>571</v>
      </c>
      <c r="F178" s="12"/>
      <c r="G178" s="12"/>
      <c r="H178" s="12"/>
      <c r="I178" s="12"/>
      <c r="J178" s="12"/>
    </row>
    <row r="179" spans="1:10" ht="24.75" customHeight="1" x14ac:dyDescent="0.2">
      <c r="A179" s="8">
        <v>9</v>
      </c>
      <c r="C179" s="13" t="s">
        <v>570</v>
      </c>
      <c r="D179" s="10" t="s">
        <v>569</v>
      </c>
      <c r="E179" s="10" t="s">
        <v>568</v>
      </c>
      <c r="F179" s="12"/>
      <c r="G179" s="12"/>
      <c r="H179" s="12"/>
      <c r="I179" s="12"/>
      <c r="J179" s="12"/>
    </row>
    <row r="180" spans="1:10" ht="24.75" customHeight="1" x14ac:dyDescent="0.2">
      <c r="A180" s="8">
        <v>10</v>
      </c>
      <c r="C180" s="13" t="s">
        <v>567</v>
      </c>
      <c r="D180" s="10" t="s">
        <v>566</v>
      </c>
      <c r="E180" s="10" t="s">
        <v>565</v>
      </c>
      <c r="F180" s="12"/>
      <c r="G180" s="12"/>
      <c r="H180" s="12"/>
      <c r="I180" s="12"/>
      <c r="J180" s="12"/>
    </row>
    <row r="181" spans="1:10" ht="24.75" customHeight="1" x14ac:dyDescent="0.2">
      <c r="A181" s="8">
        <v>11</v>
      </c>
      <c r="C181" s="13" t="s">
        <v>564</v>
      </c>
      <c r="D181" s="10" t="s">
        <v>563</v>
      </c>
      <c r="E181" s="10" t="s">
        <v>562</v>
      </c>
      <c r="F181" s="12"/>
      <c r="G181" s="12"/>
      <c r="H181" s="12"/>
      <c r="I181" s="12"/>
      <c r="J181" s="12"/>
    </row>
    <row r="182" spans="1:10" ht="24.75" customHeight="1" x14ac:dyDescent="0.2">
      <c r="A182" s="8">
        <v>12</v>
      </c>
      <c r="C182" s="13" t="s">
        <v>561</v>
      </c>
      <c r="D182" s="10" t="s">
        <v>162</v>
      </c>
      <c r="E182" s="10" t="s">
        <v>9</v>
      </c>
      <c r="F182" s="12"/>
      <c r="G182" s="12"/>
      <c r="H182" s="12"/>
      <c r="I182" s="12"/>
      <c r="J182" s="12"/>
    </row>
    <row r="183" spans="1:10" ht="24.75" customHeight="1" x14ac:dyDescent="0.2">
      <c r="A183" s="8">
        <v>13</v>
      </c>
      <c r="C183" s="13" t="s">
        <v>560</v>
      </c>
      <c r="D183" s="10" t="s">
        <v>559</v>
      </c>
      <c r="E183" s="10" t="s">
        <v>558</v>
      </c>
      <c r="F183" s="12"/>
      <c r="G183" s="12"/>
      <c r="H183" s="12"/>
      <c r="I183" s="12"/>
      <c r="J183" s="12"/>
    </row>
    <row r="184" spans="1:10" ht="24.75" customHeight="1" x14ac:dyDescent="0.2">
      <c r="A184" s="8">
        <v>14</v>
      </c>
      <c r="C184" s="13" t="s">
        <v>557</v>
      </c>
      <c r="D184" s="10" t="s">
        <v>556</v>
      </c>
      <c r="E184" s="10" t="s">
        <v>555</v>
      </c>
      <c r="F184" s="12"/>
      <c r="G184" s="12"/>
      <c r="H184" s="12"/>
      <c r="I184" s="12"/>
      <c r="J184" s="12"/>
    </row>
    <row r="185" spans="1:10" ht="24.75" customHeight="1" x14ac:dyDescent="0.2">
      <c r="A185" s="8">
        <v>15</v>
      </c>
      <c r="C185" s="13" t="s">
        <v>554</v>
      </c>
      <c r="D185" s="10" t="s">
        <v>551</v>
      </c>
      <c r="E185" s="10" t="s">
        <v>553</v>
      </c>
      <c r="F185" s="12"/>
      <c r="G185" s="12"/>
      <c r="H185" s="12"/>
      <c r="I185" s="12"/>
      <c r="J185" s="12"/>
    </row>
    <row r="186" spans="1:10" ht="24.75" customHeight="1" x14ac:dyDescent="0.2">
      <c r="A186" s="8">
        <v>16</v>
      </c>
      <c r="C186" s="13" t="s">
        <v>552</v>
      </c>
      <c r="D186" s="10" t="s">
        <v>551</v>
      </c>
      <c r="E186" s="10" t="s">
        <v>248</v>
      </c>
      <c r="F186" s="12"/>
      <c r="G186" s="12"/>
      <c r="H186" s="12"/>
      <c r="I186" s="12"/>
      <c r="J186" s="12"/>
    </row>
    <row r="187" spans="1:10" ht="24.75" customHeight="1" x14ac:dyDescent="0.2">
      <c r="A187" s="8">
        <v>17</v>
      </c>
      <c r="C187" s="13" t="s">
        <v>550</v>
      </c>
      <c r="D187" s="10" t="s">
        <v>549</v>
      </c>
      <c r="E187" s="10" t="s">
        <v>548</v>
      </c>
      <c r="F187" s="12"/>
      <c r="G187" s="12"/>
      <c r="H187" s="12"/>
      <c r="I187" s="12"/>
      <c r="J187" s="12"/>
    </row>
    <row r="188" spans="1:10" ht="24.75" customHeight="1" x14ac:dyDescent="0.2">
      <c r="A188" s="8">
        <v>18</v>
      </c>
      <c r="C188" s="13" t="s">
        <v>547</v>
      </c>
      <c r="D188" s="10" t="s">
        <v>135</v>
      </c>
      <c r="E188" s="10" t="s">
        <v>546</v>
      </c>
      <c r="F188" s="12"/>
      <c r="G188" s="12"/>
      <c r="H188" s="12"/>
      <c r="I188" s="12"/>
      <c r="J188" s="12"/>
    </row>
    <row r="189" spans="1:10" ht="24.75" customHeight="1" x14ac:dyDescent="0.2">
      <c r="A189" s="8">
        <v>19</v>
      </c>
      <c r="C189" s="13" t="s">
        <v>545</v>
      </c>
      <c r="D189" s="10" t="s">
        <v>544</v>
      </c>
      <c r="E189" s="10" t="s">
        <v>543</v>
      </c>
      <c r="F189" s="12"/>
      <c r="G189" s="12"/>
      <c r="H189" s="12"/>
      <c r="I189" s="12"/>
      <c r="J189" s="12"/>
    </row>
    <row r="190" spans="1:10" ht="24.75" customHeight="1" x14ac:dyDescent="0.2">
      <c r="A190" s="8">
        <v>20</v>
      </c>
      <c r="C190" s="13" t="s">
        <v>542</v>
      </c>
      <c r="D190" s="10" t="s">
        <v>541</v>
      </c>
      <c r="E190" s="10" t="s">
        <v>540</v>
      </c>
      <c r="F190" s="12"/>
      <c r="G190" s="12"/>
      <c r="H190" s="12"/>
      <c r="I190" s="12"/>
      <c r="J190" s="12"/>
    </row>
    <row r="191" spans="1:10" ht="24.75" customHeight="1" x14ac:dyDescent="0.2">
      <c r="A191" s="8">
        <v>21</v>
      </c>
      <c r="C191" s="13" t="s">
        <v>539</v>
      </c>
      <c r="D191" s="10" t="s">
        <v>538</v>
      </c>
      <c r="E191" s="10" t="s">
        <v>537</v>
      </c>
      <c r="F191" s="12"/>
      <c r="G191" s="12"/>
      <c r="H191" s="12"/>
      <c r="I191" s="12"/>
      <c r="J191" s="12"/>
    </row>
    <row r="192" spans="1:10" ht="24.75" customHeight="1" x14ac:dyDescent="0.2">
      <c r="A192" s="8">
        <v>22</v>
      </c>
      <c r="C192" s="13" t="s">
        <v>536</v>
      </c>
      <c r="D192" s="10" t="s">
        <v>124</v>
      </c>
      <c r="E192" s="10" t="s">
        <v>434</v>
      </c>
      <c r="F192" s="12"/>
      <c r="G192" s="12"/>
      <c r="H192" s="12"/>
      <c r="I192" s="12"/>
      <c r="J192" s="12"/>
    </row>
    <row r="193" spans="1:10" ht="24.75" customHeight="1" x14ac:dyDescent="0.2">
      <c r="A193" s="8">
        <v>23</v>
      </c>
      <c r="C193" s="13" t="s">
        <v>535</v>
      </c>
      <c r="D193" s="10" t="s">
        <v>124</v>
      </c>
      <c r="E193" s="10" t="s">
        <v>159</v>
      </c>
      <c r="F193" s="12"/>
      <c r="G193" s="12"/>
      <c r="H193" s="12"/>
      <c r="I193" s="12"/>
      <c r="J193" s="12"/>
    </row>
    <row r="194" spans="1:10" ht="24.75" customHeight="1" x14ac:dyDescent="0.2">
      <c r="A194" s="8">
        <v>24</v>
      </c>
      <c r="C194" s="13" t="s">
        <v>534</v>
      </c>
      <c r="D194" s="10" t="s">
        <v>533</v>
      </c>
      <c r="E194" s="10" t="s">
        <v>532</v>
      </c>
      <c r="F194" s="12"/>
      <c r="G194" s="12"/>
      <c r="H194" s="12"/>
      <c r="I194" s="12"/>
      <c r="J194" s="12"/>
    </row>
    <row r="195" spans="1:10" ht="24.75" customHeight="1" x14ac:dyDescent="0.2">
      <c r="A195" s="8">
        <v>25</v>
      </c>
      <c r="C195" s="13" t="s">
        <v>531</v>
      </c>
      <c r="D195" s="10" t="s">
        <v>530</v>
      </c>
      <c r="E195" s="10" t="s">
        <v>529</v>
      </c>
      <c r="F195" s="12"/>
      <c r="G195" s="12"/>
      <c r="H195" s="12"/>
      <c r="I195" s="12"/>
      <c r="J195" s="12"/>
    </row>
    <row r="196" spans="1:10" ht="24.75" customHeight="1" x14ac:dyDescent="0.2">
      <c r="A196" s="8">
        <v>26</v>
      </c>
      <c r="F196" s="12"/>
      <c r="G196" s="12"/>
      <c r="H196" s="12"/>
      <c r="I196" s="12"/>
      <c r="J196" s="12"/>
    </row>
    <row r="197" spans="1:10" ht="24.75" customHeight="1" x14ac:dyDescent="0.2">
      <c r="B197" s="8" t="s">
        <v>4</v>
      </c>
      <c r="C197" s="9" t="s">
        <v>30</v>
      </c>
      <c r="D197" s="12"/>
      <c r="E197" s="12"/>
      <c r="F197" s="2" t="s">
        <v>0</v>
      </c>
      <c r="H197" s="12"/>
      <c r="I197" s="12"/>
      <c r="J197" s="2" t="s">
        <v>58</v>
      </c>
    </row>
    <row r="198" spans="1:10" ht="24.75" customHeight="1" x14ac:dyDescent="0.2">
      <c r="D198" s="6"/>
      <c r="E198" s="6"/>
      <c r="F198" s="12" t="s">
        <v>3</v>
      </c>
      <c r="G198" s="12"/>
      <c r="H198" s="12"/>
      <c r="I198" s="12"/>
      <c r="J198" s="12"/>
    </row>
    <row r="199" spans="1:10" ht="24.75" customHeight="1" x14ac:dyDescent="0.2">
      <c r="A199" s="3">
        <v>1</v>
      </c>
      <c r="B199" s="3"/>
      <c r="C199" s="13" t="s">
        <v>649</v>
      </c>
      <c r="D199" s="10" t="s">
        <v>118</v>
      </c>
      <c r="E199" s="10" t="s">
        <v>648</v>
      </c>
      <c r="F199" s="12"/>
      <c r="G199" s="12"/>
      <c r="H199" s="12"/>
      <c r="I199" s="12"/>
      <c r="J199" s="12"/>
    </row>
    <row r="200" spans="1:10" ht="24.75" customHeight="1" x14ac:dyDescent="0.2">
      <c r="A200" s="3">
        <v>2</v>
      </c>
      <c r="B200" s="3"/>
      <c r="C200" s="13" t="s">
        <v>647</v>
      </c>
      <c r="D200" s="10" t="s">
        <v>118</v>
      </c>
      <c r="E200" s="10" t="s">
        <v>646</v>
      </c>
      <c r="F200" s="12"/>
      <c r="G200" s="12"/>
      <c r="H200" s="12"/>
      <c r="I200" s="12"/>
      <c r="J200" s="12"/>
    </row>
    <row r="201" spans="1:10" ht="24.75" customHeight="1" x14ac:dyDescent="0.2">
      <c r="A201" s="3">
        <v>3</v>
      </c>
      <c r="B201" s="3"/>
      <c r="C201" s="13" t="s">
        <v>645</v>
      </c>
      <c r="D201" s="10" t="s">
        <v>644</v>
      </c>
      <c r="E201" s="10" t="s">
        <v>643</v>
      </c>
      <c r="F201" s="12"/>
      <c r="G201" s="12"/>
      <c r="H201" s="12"/>
      <c r="I201" s="12"/>
      <c r="J201" s="12"/>
    </row>
    <row r="202" spans="1:10" ht="24.75" customHeight="1" x14ac:dyDescent="0.2">
      <c r="A202" s="3">
        <v>4</v>
      </c>
      <c r="B202" s="3"/>
      <c r="C202" s="13" t="s">
        <v>642</v>
      </c>
      <c r="D202" s="10" t="s">
        <v>641</v>
      </c>
      <c r="E202" s="10" t="s">
        <v>640</v>
      </c>
      <c r="F202" s="12"/>
      <c r="G202" s="12"/>
      <c r="H202" s="12"/>
      <c r="I202" s="12"/>
      <c r="J202" s="12"/>
    </row>
    <row r="203" spans="1:10" ht="24.75" customHeight="1" x14ac:dyDescent="0.2">
      <c r="A203" s="3">
        <v>5</v>
      </c>
      <c r="B203" s="3"/>
      <c r="C203" s="13" t="s">
        <v>639</v>
      </c>
      <c r="D203" s="10" t="s">
        <v>638</v>
      </c>
      <c r="E203" s="10" t="s">
        <v>637</v>
      </c>
      <c r="F203" s="12"/>
      <c r="G203" s="12"/>
      <c r="H203" s="12"/>
      <c r="I203" s="12"/>
      <c r="J203" s="12"/>
    </row>
    <row r="204" spans="1:10" ht="24.75" customHeight="1" x14ac:dyDescent="0.2">
      <c r="A204" s="3">
        <v>6</v>
      </c>
      <c r="B204" s="3"/>
      <c r="C204" s="13" t="s">
        <v>636</v>
      </c>
      <c r="D204" s="10" t="s">
        <v>635</v>
      </c>
      <c r="E204" s="10" t="s">
        <v>49</v>
      </c>
      <c r="F204" s="12"/>
      <c r="G204" s="12"/>
      <c r="H204" s="12"/>
      <c r="I204" s="12"/>
      <c r="J204" s="12"/>
    </row>
    <row r="205" spans="1:10" ht="24.75" customHeight="1" x14ac:dyDescent="0.2">
      <c r="A205" s="3">
        <v>7</v>
      </c>
      <c r="B205" s="3"/>
      <c r="C205" s="13" t="s">
        <v>245</v>
      </c>
      <c r="D205" s="10" t="s">
        <v>635</v>
      </c>
      <c r="E205" s="10" t="s">
        <v>634</v>
      </c>
      <c r="F205" s="12"/>
      <c r="G205" s="12"/>
      <c r="H205" s="12"/>
      <c r="I205" s="12"/>
      <c r="J205" s="12"/>
    </row>
    <row r="206" spans="1:10" ht="24.75" customHeight="1" x14ac:dyDescent="0.2">
      <c r="A206" s="3">
        <v>8</v>
      </c>
      <c r="B206" s="3"/>
      <c r="C206" s="13" t="s">
        <v>633</v>
      </c>
      <c r="D206" s="10" t="s">
        <v>632</v>
      </c>
      <c r="E206" s="10" t="s">
        <v>631</v>
      </c>
      <c r="F206" s="12"/>
      <c r="G206" s="12"/>
      <c r="H206" s="12"/>
      <c r="I206" s="12"/>
      <c r="J206" s="12"/>
    </row>
    <row r="207" spans="1:10" ht="24.75" customHeight="1" x14ac:dyDescent="0.2">
      <c r="A207" s="3">
        <v>9</v>
      </c>
      <c r="B207" s="3"/>
      <c r="C207" s="13" t="s">
        <v>630</v>
      </c>
      <c r="D207" s="10" t="s">
        <v>629</v>
      </c>
      <c r="E207" s="10" t="s">
        <v>628</v>
      </c>
      <c r="F207" s="12"/>
      <c r="G207" s="12"/>
      <c r="H207" s="12"/>
      <c r="I207" s="12"/>
      <c r="J207" s="12"/>
    </row>
    <row r="208" spans="1:10" ht="24.75" customHeight="1" x14ac:dyDescent="0.2">
      <c r="A208" s="3">
        <v>10</v>
      </c>
      <c r="B208" s="3"/>
      <c r="C208" s="13" t="s">
        <v>627</v>
      </c>
      <c r="D208" s="10" t="s">
        <v>626</v>
      </c>
      <c r="E208" s="10" t="s">
        <v>625</v>
      </c>
      <c r="F208" s="12"/>
      <c r="G208" s="12"/>
      <c r="H208" s="12"/>
      <c r="I208" s="12"/>
      <c r="J208" s="12"/>
    </row>
    <row r="209" spans="1:10" ht="24.75" customHeight="1" x14ac:dyDescent="0.2">
      <c r="A209" s="3">
        <v>11</v>
      </c>
      <c r="B209" s="3"/>
      <c r="C209" s="13" t="s">
        <v>624</v>
      </c>
      <c r="D209" s="10" t="s">
        <v>623</v>
      </c>
      <c r="E209" s="10" t="s">
        <v>622</v>
      </c>
      <c r="F209" s="12"/>
      <c r="G209" s="12"/>
      <c r="H209" s="12"/>
      <c r="I209" s="12"/>
      <c r="J209" s="12"/>
    </row>
    <row r="210" spans="1:10" ht="24.75" customHeight="1" x14ac:dyDescent="0.2">
      <c r="A210" s="3">
        <v>12</v>
      </c>
      <c r="B210" s="3"/>
      <c r="C210" s="13" t="s">
        <v>621</v>
      </c>
      <c r="D210" s="10" t="s">
        <v>620</v>
      </c>
      <c r="E210" s="10" t="s">
        <v>619</v>
      </c>
      <c r="F210" s="12"/>
      <c r="G210" s="12"/>
      <c r="H210" s="12"/>
      <c r="I210" s="12"/>
      <c r="J210" s="12"/>
    </row>
    <row r="211" spans="1:10" ht="24.75" customHeight="1" x14ac:dyDescent="0.2">
      <c r="A211" s="3">
        <v>13</v>
      </c>
      <c r="B211" s="3"/>
      <c r="C211" s="13" t="s">
        <v>618</v>
      </c>
      <c r="D211" s="10" t="s">
        <v>617</v>
      </c>
      <c r="E211" s="10" t="s">
        <v>616</v>
      </c>
      <c r="F211" s="12"/>
      <c r="G211" s="12"/>
      <c r="H211" s="12"/>
      <c r="I211" s="12"/>
      <c r="J211" s="12"/>
    </row>
    <row r="212" spans="1:10" ht="24.75" customHeight="1" x14ac:dyDescent="0.2">
      <c r="A212" s="3">
        <v>14</v>
      </c>
      <c r="B212" s="3"/>
      <c r="C212" s="13" t="s">
        <v>615</v>
      </c>
      <c r="D212" s="10" t="s">
        <v>82</v>
      </c>
      <c r="E212" s="10" t="s">
        <v>614</v>
      </c>
      <c r="F212" s="12"/>
      <c r="G212" s="12"/>
      <c r="H212" s="12"/>
      <c r="I212" s="12"/>
      <c r="J212" s="12"/>
    </row>
    <row r="213" spans="1:10" ht="24.75" customHeight="1" x14ac:dyDescent="0.2">
      <c r="A213" s="3">
        <v>15</v>
      </c>
      <c r="B213" s="3"/>
      <c r="C213" s="13" t="s">
        <v>613</v>
      </c>
      <c r="D213" s="10" t="s">
        <v>612</v>
      </c>
      <c r="E213" s="10" t="s">
        <v>594</v>
      </c>
      <c r="F213" s="12"/>
      <c r="G213" s="12"/>
      <c r="H213" s="12"/>
      <c r="I213" s="12"/>
      <c r="J213" s="12"/>
    </row>
    <row r="214" spans="1:10" ht="24.75" customHeight="1" x14ac:dyDescent="0.2">
      <c r="A214" s="3">
        <v>16</v>
      </c>
      <c r="B214" s="3"/>
      <c r="C214" s="13" t="s">
        <v>611</v>
      </c>
      <c r="D214" s="10" t="s">
        <v>102</v>
      </c>
      <c r="E214" s="10" t="s">
        <v>610</v>
      </c>
      <c r="F214" s="12"/>
      <c r="G214" s="12"/>
      <c r="H214" s="12"/>
      <c r="I214" s="12"/>
      <c r="J214" s="12"/>
    </row>
    <row r="215" spans="1:10" ht="24.75" customHeight="1" x14ac:dyDescent="0.2">
      <c r="A215" s="3">
        <v>17</v>
      </c>
      <c r="B215" s="3"/>
      <c r="C215" s="13" t="s">
        <v>609</v>
      </c>
      <c r="D215" s="10" t="s">
        <v>608</v>
      </c>
      <c r="E215" s="10" t="s">
        <v>607</v>
      </c>
      <c r="F215" s="12"/>
      <c r="G215" s="12"/>
      <c r="H215" s="12"/>
      <c r="I215" s="12"/>
      <c r="J215" s="12"/>
    </row>
    <row r="216" spans="1:10" ht="24.75" customHeight="1" x14ac:dyDescent="0.2">
      <c r="A216" s="3">
        <v>18</v>
      </c>
      <c r="B216" s="3"/>
      <c r="C216" s="13" t="s">
        <v>606</v>
      </c>
      <c r="D216" s="10" t="s">
        <v>605</v>
      </c>
      <c r="E216" s="10" t="s">
        <v>604</v>
      </c>
      <c r="F216" s="12"/>
      <c r="G216" s="12"/>
      <c r="H216" s="12"/>
      <c r="I216" s="12"/>
      <c r="J216" s="12"/>
    </row>
    <row r="217" spans="1:10" ht="24.75" customHeight="1" x14ac:dyDescent="0.2">
      <c r="A217" s="3">
        <v>19</v>
      </c>
      <c r="B217" s="3"/>
      <c r="C217" s="13" t="s">
        <v>603</v>
      </c>
      <c r="D217" s="10" t="s">
        <v>147</v>
      </c>
      <c r="E217" s="10" t="s">
        <v>602</v>
      </c>
      <c r="F217" s="12"/>
      <c r="G217" s="12"/>
      <c r="H217" s="12"/>
      <c r="I217" s="12"/>
      <c r="J217" s="12"/>
    </row>
    <row r="218" spans="1:10" ht="24.75" customHeight="1" x14ac:dyDescent="0.2">
      <c r="A218" s="3">
        <v>20</v>
      </c>
      <c r="B218" s="3"/>
      <c r="C218" s="13" t="s">
        <v>601</v>
      </c>
      <c r="D218" s="10" t="s">
        <v>147</v>
      </c>
      <c r="E218" s="10" t="s">
        <v>600</v>
      </c>
      <c r="F218" s="12"/>
      <c r="G218" s="12"/>
      <c r="H218" s="12"/>
      <c r="I218" s="12"/>
      <c r="J218" s="12"/>
    </row>
    <row r="219" spans="1:10" ht="24.75" customHeight="1" x14ac:dyDescent="0.2">
      <c r="A219" s="3">
        <v>21</v>
      </c>
      <c r="B219" s="3"/>
      <c r="C219" s="13" t="s">
        <v>599</v>
      </c>
      <c r="D219" s="10" t="s">
        <v>147</v>
      </c>
      <c r="E219" s="10" t="s">
        <v>306</v>
      </c>
      <c r="F219" s="12"/>
      <c r="G219" s="12"/>
      <c r="H219" s="12"/>
      <c r="I219" s="12"/>
      <c r="J219" s="12"/>
    </row>
    <row r="220" spans="1:10" ht="24.75" customHeight="1" x14ac:dyDescent="0.2">
      <c r="A220" s="3">
        <v>22</v>
      </c>
      <c r="B220" s="3"/>
      <c r="C220" s="13" t="s">
        <v>598</v>
      </c>
      <c r="D220" s="10" t="s">
        <v>147</v>
      </c>
      <c r="E220" s="10" t="s">
        <v>597</v>
      </c>
      <c r="F220" s="12"/>
      <c r="G220" s="12"/>
      <c r="H220" s="12"/>
      <c r="I220" s="12"/>
      <c r="J220" s="12"/>
    </row>
    <row r="221" spans="1:10" ht="24.75" customHeight="1" x14ac:dyDescent="0.2">
      <c r="A221" s="3">
        <v>23</v>
      </c>
      <c r="B221" s="3"/>
      <c r="C221" s="13" t="s">
        <v>596</v>
      </c>
      <c r="D221" s="10" t="s">
        <v>595</v>
      </c>
      <c r="E221" s="10" t="s">
        <v>594</v>
      </c>
      <c r="F221" s="12"/>
      <c r="G221" s="12"/>
      <c r="H221" s="12"/>
      <c r="I221" s="12"/>
      <c r="J221" s="12"/>
    </row>
    <row r="222" spans="1:10" ht="24.75" customHeight="1" x14ac:dyDescent="0.2">
      <c r="A222" s="3">
        <v>24</v>
      </c>
      <c r="B222" s="3"/>
      <c r="C222" s="13" t="s">
        <v>593</v>
      </c>
      <c r="D222" s="10" t="s">
        <v>592</v>
      </c>
      <c r="E222" s="10" t="s">
        <v>591</v>
      </c>
      <c r="F222" s="12"/>
      <c r="G222" s="12"/>
      <c r="H222" s="12"/>
      <c r="I222" s="12"/>
      <c r="J222" s="12"/>
    </row>
    <row r="223" spans="1:10" ht="24.75" customHeight="1" x14ac:dyDescent="0.2">
      <c r="A223" s="3">
        <v>25</v>
      </c>
      <c r="B223" s="3"/>
      <c r="C223" s="13" t="s">
        <v>590</v>
      </c>
      <c r="D223" s="10" t="s">
        <v>589</v>
      </c>
      <c r="E223" s="10" t="s">
        <v>10</v>
      </c>
      <c r="F223" s="12"/>
      <c r="G223" s="12"/>
      <c r="H223" s="12"/>
      <c r="I223" s="12"/>
      <c r="J223" s="12"/>
    </row>
    <row r="224" spans="1:10" ht="24.75" customHeight="1" x14ac:dyDescent="0.15">
      <c r="A224" s="3">
        <v>26</v>
      </c>
      <c r="B224" s="3"/>
      <c r="C224" s="16"/>
      <c r="D224" s="7"/>
      <c r="E224" s="7"/>
      <c r="F224" s="12"/>
      <c r="G224" s="12"/>
      <c r="H224" s="12"/>
      <c r="I224" s="12"/>
      <c r="J224" s="12"/>
    </row>
    <row r="225" spans="1:10" ht="24.75" customHeight="1" x14ac:dyDescent="0.2">
      <c r="B225" s="8" t="s">
        <v>4</v>
      </c>
      <c r="C225" s="9" t="s">
        <v>31</v>
      </c>
      <c r="D225" s="12"/>
      <c r="E225" s="12"/>
      <c r="F225" s="2" t="s">
        <v>0</v>
      </c>
      <c r="H225" s="12"/>
      <c r="I225" s="12"/>
      <c r="J225" s="2" t="s">
        <v>59</v>
      </c>
    </row>
    <row r="226" spans="1:10" ht="24.75" customHeight="1" x14ac:dyDescent="0.2">
      <c r="D226" s="6"/>
      <c r="E226" s="6"/>
      <c r="F226" s="12" t="s">
        <v>3</v>
      </c>
      <c r="G226" s="12"/>
      <c r="H226" s="12"/>
      <c r="I226" s="12"/>
      <c r="J226" s="12"/>
    </row>
    <row r="227" spans="1:10" ht="24.75" customHeight="1" x14ac:dyDescent="0.2">
      <c r="A227" s="3">
        <v>1</v>
      </c>
      <c r="B227" s="3"/>
      <c r="C227" s="13" t="s">
        <v>712</v>
      </c>
      <c r="D227" s="10" t="s">
        <v>157</v>
      </c>
      <c r="E227" s="10" t="s">
        <v>711</v>
      </c>
      <c r="F227" s="12"/>
      <c r="G227" s="12"/>
      <c r="H227" s="12"/>
      <c r="I227" s="12"/>
      <c r="J227" s="12"/>
    </row>
    <row r="228" spans="1:10" ht="24.75" customHeight="1" x14ac:dyDescent="0.2">
      <c r="A228" s="3">
        <v>2</v>
      </c>
      <c r="B228" s="3"/>
      <c r="C228" s="13" t="s">
        <v>710</v>
      </c>
      <c r="D228" s="10" t="s">
        <v>709</v>
      </c>
      <c r="E228" s="10" t="s">
        <v>236</v>
      </c>
      <c r="F228" s="12"/>
      <c r="G228" s="12"/>
      <c r="H228" s="12"/>
      <c r="I228" s="12"/>
      <c r="J228" s="12"/>
    </row>
    <row r="229" spans="1:10" ht="24.75" customHeight="1" x14ac:dyDescent="0.2">
      <c r="A229" s="3">
        <v>3</v>
      </c>
      <c r="B229" s="3"/>
      <c r="C229" s="13" t="s">
        <v>708</v>
      </c>
      <c r="D229" s="10" t="s">
        <v>123</v>
      </c>
      <c r="E229" s="10" t="s">
        <v>707</v>
      </c>
      <c r="F229" s="12"/>
      <c r="G229" s="12"/>
      <c r="H229" s="12"/>
      <c r="I229" s="12"/>
      <c r="J229" s="12"/>
    </row>
    <row r="230" spans="1:10" ht="24.75" customHeight="1" x14ac:dyDescent="0.2">
      <c r="A230" s="3">
        <v>4</v>
      </c>
      <c r="B230" s="3"/>
      <c r="C230" s="13" t="s">
        <v>706</v>
      </c>
      <c r="D230" s="10" t="s">
        <v>123</v>
      </c>
      <c r="E230" s="10" t="s">
        <v>677</v>
      </c>
      <c r="F230" s="12"/>
      <c r="G230" s="12"/>
      <c r="H230" s="12"/>
      <c r="I230" s="12"/>
      <c r="J230" s="12"/>
    </row>
    <row r="231" spans="1:10" ht="24.75" customHeight="1" x14ac:dyDescent="0.2">
      <c r="A231" s="3">
        <v>5</v>
      </c>
      <c r="B231" s="3"/>
      <c r="C231" s="13" t="s">
        <v>705</v>
      </c>
      <c r="D231" s="10" t="s">
        <v>20</v>
      </c>
      <c r="E231" s="10" t="s">
        <v>704</v>
      </c>
      <c r="F231" s="12"/>
      <c r="G231" s="12"/>
      <c r="H231" s="12"/>
      <c r="I231" s="12"/>
      <c r="J231" s="12"/>
    </row>
    <row r="232" spans="1:10" ht="24.75" customHeight="1" x14ac:dyDescent="0.2">
      <c r="A232" s="3">
        <v>6</v>
      </c>
      <c r="B232" s="3"/>
      <c r="C232" s="13" t="s">
        <v>703</v>
      </c>
      <c r="D232" s="10" t="s">
        <v>123</v>
      </c>
      <c r="E232" s="10" t="s">
        <v>702</v>
      </c>
      <c r="F232" s="12"/>
      <c r="G232" s="12"/>
      <c r="H232" s="12"/>
      <c r="I232" s="12"/>
      <c r="J232" s="12"/>
    </row>
    <row r="233" spans="1:10" ht="24.75" customHeight="1" x14ac:dyDescent="0.2">
      <c r="A233" s="3">
        <v>7</v>
      </c>
      <c r="B233" s="3"/>
      <c r="C233" s="13" t="s">
        <v>701</v>
      </c>
      <c r="D233" s="10" t="s">
        <v>700</v>
      </c>
      <c r="E233" s="10" t="s">
        <v>699</v>
      </c>
      <c r="F233" s="12"/>
      <c r="G233" s="12"/>
      <c r="H233" s="12"/>
      <c r="I233" s="12"/>
      <c r="J233" s="12"/>
    </row>
    <row r="234" spans="1:10" ht="24.75" customHeight="1" x14ac:dyDescent="0.2">
      <c r="A234" s="3">
        <v>8</v>
      </c>
      <c r="B234" s="3"/>
      <c r="C234" s="13" t="s">
        <v>698</v>
      </c>
      <c r="D234" s="10" t="s">
        <v>697</v>
      </c>
      <c r="E234" s="10" t="s">
        <v>696</v>
      </c>
      <c r="F234" s="12"/>
      <c r="G234" s="12"/>
      <c r="H234" s="12"/>
      <c r="I234" s="12"/>
      <c r="J234" s="12"/>
    </row>
    <row r="235" spans="1:10" ht="24.75" customHeight="1" x14ac:dyDescent="0.2">
      <c r="A235" s="3">
        <v>9</v>
      </c>
      <c r="B235" s="3"/>
      <c r="C235" s="13" t="s">
        <v>695</v>
      </c>
      <c r="D235" s="10" t="s">
        <v>694</v>
      </c>
      <c r="E235" s="10" t="s">
        <v>693</v>
      </c>
      <c r="F235" s="12"/>
      <c r="G235" s="12"/>
      <c r="H235" s="12"/>
      <c r="I235" s="12"/>
      <c r="J235" s="12"/>
    </row>
    <row r="236" spans="1:10" ht="24.75" customHeight="1" x14ac:dyDescent="0.2">
      <c r="A236" s="3">
        <v>10</v>
      </c>
      <c r="B236" s="3"/>
      <c r="C236" s="13" t="s">
        <v>692</v>
      </c>
      <c r="D236" s="10" t="s">
        <v>691</v>
      </c>
      <c r="E236" s="10" t="s">
        <v>690</v>
      </c>
      <c r="F236" s="12"/>
      <c r="G236" s="12"/>
      <c r="H236" s="12"/>
      <c r="I236" s="12"/>
      <c r="J236" s="12"/>
    </row>
    <row r="237" spans="1:10" ht="24.75" customHeight="1" x14ac:dyDescent="0.2">
      <c r="A237" s="3">
        <v>11</v>
      </c>
      <c r="B237" s="3"/>
      <c r="C237" s="13" t="s">
        <v>689</v>
      </c>
      <c r="D237" s="10" t="s">
        <v>688</v>
      </c>
      <c r="E237" s="10" t="s">
        <v>17</v>
      </c>
      <c r="F237" s="12"/>
      <c r="G237" s="12"/>
      <c r="H237" s="12"/>
      <c r="I237" s="12"/>
      <c r="J237" s="12"/>
    </row>
    <row r="238" spans="1:10" ht="24.75" customHeight="1" x14ac:dyDescent="0.2">
      <c r="A238" s="3">
        <v>12</v>
      </c>
      <c r="B238" s="3"/>
      <c r="C238" s="13" t="s">
        <v>687</v>
      </c>
      <c r="D238" s="10" t="s">
        <v>686</v>
      </c>
      <c r="E238" s="10" t="s">
        <v>685</v>
      </c>
      <c r="F238" s="12"/>
      <c r="G238" s="12"/>
      <c r="H238" s="12"/>
      <c r="I238" s="12"/>
      <c r="J238" s="12"/>
    </row>
    <row r="239" spans="1:10" ht="24.75" customHeight="1" x14ac:dyDescent="0.2">
      <c r="A239" s="3">
        <v>13</v>
      </c>
      <c r="B239" s="3"/>
      <c r="C239" s="13" t="s">
        <v>684</v>
      </c>
      <c r="D239" s="10" t="s">
        <v>683</v>
      </c>
      <c r="E239" s="10" t="s">
        <v>682</v>
      </c>
      <c r="F239" s="12"/>
      <c r="G239" s="12"/>
      <c r="H239" s="12"/>
      <c r="I239" s="12"/>
      <c r="J239" s="12"/>
    </row>
    <row r="240" spans="1:10" ht="24.75" customHeight="1" x14ac:dyDescent="0.2">
      <c r="A240" s="3">
        <v>14</v>
      </c>
      <c r="B240" s="3"/>
      <c r="C240" s="13" t="s">
        <v>681</v>
      </c>
      <c r="D240" s="10" t="s">
        <v>80</v>
      </c>
      <c r="E240" s="10" t="s">
        <v>680</v>
      </c>
      <c r="F240" s="12"/>
      <c r="G240" s="12"/>
      <c r="H240" s="12"/>
      <c r="I240" s="12"/>
      <c r="J240" s="12"/>
    </row>
    <row r="241" spans="1:10" ht="24.75" customHeight="1" x14ac:dyDescent="0.2">
      <c r="A241" s="3">
        <v>15</v>
      </c>
      <c r="B241" s="3"/>
      <c r="C241" s="13" t="s">
        <v>679</v>
      </c>
      <c r="D241" s="10" t="s">
        <v>678</v>
      </c>
      <c r="E241" s="10" t="s">
        <v>677</v>
      </c>
      <c r="F241" s="12"/>
      <c r="G241" s="12"/>
      <c r="H241" s="12"/>
      <c r="I241" s="12"/>
      <c r="J241" s="12"/>
    </row>
    <row r="242" spans="1:10" ht="24.75" customHeight="1" x14ac:dyDescent="0.2">
      <c r="A242" s="3">
        <v>16</v>
      </c>
      <c r="B242" s="3"/>
      <c r="C242" s="13" t="s">
        <v>676</v>
      </c>
      <c r="D242" s="10" t="s">
        <v>675</v>
      </c>
      <c r="E242" s="10" t="s">
        <v>674</v>
      </c>
      <c r="F242" s="12"/>
      <c r="G242" s="12"/>
      <c r="H242" s="12"/>
      <c r="I242" s="12"/>
      <c r="J242" s="12"/>
    </row>
    <row r="243" spans="1:10" ht="24.75" customHeight="1" x14ac:dyDescent="0.2">
      <c r="A243" s="3">
        <v>17</v>
      </c>
      <c r="B243" s="3"/>
      <c r="C243" s="13" t="s">
        <v>673</v>
      </c>
      <c r="D243" s="10" t="s">
        <v>672</v>
      </c>
      <c r="E243" s="10" t="s">
        <v>671</v>
      </c>
      <c r="F243" s="12"/>
      <c r="G243" s="12"/>
      <c r="H243" s="12"/>
      <c r="I243" s="12"/>
      <c r="J243" s="12"/>
    </row>
    <row r="244" spans="1:10" ht="24.75" customHeight="1" x14ac:dyDescent="0.2">
      <c r="A244" s="3">
        <v>18</v>
      </c>
      <c r="B244" s="3"/>
      <c r="C244" s="13" t="s">
        <v>670</v>
      </c>
      <c r="D244" s="10" t="s">
        <v>669</v>
      </c>
      <c r="E244" s="10" t="s">
        <v>668</v>
      </c>
      <c r="F244" s="12"/>
      <c r="G244" s="12"/>
      <c r="H244" s="12"/>
      <c r="I244" s="12"/>
      <c r="J244" s="12"/>
    </row>
    <row r="245" spans="1:10" ht="24.75" customHeight="1" x14ac:dyDescent="0.2">
      <c r="A245" s="3">
        <v>19</v>
      </c>
      <c r="B245" s="3"/>
      <c r="C245" s="13" t="s">
        <v>667</v>
      </c>
      <c r="D245" s="10" t="s">
        <v>134</v>
      </c>
      <c r="E245" s="10" t="s">
        <v>666</v>
      </c>
      <c r="F245" s="12"/>
      <c r="G245" s="12"/>
      <c r="H245" s="12"/>
      <c r="I245" s="12"/>
      <c r="J245" s="12"/>
    </row>
    <row r="246" spans="1:10" ht="24.75" customHeight="1" x14ac:dyDescent="0.2">
      <c r="A246" s="3">
        <v>20</v>
      </c>
      <c r="B246" s="3"/>
      <c r="C246" s="13" t="s">
        <v>665</v>
      </c>
      <c r="D246" s="10" t="s">
        <v>134</v>
      </c>
      <c r="E246" s="10" t="s">
        <v>664</v>
      </c>
      <c r="F246" s="12"/>
      <c r="G246" s="12"/>
      <c r="H246" s="12"/>
      <c r="I246" s="12"/>
      <c r="J246" s="12"/>
    </row>
    <row r="247" spans="1:10" ht="24.75" customHeight="1" x14ac:dyDescent="0.2">
      <c r="A247" s="3">
        <v>21</v>
      </c>
      <c r="B247" s="3"/>
      <c r="C247" s="13" t="s">
        <v>663</v>
      </c>
      <c r="D247" s="10" t="s">
        <v>117</v>
      </c>
      <c r="E247" s="10" t="s">
        <v>662</v>
      </c>
      <c r="F247" s="12"/>
      <c r="G247" s="12"/>
      <c r="H247" s="12"/>
      <c r="I247" s="12"/>
      <c r="J247" s="12"/>
    </row>
    <row r="248" spans="1:10" ht="24.75" customHeight="1" x14ac:dyDescent="0.2">
      <c r="A248" s="3">
        <v>22</v>
      </c>
      <c r="B248" s="3"/>
      <c r="C248" s="13" t="s">
        <v>661</v>
      </c>
      <c r="D248" s="10" t="s">
        <v>660</v>
      </c>
      <c r="E248" s="10" t="s">
        <v>659</v>
      </c>
      <c r="F248" s="12"/>
      <c r="G248" s="12"/>
      <c r="H248" s="12"/>
      <c r="I248" s="12"/>
      <c r="J248" s="12"/>
    </row>
    <row r="249" spans="1:10" ht="24.75" customHeight="1" x14ac:dyDescent="0.2">
      <c r="A249" s="3">
        <v>23</v>
      </c>
      <c r="B249" s="3"/>
      <c r="C249" s="13" t="s">
        <v>658</v>
      </c>
      <c r="D249" s="10" t="s">
        <v>657</v>
      </c>
      <c r="E249" s="10" t="s">
        <v>656</v>
      </c>
      <c r="F249" s="12"/>
      <c r="G249" s="12"/>
      <c r="H249" s="12"/>
      <c r="I249" s="12"/>
      <c r="J249" s="12"/>
    </row>
    <row r="250" spans="1:10" ht="24.75" customHeight="1" x14ac:dyDescent="0.2">
      <c r="A250" s="3">
        <v>24</v>
      </c>
      <c r="B250" s="3"/>
      <c r="C250" s="13" t="s">
        <v>655</v>
      </c>
      <c r="D250" s="10" t="s">
        <v>654</v>
      </c>
      <c r="E250" s="10" t="s">
        <v>653</v>
      </c>
      <c r="F250" s="12"/>
      <c r="G250" s="12"/>
      <c r="H250" s="12"/>
      <c r="I250" s="12"/>
      <c r="J250" s="12"/>
    </row>
    <row r="251" spans="1:10" ht="24.75" customHeight="1" x14ac:dyDescent="0.2">
      <c r="A251" s="3">
        <v>25</v>
      </c>
      <c r="B251" s="3"/>
      <c r="C251" s="13" t="s">
        <v>652</v>
      </c>
      <c r="D251" s="10" t="s">
        <v>651</v>
      </c>
      <c r="E251" s="10" t="s">
        <v>650</v>
      </c>
      <c r="F251" s="12"/>
      <c r="G251" s="12"/>
      <c r="H251" s="12"/>
      <c r="I251" s="12"/>
      <c r="J251" s="12"/>
    </row>
    <row r="252" spans="1:10" ht="24.75" customHeight="1" x14ac:dyDescent="0.2">
      <c r="A252" s="3">
        <v>26</v>
      </c>
      <c r="B252" s="3"/>
      <c r="F252" s="12"/>
      <c r="G252" s="12"/>
      <c r="H252" s="12"/>
      <c r="I252" s="12"/>
      <c r="J252" s="12"/>
    </row>
    <row r="253" spans="1:10" ht="24.75" customHeight="1" x14ac:dyDescent="0.2">
      <c r="B253" s="8" t="s">
        <v>4</v>
      </c>
      <c r="C253" s="9" t="s">
        <v>5</v>
      </c>
      <c r="D253" s="12"/>
      <c r="E253" s="12"/>
      <c r="F253" s="2" t="s">
        <v>0</v>
      </c>
      <c r="H253" s="12"/>
      <c r="I253" s="12"/>
      <c r="J253" s="2" t="s">
        <v>60</v>
      </c>
    </row>
    <row r="254" spans="1:10" ht="24.75" customHeight="1" x14ac:dyDescent="0.2">
      <c r="C254" s="9"/>
      <c r="D254" s="2"/>
      <c r="E254" s="2"/>
      <c r="F254" s="12" t="s">
        <v>3</v>
      </c>
      <c r="G254" s="12"/>
      <c r="H254" s="12"/>
      <c r="I254" s="12"/>
      <c r="J254" s="12"/>
    </row>
    <row r="255" spans="1:10" ht="24.75" customHeight="1" x14ac:dyDescent="0.2">
      <c r="A255" s="3">
        <v>1</v>
      </c>
      <c r="B255" s="3"/>
      <c r="C255" s="13" t="s">
        <v>771</v>
      </c>
      <c r="D255" s="10" t="s">
        <v>770</v>
      </c>
      <c r="E255" s="10" t="s">
        <v>769</v>
      </c>
      <c r="F255" s="12"/>
      <c r="G255" s="12"/>
      <c r="H255" s="12"/>
      <c r="I255" s="12"/>
      <c r="J255" s="12"/>
    </row>
    <row r="256" spans="1:10" ht="24.75" customHeight="1" x14ac:dyDescent="0.2">
      <c r="A256" s="3">
        <v>2</v>
      </c>
      <c r="B256" s="3"/>
      <c r="C256" s="13" t="s">
        <v>768</v>
      </c>
      <c r="D256" s="10" t="s">
        <v>767</v>
      </c>
      <c r="E256" s="10" t="s">
        <v>766</v>
      </c>
      <c r="F256" s="12"/>
      <c r="G256" s="12"/>
      <c r="H256" s="12"/>
      <c r="I256" s="12"/>
      <c r="J256" s="12"/>
    </row>
    <row r="257" spans="1:10" ht="24.75" customHeight="1" x14ac:dyDescent="0.2">
      <c r="A257" s="3">
        <v>3</v>
      </c>
      <c r="B257" s="3"/>
      <c r="C257" s="13" t="s">
        <v>245</v>
      </c>
      <c r="D257" s="10" t="s">
        <v>96</v>
      </c>
      <c r="E257" s="10" t="s">
        <v>765</v>
      </c>
      <c r="F257" s="12"/>
      <c r="G257" s="12"/>
      <c r="H257" s="12"/>
      <c r="I257" s="12"/>
      <c r="J257" s="12"/>
    </row>
    <row r="258" spans="1:10" ht="24.75" customHeight="1" x14ac:dyDescent="0.2">
      <c r="A258" s="3">
        <v>4</v>
      </c>
      <c r="B258" s="3"/>
      <c r="C258" s="13" t="s">
        <v>764</v>
      </c>
      <c r="D258" s="10" t="s">
        <v>96</v>
      </c>
      <c r="E258" s="10" t="s">
        <v>763</v>
      </c>
      <c r="F258" s="12"/>
      <c r="G258" s="12"/>
      <c r="H258" s="12"/>
      <c r="I258" s="12"/>
      <c r="J258" s="12"/>
    </row>
    <row r="259" spans="1:10" ht="24.75" customHeight="1" x14ac:dyDescent="0.2">
      <c r="A259" s="3">
        <v>5</v>
      </c>
      <c r="B259" s="3"/>
      <c r="C259" s="13" t="s">
        <v>762</v>
      </c>
      <c r="D259" s="10" t="s">
        <v>96</v>
      </c>
      <c r="E259" s="10" t="s">
        <v>529</v>
      </c>
      <c r="F259" s="12"/>
      <c r="G259" s="12"/>
      <c r="H259" s="12"/>
      <c r="I259" s="12"/>
      <c r="J259" s="12"/>
    </row>
    <row r="260" spans="1:10" ht="24.75" customHeight="1" x14ac:dyDescent="0.2">
      <c r="A260" s="3">
        <v>6</v>
      </c>
      <c r="B260" s="3"/>
      <c r="C260" s="13" t="s">
        <v>761</v>
      </c>
      <c r="D260" s="10" t="s">
        <v>758</v>
      </c>
      <c r="E260" s="10" t="s">
        <v>760</v>
      </c>
      <c r="F260" s="12"/>
      <c r="G260" s="12"/>
      <c r="H260" s="12"/>
      <c r="I260" s="12"/>
      <c r="J260" s="12"/>
    </row>
    <row r="261" spans="1:10" ht="24.75" customHeight="1" x14ac:dyDescent="0.2">
      <c r="A261" s="3">
        <v>7</v>
      </c>
      <c r="B261" s="3"/>
      <c r="C261" s="13" t="s">
        <v>759</v>
      </c>
      <c r="D261" s="10" t="s">
        <v>758</v>
      </c>
      <c r="E261" s="10" t="s">
        <v>47</v>
      </c>
      <c r="F261" s="12"/>
      <c r="G261" s="12"/>
      <c r="H261" s="12"/>
      <c r="I261" s="12"/>
      <c r="J261" s="12"/>
    </row>
    <row r="262" spans="1:10" ht="24.75" customHeight="1" x14ac:dyDescent="0.2">
      <c r="A262" s="3">
        <v>8</v>
      </c>
      <c r="B262" s="3"/>
      <c r="C262" s="13" t="s">
        <v>757</v>
      </c>
      <c r="D262" s="10" t="s">
        <v>754</v>
      </c>
      <c r="E262" s="10" t="s">
        <v>756</v>
      </c>
      <c r="F262" s="12"/>
      <c r="G262" s="12"/>
      <c r="H262" s="12"/>
      <c r="I262" s="12"/>
      <c r="J262" s="12"/>
    </row>
    <row r="263" spans="1:10" ht="24.75" customHeight="1" x14ac:dyDescent="0.2">
      <c r="A263" s="3">
        <v>9</v>
      </c>
      <c r="B263" s="3"/>
      <c r="C263" s="13" t="s">
        <v>755</v>
      </c>
      <c r="D263" s="10" t="s">
        <v>754</v>
      </c>
      <c r="E263" s="10" t="s">
        <v>753</v>
      </c>
      <c r="F263" s="12"/>
      <c r="G263" s="12"/>
      <c r="H263" s="12"/>
      <c r="I263" s="12"/>
      <c r="J263" s="12"/>
    </row>
    <row r="264" spans="1:10" ht="24.75" customHeight="1" x14ac:dyDescent="0.2">
      <c r="A264" s="3">
        <v>10</v>
      </c>
      <c r="B264" s="3"/>
      <c r="C264" s="13" t="s">
        <v>752</v>
      </c>
      <c r="D264" s="10" t="s">
        <v>751</v>
      </c>
      <c r="E264" s="10" t="s">
        <v>750</v>
      </c>
      <c r="F264" s="12"/>
      <c r="G264" s="12"/>
      <c r="H264" s="12"/>
      <c r="I264" s="12"/>
      <c r="J264" s="12"/>
    </row>
    <row r="265" spans="1:10" ht="24.75" customHeight="1" x14ac:dyDescent="0.2">
      <c r="A265" s="3">
        <v>11</v>
      </c>
      <c r="B265" s="3"/>
      <c r="C265" s="13" t="s">
        <v>749</v>
      </c>
      <c r="D265" s="10" t="s">
        <v>748</v>
      </c>
      <c r="E265" s="10" t="s">
        <v>747</v>
      </c>
      <c r="F265" s="12"/>
      <c r="G265" s="12"/>
      <c r="H265" s="12"/>
      <c r="I265" s="12"/>
      <c r="J265" s="12"/>
    </row>
    <row r="266" spans="1:10" ht="24.75" customHeight="1" x14ac:dyDescent="0.2">
      <c r="A266" s="3">
        <v>12</v>
      </c>
      <c r="B266" s="3"/>
      <c r="C266" s="13" t="s">
        <v>746</v>
      </c>
      <c r="D266" s="10" t="s">
        <v>120</v>
      </c>
      <c r="E266" s="10" t="s">
        <v>745</v>
      </c>
      <c r="F266" s="12"/>
      <c r="G266" s="12"/>
      <c r="H266" s="12"/>
      <c r="I266" s="12"/>
      <c r="J266" s="12"/>
    </row>
    <row r="267" spans="1:10" ht="24.75" customHeight="1" x14ac:dyDescent="0.2">
      <c r="A267" s="3">
        <v>13</v>
      </c>
      <c r="B267" s="3"/>
      <c r="C267" s="13" t="s">
        <v>744</v>
      </c>
      <c r="D267" s="10" t="s">
        <v>743</v>
      </c>
      <c r="E267" s="10" t="s">
        <v>607</v>
      </c>
      <c r="F267" s="12"/>
      <c r="G267" s="12"/>
      <c r="H267" s="12"/>
      <c r="I267" s="12"/>
      <c r="J267" s="12"/>
    </row>
    <row r="268" spans="1:10" ht="24.75" customHeight="1" x14ac:dyDescent="0.2">
      <c r="A268" s="3">
        <v>14</v>
      </c>
      <c r="B268" s="3"/>
      <c r="C268" s="13" t="s">
        <v>742</v>
      </c>
      <c r="D268" s="10" t="s">
        <v>741</v>
      </c>
      <c r="E268" s="10" t="s">
        <v>740</v>
      </c>
      <c r="F268" s="12"/>
      <c r="G268" s="12"/>
      <c r="H268" s="12"/>
      <c r="I268" s="12"/>
      <c r="J268" s="12"/>
    </row>
    <row r="269" spans="1:10" ht="24.75" customHeight="1" x14ac:dyDescent="0.2">
      <c r="A269" s="3">
        <v>15</v>
      </c>
      <c r="B269" s="3"/>
      <c r="C269" s="13" t="s">
        <v>739</v>
      </c>
      <c r="D269" s="10" t="s">
        <v>738</v>
      </c>
      <c r="E269" s="10" t="s">
        <v>737</v>
      </c>
      <c r="F269" s="12"/>
      <c r="G269" s="12"/>
      <c r="H269" s="12"/>
      <c r="I269" s="12"/>
      <c r="J269" s="12"/>
    </row>
    <row r="270" spans="1:10" ht="24.75" customHeight="1" x14ac:dyDescent="0.2">
      <c r="A270" s="3">
        <v>16</v>
      </c>
      <c r="B270" s="3"/>
      <c r="C270" s="13" t="s">
        <v>736</v>
      </c>
      <c r="D270" s="10" t="s">
        <v>125</v>
      </c>
      <c r="E270" s="10" t="s">
        <v>650</v>
      </c>
      <c r="F270" s="12"/>
      <c r="G270" s="12"/>
      <c r="H270" s="12"/>
      <c r="I270" s="12"/>
      <c r="J270" s="12"/>
    </row>
    <row r="271" spans="1:10" ht="24.75" customHeight="1" x14ac:dyDescent="0.2">
      <c r="A271" s="3">
        <v>17</v>
      </c>
      <c r="B271" s="3"/>
      <c r="C271" s="13" t="s">
        <v>735</v>
      </c>
      <c r="D271" s="10" t="s">
        <v>125</v>
      </c>
      <c r="E271" s="10" t="s">
        <v>734</v>
      </c>
      <c r="F271" s="12"/>
      <c r="G271" s="12"/>
      <c r="H271" s="12"/>
      <c r="I271" s="12"/>
      <c r="J271" s="12"/>
    </row>
    <row r="272" spans="1:10" ht="24.75" customHeight="1" x14ac:dyDescent="0.2">
      <c r="A272" s="3">
        <v>18</v>
      </c>
      <c r="B272" s="3"/>
      <c r="C272" s="13" t="s">
        <v>733</v>
      </c>
      <c r="D272" s="10" t="s">
        <v>732</v>
      </c>
      <c r="E272" s="10" t="s">
        <v>731</v>
      </c>
      <c r="F272" s="12"/>
      <c r="G272" s="12"/>
      <c r="H272" s="12"/>
      <c r="I272" s="12"/>
      <c r="J272" s="12"/>
    </row>
    <row r="273" spans="1:10" ht="24.75" customHeight="1" x14ac:dyDescent="0.2">
      <c r="A273" s="3">
        <v>19</v>
      </c>
      <c r="B273" s="3"/>
      <c r="C273" s="13" t="s">
        <v>730</v>
      </c>
      <c r="D273" s="10" t="s">
        <v>153</v>
      </c>
      <c r="E273" s="10" t="s">
        <v>729</v>
      </c>
      <c r="F273" s="12"/>
      <c r="G273" s="12"/>
      <c r="H273" s="12"/>
      <c r="I273" s="12"/>
      <c r="J273" s="12"/>
    </row>
    <row r="274" spans="1:10" ht="24.75" customHeight="1" x14ac:dyDescent="0.2">
      <c r="A274" s="3">
        <v>20</v>
      </c>
      <c r="B274" s="3"/>
      <c r="C274" s="13" t="s">
        <v>728</v>
      </c>
      <c r="D274" s="10" t="s">
        <v>153</v>
      </c>
      <c r="E274" s="10" t="s">
        <v>727</v>
      </c>
      <c r="F274" s="12"/>
      <c r="G274" s="12"/>
      <c r="H274" s="12"/>
      <c r="I274" s="12"/>
      <c r="J274" s="12"/>
    </row>
    <row r="275" spans="1:10" ht="24.75" customHeight="1" x14ac:dyDescent="0.2">
      <c r="A275" s="3">
        <v>21</v>
      </c>
      <c r="B275" s="3"/>
      <c r="C275" s="13" t="s">
        <v>726</v>
      </c>
      <c r="D275" s="10" t="s">
        <v>725</v>
      </c>
      <c r="E275" s="10" t="s">
        <v>724</v>
      </c>
      <c r="F275" s="12"/>
      <c r="G275" s="12"/>
      <c r="H275" s="12"/>
      <c r="I275" s="12"/>
      <c r="J275" s="12"/>
    </row>
    <row r="276" spans="1:10" ht="24.75" customHeight="1" x14ac:dyDescent="0.2">
      <c r="A276" s="3">
        <v>22</v>
      </c>
      <c r="B276" s="3"/>
      <c r="C276" s="13" t="s">
        <v>723</v>
      </c>
      <c r="D276" s="10" t="s">
        <v>722</v>
      </c>
      <c r="E276" s="10" t="s">
        <v>721</v>
      </c>
      <c r="F276" s="12"/>
      <c r="G276" s="12"/>
      <c r="H276" s="12"/>
      <c r="I276" s="12"/>
      <c r="J276" s="12"/>
    </row>
    <row r="277" spans="1:10" ht="24.75" customHeight="1" x14ac:dyDescent="0.2">
      <c r="A277" s="3">
        <v>23</v>
      </c>
      <c r="B277" s="3"/>
      <c r="C277" s="13" t="s">
        <v>720</v>
      </c>
      <c r="D277" s="10" t="s">
        <v>719</v>
      </c>
      <c r="E277" s="10" t="s">
        <v>718</v>
      </c>
      <c r="F277" s="12"/>
      <c r="G277" s="12"/>
      <c r="H277" s="12"/>
      <c r="I277" s="12"/>
      <c r="J277" s="12"/>
    </row>
    <row r="278" spans="1:10" ht="24.75" customHeight="1" x14ac:dyDescent="0.2">
      <c r="A278" s="3">
        <v>24</v>
      </c>
      <c r="B278" s="3"/>
      <c r="C278" s="13" t="s">
        <v>717</v>
      </c>
      <c r="D278" s="10" t="s">
        <v>714</v>
      </c>
      <c r="E278" s="10" t="s">
        <v>716</v>
      </c>
      <c r="F278" s="12"/>
      <c r="G278" s="12"/>
      <c r="H278" s="12"/>
      <c r="I278" s="12"/>
      <c r="J278" s="12"/>
    </row>
    <row r="279" spans="1:10" ht="24.75" customHeight="1" x14ac:dyDescent="0.2">
      <c r="A279" s="3">
        <v>25</v>
      </c>
      <c r="B279" s="3"/>
      <c r="C279" s="13" t="s">
        <v>715</v>
      </c>
      <c r="D279" s="10" t="s">
        <v>714</v>
      </c>
      <c r="E279" s="10" t="s">
        <v>713</v>
      </c>
      <c r="F279" s="12"/>
      <c r="G279" s="12"/>
      <c r="H279" s="12"/>
      <c r="I279" s="12"/>
      <c r="J279" s="12"/>
    </row>
    <row r="280" spans="1:10" ht="24.75" customHeight="1" x14ac:dyDescent="0.15">
      <c r="A280" s="3">
        <v>26</v>
      </c>
      <c r="B280" s="3"/>
      <c r="C280" s="16"/>
      <c r="D280" s="7"/>
      <c r="E280" s="7"/>
      <c r="F280" s="12"/>
      <c r="G280" s="12"/>
      <c r="H280" s="12"/>
      <c r="I280" s="12"/>
      <c r="J280" s="12"/>
    </row>
    <row r="281" spans="1:10" ht="24.75" customHeight="1" x14ac:dyDescent="0.2">
      <c r="B281" s="8" t="s">
        <v>4</v>
      </c>
      <c r="C281" s="9" t="s">
        <v>32</v>
      </c>
      <c r="D281" s="12"/>
      <c r="E281" s="12"/>
      <c r="F281" s="2" t="s">
        <v>0</v>
      </c>
      <c r="H281" s="12"/>
      <c r="I281" s="12"/>
      <c r="J281" s="2" t="s">
        <v>61</v>
      </c>
    </row>
    <row r="282" spans="1:10" ht="24.75" customHeight="1" x14ac:dyDescent="0.2">
      <c r="D282" s="6"/>
      <c r="E282" s="6"/>
      <c r="F282" s="12" t="s">
        <v>3</v>
      </c>
      <c r="G282" s="12"/>
      <c r="H282" s="12"/>
      <c r="I282" s="12"/>
      <c r="J282" s="12"/>
    </row>
    <row r="283" spans="1:10" ht="24.75" customHeight="1" x14ac:dyDescent="0.2">
      <c r="A283" s="3">
        <v>1</v>
      </c>
      <c r="B283" s="3"/>
      <c r="C283" s="13" t="s">
        <v>830</v>
      </c>
      <c r="D283" s="10" t="s">
        <v>109</v>
      </c>
      <c r="E283" s="10" t="s">
        <v>829</v>
      </c>
      <c r="F283" s="12"/>
      <c r="G283" s="12"/>
      <c r="H283" s="12"/>
      <c r="I283" s="12"/>
      <c r="J283" s="12"/>
    </row>
    <row r="284" spans="1:10" ht="24.75" customHeight="1" x14ac:dyDescent="0.2">
      <c r="A284" s="3">
        <v>2</v>
      </c>
      <c r="B284" s="3"/>
      <c r="C284" s="13" t="s">
        <v>828</v>
      </c>
      <c r="D284" s="10" t="s">
        <v>827</v>
      </c>
      <c r="E284" s="10" t="s">
        <v>826</v>
      </c>
      <c r="F284" s="12"/>
      <c r="G284" s="12"/>
      <c r="H284" s="12"/>
      <c r="I284" s="12"/>
      <c r="J284" s="12"/>
    </row>
    <row r="285" spans="1:10" ht="24.75" customHeight="1" x14ac:dyDescent="0.2">
      <c r="A285" s="3">
        <v>3</v>
      </c>
      <c r="B285" s="3"/>
      <c r="C285" s="13" t="s">
        <v>825</v>
      </c>
      <c r="D285" s="10" t="s">
        <v>820</v>
      </c>
      <c r="E285" s="10" t="s">
        <v>824</v>
      </c>
      <c r="F285" s="12"/>
      <c r="G285" s="12"/>
      <c r="H285" s="12"/>
      <c r="I285" s="12"/>
      <c r="J285" s="12"/>
    </row>
    <row r="286" spans="1:10" ht="24.75" customHeight="1" x14ac:dyDescent="0.2">
      <c r="A286" s="3">
        <v>4</v>
      </c>
      <c r="B286" s="3"/>
      <c r="C286" s="13" t="s">
        <v>823</v>
      </c>
      <c r="D286" s="10" t="s">
        <v>820</v>
      </c>
      <c r="E286" s="10" t="s">
        <v>822</v>
      </c>
      <c r="F286" s="12"/>
      <c r="G286" s="12"/>
      <c r="H286" s="12"/>
      <c r="I286" s="12"/>
      <c r="J286" s="12"/>
    </row>
    <row r="287" spans="1:10" ht="24.75" customHeight="1" x14ac:dyDescent="0.2">
      <c r="A287" s="3">
        <v>5</v>
      </c>
      <c r="B287" s="3"/>
      <c r="C287" s="13" t="s">
        <v>821</v>
      </c>
      <c r="D287" s="10" t="s">
        <v>820</v>
      </c>
      <c r="E287" s="10" t="s">
        <v>819</v>
      </c>
      <c r="F287" s="12"/>
      <c r="G287" s="12"/>
      <c r="H287" s="12"/>
      <c r="I287" s="12"/>
      <c r="J287" s="12"/>
    </row>
    <row r="288" spans="1:10" ht="24.75" customHeight="1" x14ac:dyDescent="0.2">
      <c r="A288" s="3">
        <v>6</v>
      </c>
      <c r="B288" s="3"/>
      <c r="C288" s="13" t="s">
        <v>818</v>
      </c>
      <c r="D288" s="10" t="s">
        <v>817</v>
      </c>
      <c r="E288" s="10" t="s">
        <v>816</v>
      </c>
      <c r="F288" s="12"/>
      <c r="G288" s="12"/>
      <c r="H288" s="12"/>
      <c r="I288" s="12"/>
      <c r="J288" s="12"/>
    </row>
    <row r="289" spans="1:10" ht="24.75" customHeight="1" x14ac:dyDescent="0.2">
      <c r="A289" s="3">
        <v>7</v>
      </c>
      <c r="B289" s="3"/>
      <c r="C289" s="13" t="s">
        <v>815</v>
      </c>
      <c r="D289" s="10" t="s">
        <v>810</v>
      </c>
      <c r="E289" s="10" t="s">
        <v>814</v>
      </c>
      <c r="F289" s="12"/>
      <c r="G289" s="12"/>
      <c r="H289" s="12"/>
      <c r="I289" s="12"/>
      <c r="J289" s="12"/>
    </row>
    <row r="290" spans="1:10" ht="24.75" customHeight="1" x14ac:dyDescent="0.2">
      <c r="A290" s="3">
        <v>8</v>
      </c>
      <c r="B290" s="3"/>
      <c r="C290" s="13" t="s">
        <v>813</v>
      </c>
      <c r="D290" s="10" t="s">
        <v>810</v>
      </c>
      <c r="E290" s="10" t="s">
        <v>812</v>
      </c>
      <c r="F290" s="12"/>
      <c r="G290" s="12"/>
      <c r="H290" s="12"/>
      <c r="I290" s="12"/>
      <c r="J290" s="12"/>
    </row>
    <row r="291" spans="1:10" ht="24.75" customHeight="1" x14ac:dyDescent="0.2">
      <c r="A291" s="3">
        <v>9</v>
      </c>
      <c r="B291" s="3"/>
      <c r="C291" s="13" t="s">
        <v>811</v>
      </c>
      <c r="D291" s="10" t="s">
        <v>810</v>
      </c>
      <c r="E291" s="10" t="s">
        <v>809</v>
      </c>
      <c r="F291" s="12"/>
      <c r="G291" s="12"/>
      <c r="H291" s="12"/>
      <c r="I291" s="12"/>
      <c r="J291" s="12"/>
    </row>
    <row r="292" spans="1:10" ht="24.75" customHeight="1" x14ac:dyDescent="0.2">
      <c r="A292" s="3">
        <v>10</v>
      </c>
      <c r="B292" s="3"/>
      <c r="C292" s="13" t="s">
        <v>808</v>
      </c>
      <c r="D292" s="10" t="s">
        <v>807</v>
      </c>
      <c r="E292" s="10" t="s">
        <v>806</v>
      </c>
      <c r="F292" s="12"/>
      <c r="G292" s="12"/>
      <c r="H292" s="12"/>
      <c r="I292" s="12"/>
      <c r="J292" s="12"/>
    </row>
    <row r="293" spans="1:10" ht="24.75" customHeight="1" x14ac:dyDescent="0.2">
      <c r="A293" s="3">
        <v>11</v>
      </c>
      <c r="B293" s="3"/>
      <c r="C293" s="13" t="s">
        <v>805</v>
      </c>
      <c r="D293" s="10" t="s">
        <v>804</v>
      </c>
      <c r="E293" s="10" t="s">
        <v>803</v>
      </c>
      <c r="F293" s="12"/>
      <c r="G293" s="12"/>
      <c r="H293" s="12"/>
      <c r="I293" s="12"/>
      <c r="J293" s="12"/>
    </row>
    <row r="294" spans="1:10" ht="24.75" customHeight="1" x14ac:dyDescent="0.2">
      <c r="A294" s="3">
        <v>12</v>
      </c>
      <c r="B294" s="3"/>
      <c r="C294" s="13" t="s">
        <v>802</v>
      </c>
      <c r="D294" s="10" t="s">
        <v>794</v>
      </c>
      <c r="E294" s="10" t="s">
        <v>801</v>
      </c>
      <c r="F294" s="12"/>
      <c r="G294" s="12"/>
      <c r="H294" s="12"/>
      <c r="I294" s="12"/>
      <c r="J294" s="12"/>
    </row>
    <row r="295" spans="1:10" ht="24.75" customHeight="1" x14ac:dyDescent="0.2">
      <c r="A295" s="3">
        <v>13</v>
      </c>
      <c r="B295" s="3"/>
      <c r="C295" s="13" t="s">
        <v>800</v>
      </c>
      <c r="D295" s="10" t="s">
        <v>794</v>
      </c>
      <c r="E295" s="10" t="s">
        <v>50</v>
      </c>
      <c r="F295" s="12"/>
      <c r="G295" s="12"/>
      <c r="H295" s="12"/>
      <c r="I295" s="12"/>
      <c r="J295" s="12"/>
    </row>
    <row r="296" spans="1:10" ht="24.75" customHeight="1" x14ac:dyDescent="0.2">
      <c r="A296" s="3">
        <v>14</v>
      </c>
      <c r="B296" s="3"/>
      <c r="C296" s="13" t="s">
        <v>799</v>
      </c>
      <c r="D296" s="10" t="s">
        <v>794</v>
      </c>
      <c r="E296" s="10" t="s">
        <v>355</v>
      </c>
      <c r="F296" s="12"/>
      <c r="G296" s="12"/>
      <c r="H296" s="12"/>
      <c r="I296" s="12"/>
      <c r="J296" s="12"/>
    </row>
    <row r="297" spans="1:10" ht="24.75" customHeight="1" x14ac:dyDescent="0.2">
      <c r="A297" s="3">
        <v>15</v>
      </c>
      <c r="B297" s="3"/>
      <c r="C297" s="13" t="s">
        <v>798</v>
      </c>
      <c r="D297" s="10" t="s">
        <v>794</v>
      </c>
      <c r="E297" s="10" t="s">
        <v>797</v>
      </c>
      <c r="F297" s="12"/>
      <c r="G297" s="12"/>
      <c r="H297" s="12"/>
      <c r="I297" s="12"/>
      <c r="J297" s="12"/>
    </row>
    <row r="298" spans="1:10" ht="24.75" customHeight="1" x14ac:dyDescent="0.2">
      <c r="A298" s="3">
        <v>16</v>
      </c>
      <c r="B298" s="3"/>
      <c r="C298" s="13" t="s">
        <v>796</v>
      </c>
      <c r="D298" s="10" t="s">
        <v>16</v>
      </c>
      <c r="E298" s="10" t="s">
        <v>306</v>
      </c>
      <c r="F298" s="12"/>
      <c r="G298" s="12"/>
      <c r="H298" s="12"/>
      <c r="I298" s="12"/>
      <c r="J298" s="12"/>
    </row>
    <row r="299" spans="1:10" ht="24.75" customHeight="1" x14ac:dyDescent="0.2">
      <c r="A299" s="3">
        <v>17</v>
      </c>
      <c r="B299" s="3"/>
      <c r="C299" s="13" t="s">
        <v>795</v>
      </c>
      <c r="D299" s="10" t="s">
        <v>794</v>
      </c>
      <c r="E299" s="10" t="s">
        <v>793</v>
      </c>
      <c r="F299" s="12"/>
      <c r="G299" s="12"/>
      <c r="H299" s="12"/>
      <c r="I299" s="12"/>
      <c r="J299" s="12"/>
    </row>
    <row r="300" spans="1:10" ht="24.75" customHeight="1" x14ac:dyDescent="0.2">
      <c r="A300" s="3">
        <v>18</v>
      </c>
      <c r="B300" s="3"/>
      <c r="C300" s="13" t="s">
        <v>792</v>
      </c>
      <c r="D300" s="10" t="s">
        <v>791</v>
      </c>
      <c r="E300" s="10" t="s">
        <v>790</v>
      </c>
      <c r="F300" s="12"/>
      <c r="G300" s="12"/>
      <c r="H300" s="12"/>
      <c r="I300" s="12"/>
      <c r="J300" s="12"/>
    </row>
    <row r="301" spans="1:10" ht="24.75" customHeight="1" x14ac:dyDescent="0.2">
      <c r="A301" s="3">
        <v>19</v>
      </c>
      <c r="B301" s="3"/>
      <c r="C301" s="13" t="s">
        <v>789</v>
      </c>
      <c r="D301" s="10" t="s">
        <v>788</v>
      </c>
      <c r="E301" s="10" t="s">
        <v>787</v>
      </c>
      <c r="F301" s="12"/>
      <c r="G301" s="12"/>
      <c r="H301" s="12"/>
      <c r="I301" s="12"/>
      <c r="J301" s="12"/>
    </row>
    <row r="302" spans="1:10" ht="24.75" customHeight="1" x14ac:dyDescent="0.2">
      <c r="A302" s="3">
        <v>20</v>
      </c>
      <c r="B302" s="3"/>
      <c r="C302" s="13" t="s">
        <v>786</v>
      </c>
      <c r="D302" s="10" t="s">
        <v>785</v>
      </c>
      <c r="E302" s="10" t="s">
        <v>784</v>
      </c>
      <c r="F302" s="12"/>
      <c r="G302" s="12"/>
      <c r="H302" s="12"/>
      <c r="I302" s="12"/>
      <c r="J302" s="12"/>
    </row>
    <row r="303" spans="1:10" ht="24.75" customHeight="1" x14ac:dyDescent="0.2">
      <c r="A303" s="3">
        <v>21</v>
      </c>
      <c r="B303" s="3"/>
      <c r="C303" s="13" t="s">
        <v>783</v>
      </c>
      <c r="D303" s="10" t="s">
        <v>98</v>
      </c>
      <c r="E303" s="10" t="s">
        <v>782</v>
      </c>
      <c r="F303" s="12"/>
      <c r="G303" s="12"/>
      <c r="H303" s="12"/>
      <c r="I303" s="12"/>
      <c r="J303" s="12"/>
    </row>
    <row r="304" spans="1:10" ht="24.75" customHeight="1" x14ac:dyDescent="0.2">
      <c r="A304" s="3">
        <v>22</v>
      </c>
      <c r="B304" s="3"/>
      <c r="C304" s="13" t="s">
        <v>781</v>
      </c>
      <c r="D304" s="10" t="s">
        <v>780</v>
      </c>
      <c r="E304" s="10" t="s">
        <v>779</v>
      </c>
      <c r="F304" s="12"/>
      <c r="G304" s="12"/>
      <c r="H304" s="12"/>
      <c r="I304" s="12"/>
      <c r="J304" s="12"/>
    </row>
    <row r="305" spans="1:10" ht="24.75" customHeight="1" x14ac:dyDescent="0.2">
      <c r="A305" s="3">
        <v>23</v>
      </c>
      <c r="B305" s="3"/>
      <c r="C305" s="13" t="s">
        <v>778</v>
      </c>
      <c r="D305" s="10" t="s">
        <v>132</v>
      </c>
      <c r="E305" s="10" t="s">
        <v>777</v>
      </c>
      <c r="F305" s="12"/>
      <c r="G305" s="12"/>
      <c r="H305" s="12"/>
      <c r="I305" s="12"/>
      <c r="J305" s="12"/>
    </row>
    <row r="306" spans="1:10" ht="24.75" customHeight="1" x14ac:dyDescent="0.2">
      <c r="A306" s="3">
        <v>24</v>
      </c>
      <c r="B306" s="3"/>
      <c r="C306" s="13" t="s">
        <v>776</v>
      </c>
      <c r="D306" s="10" t="s">
        <v>132</v>
      </c>
      <c r="E306" s="10" t="s">
        <v>775</v>
      </c>
      <c r="F306" s="12"/>
      <c r="G306" s="12"/>
      <c r="H306" s="12"/>
      <c r="I306" s="12"/>
      <c r="J306" s="12"/>
    </row>
    <row r="307" spans="1:10" ht="24.75" customHeight="1" x14ac:dyDescent="0.2">
      <c r="A307" s="3">
        <v>25</v>
      </c>
      <c r="B307" s="3"/>
      <c r="C307" s="13" t="s">
        <v>774</v>
      </c>
      <c r="D307" s="10" t="s">
        <v>773</v>
      </c>
      <c r="E307" s="10" t="s">
        <v>772</v>
      </c>
      <c r="F307" s="12"/>
      <c r="G307" s="12"/>
      <c r="H307" s="12"/>
      <c r="I307" s="12"/>
      <c r="J307" s="12"/>
    </row>
    <row r="308" spans="1:10" ht="24.75" customHeight="1" x14ac:dyDescent="0.15">
      <c r="A308" s="3">
        <v>26</v>
      </c>
      <c r="B308" s="3"/>
      <c r="C308" s="16"/>
      <c r="D308" s="7"/>
      <c r="E308" s="7"/>
      <c r="F308" s="12"/>
      <c r="G308" s="12"/>
      <c r="H308" s="12"/>
      <c r="I308" s="12"/>
      <c r="J308" s="12"/>
    </row>
    <row r="309" spans="1:10" ht="24.75" customHeight="1" x14ac:dyDescent="0.2">
      <c r="B309" s="8" t="s">
        <v>4</v>
      </c>
      <c r="C309" s="9" t="s">
        <v>33</v>
      </c>
      <c r="D309" s="12"/>
      <c r="E309" s="12"/>
      <c r="F309" s="2" t="s">
        <v>0</v>
      </c>
      <c r="H309" s="12"/>
      <c r="I309" s="12"/>
      <c r="J309" s="2" t="s">
        <v>62</v>
      </c>
    </row>
    <row r="310" spans="1:10" ht="24.75" customHeight="1" x14ac:dyDescent="0.2">
      <c r="D310" s="6"/>
      <c r="E310" s="6"/>
      <c r="F310" s="12" t="s">
        <v>3</v>
      </c>
      <c r="G310" s="12"/>
      <c r="H310" s="12"/>
      <c r="I310" s="12"/>
      <c r="J310" s="12"/>
    </row>
    <row r="311" spans="1:10" ht="24.75" customHeight="1" x14ac:dyDescent="0.2">
      <c r="A311" s="3">
        <v>1</v>
      </c>
      <c r="B311" s="3"/>
      <c r="C311" s="13" t="s">
        <v>899</v>
      </c>
      <c r="D311" s="10" t="s">
        <v>898</v>
      </c>
      <c r="E311" s="10" t="s">
        <v>897</v>
      </c>
      <c r="F311" s="12"/>
      <c r="G311" s="12"/>
      <c r="H311" s="12"/>
      <c r="I311" s="12"/>
      <c r="J311" s="12"/>
    </row>
    <row r="312" spans="1:10" ht="24.75" customHeight="1" x14ac:dyDescent="0.2">
      <c r="A312" s="3">
        <v>2</v>
      </c>
      <c r="B312" s="3"/>
      <c r="C312" s="13" t="s">
        <v>896</v>
      </c>
      <c r="D312" s="10" t="s">
        <v>895</v>
      </c>
      <c r="E312" s="10" t="s">
        <v>7</v>
      </c>
      <c r="F312" s="12"/>
      <c r="G312" s="12"/>
      <c r="H312" s="12"/>
      <c r="I312" s="12"/>
      <c r="J312" s="12"/>
    </row>
    <row r="313" spans="1:10" ht="24.75" customHeight="1" x14ac:dyDescent="0.2">
      <c r="A313" s="3">
        <v>3</v>
      </c>
      <c r="B313" s="3"/>
      <c r="C313" s="13" t="s">
        <v>894</v>
      </c>
      <c r="D313" s="10" t="s">
        <v>893</v>
      </c>
      <c r="E313" s="10" t="s">
        <v>892</v>
      </c>
      <c r="F313" s="12"/>
      <c r="G313" s="12"/>
      <c r="H313" s="12"/>
      <c r="I313" s="12"/>
      <c r="J313" s="12"/>
    </row>
    <row r="314" spans="1:10" ht="24.75" customHeight="1" x14ac:dyDescent="0.2">
      <c r="A314" s="3">
        <v>4</v>
      </c>
      <c r="B314" s="3"/>
      <c r="C314" s="13" t="s">
        <v>891</v>
      </c>
      <c r="D314" s="10" t="s">
        <v>890</v>
      </c>
      <c r="E314" s="10" t="s">
        <v>889</v>
      </c>
      <c r="F314" s="12"/>
      <c r="G314" s="12"/>
      <c r="H314" s="12"/>
      <c r="I314" s="12"/>
      <c r="J314" s="12"/>
    </row>
    <row r="315" spans="1:10" ht="24.75" customHeight="1" x14ac:dyDescent="0.2">
      <c r="A315" s="3">
        <v>5</v>
      </c>
      <c r="B315" s="3"/>
      <c r="C315" s="13" t="s">
        <v>888</v>
      </c>
      <c r="D315" s="10" t="s">
        <v>887</v>
      </c>
      <c r="E315" s="10" t="s">
        <v>886</v>
      </c>
      <c r="F315" s="12"/>
      <c r="G315" s="12"/>
      <c r="H315" s="12"/>
      <c r="I315" s="12"/>
      <c r="J315" s="12"/>
    </row>
    <row r="316" spans="1:10" ht="24.75" customHeight="1" x14ac:dyDescent="0.2">
      <c r="A316" s="3">
        <v>6</v>
      </c>
      <c r="B316" s="3"/>
      <c r="C316" s="13" t="s">
        <v>885</v>
      </c>
      <c r="D316" s="10" t="s">
        <v>884</v>
      </c>
      <c r="E316" s="10" t="s">
        <v>883</v>
      </c>
      <c r="F316" s="12"/>
      <c r="G316" s="12"/>
      <c r="H316" s="12"/>
      <c r="I316" s="12"/>
      <c r="J316" s="12"/>
    </row>
    <row r="317" spans="1:10" ht="24.75" customHeight="1" x14ac:dyDescent="0.2">
      <c r="A317" s="3">
        <v>7</v>
      </c>
      <c r="B317" s="3"/>
      <c r="C317" s="13" t="s">
        <v>882</v>
      </c>
      <c r="D317" s="10" t="s">
        <v>881</v>
      </c>
      <c r="E317" s="10" t="s">
        <v>35</v>
      </c>
      <c r="F317" s="12"/>
      <c r="G317" s="12"/>
      <c r="H317" s="12"/>
      <c r="I317" s="12"/>
      <c r="J317" s="12"/>
    </row>
    <row r="318" spans="1:10" ht="24.75" customHeight="1" x14ac:dyDescent="0.2">
      <c r="A318" s="3">
        <v>8</v>
      </c>
      <c r="B318" s="3"/>
      <c r="C318" s="13" t="s">
        <v>880</v>
      </c>
      <c r="D318" s="10" t="s">
        <v>879</v>
      </c>
      <c r="E318" s="10" t="s">
        <v>7</v>
      </c>
      <c r="F318" s="12"/>
      <c r="G318" s="12"/>
      <c r="H318" s="12"/>
      <c r="I318" s="12"/>
      <c r="J318" s="12"/>
    </row>
    <row r="319" spans="1:10" ht="24.75" customHeight="1" x14ac:dyDescent="0.2">
      <c r="A319" s="3">
        <v>9</v>
      </c>
      <c r="B319" s="3"/>
      <c r="C319" s="13" t="s">
        <v>878</v>
      </c>
      <c r="D319" s="10" t="s">
        <v>877</v>
      </c>
      <c r="E319" s="10" t="s">
        <v>876</v>
      </c>
      <c r="F319" s="12"/>
      <c r="G319" s="12"/>
      <c r="H319" s="12"/>
      <c r="I319" s="12"/>
      <c r="J319" s="12"/>
    </row>
    <row r="320" spans="1:10" ht="24.75" customHeight="1" x14ac:dyDescent="0.2">
      <c r="A320" s="3">
        <v>10</v>
      </c>
      <c r="B320" s="3"/>
      <c r="C320" s="13" t="s">
        <v>875</v>
      </c>
      <c r="D320" s="10" t="s">
        <v>874</v>
      </c>
      <c r="E320" s="10" t="s">
        <v>873</v>
      </c>
      <c r="F320" s="12"/>
      <c r="G320" s="12"/>
      <c r="H320" s="12"/>
      <c r="I320" s="12"/>
      <c r="J320" s="12"/>
    </row>
    <row r="321" spans="1:10" ht="24.75" customHeight="1" x14ac:dyDescent="0.2">
      <c r="A321" s="3">
        <v>11</v>
      </c>
      <c r="B321" s="3"/>
      <c r="C321" s="13" t="s">
        <v>872</v>
      </c>
      <c r="D321" s="10" t="s">
        <v>871</v>
      </c>
      <c r="E321" s="10" t="s">
        <v>261</v>
      </c>
      <c r="F321" s="12"/>
      <c r="G321" s="12"/>
      <c r="H321" s="12"/>
      <c r="I321" s="12"/>
      <c r="J321" s="12"/>
    </row>
    <row r="322" spans="1:10" ht="24.75" customHeight="1" x14ac:dyDescent="0.2">
      <c r="A322" s="3">
        <v>12</v>
      </c>
      <c r="B322" s="3"/>
      <c r="C322" s="13" t="s">
        <v>870</v>
      </c>
      <c r="D322" s="10" t="s">
        <v>869</v>
      </c>
      <c r="E322" s="10" t="s">
        <v>868</v>
      </c>
      <c r="F322" s="12"/>
      <c r="G322" s="12"/>
      <c r="H322" s="12"/>
      <c r="I322" s="12"/>
      <c r="J322" s="12"/>
    </row>
    <row r="323" spans="1:10" ht="24.75" customHeight="1" x14ac:dyDescent="0.2">
      <c r="A323" s="3">
        <v>13</v>
      </c>
      <c r="B323" s="3"/>
      <c r="C323" s="13" t="s">
        <v>867</v>
      </c>
      <c r="D323" s="10" t="s">
        <v>866</v>
      </c>
      <c r="E323" s="10" t="s">
        <v>865</v>
      </c>
      <c r="F323" s="12"/>
      <c r="G323" s="12"/>
      <c r="H323" s="12"/>
      <c r="I323" s="12"/>
      <c r="J323" s="12"/>
    </row>
    <row r="324" spans="1:10" ht="24.75" customHeight="1" x14ac:dyDescent="0.2">
      <c r="A324" s="3">
        <v>14</v>
      </c>
      <c r="B324" s="3"/>
      <c r="C324" s="13" t="s">
        <v>864</v>
      </c>
      <c r="D324" s="10" t="s">
        <v>863</v>
      </c>
      <c r="E324" s="10" t="s">
        <v>862</v>
      </c>
      <c r="F324" s="12"/>
      <c r="G324" s="12"/>
      <c r="H324" s="12"/>
      <c r="I324" s="12"/>
      <c r="J324" s="12"/>
    </row>
    <row r="325" spans="1:10" ht="24.75" customHeight="1" x14ac:dyDescent="0.2">
      <c r="A325" s="3">
        <v>15</v>
      </c>
      <c r="B325" s="3"/>
      <c r="C325" s="13" t="s">
        <v>861</v>
      </c>
      <c r="D325" s="10" t="s">
        <v>860</v>
      </c>
      <c r="E325" s="10" t="s">
        <v>859</v>
      </c>
      <c r="F325" s="12"/>
      <c r="G325" s="12"/>
      <c r="H325" s="12"/>
      <c r="I325" s="12"/>
      <c r="J325" s="12"/>
    </row>
    <row r="326" spans="1:10" ht="24.75" customHeight="1" x14ac:dyDescent="0.2">
      <c r="A326" s="3">
        <v>16</v>
      </c>
      <c r="B326" s="3"/>
      <c r="C326" s="13" t="s">
        <v>858</v>
      </c>
      <c r="D326" s="10" t="s">
        <v>857</v>
      </c>
      <c r="E326" s="10" t="s">
        <v>856</v>
      </c>
      <c r="F326" s="12"/>
      <c r="G326" s="12"/>
      <c r="H326" s="12"/>
      <c r="I326" s="12"/>
      <c r="J326" s="12"/>
    </row>
    <row r="327" spans="1:10" ht="24.75" customHeight="1" x14ac:dyDescent="0.2">
      <c r="A327" s="3">
        <v>17</v>
      </c>
      <c r="B327" s="3"/>
      <c r="C327" s="13" t="s">
        <v>855</v>
      </c>
      <c r="D327" s="10" t="s">
        <v>852</v>
      </c>
      <c r="E327" s="10" t="s">
        <v>854</v>
      </c>
      <c r="F327" s="12"/>
      <c r="G327" s="12"/>
      <c r="H327" s="12"/>
      <c r="I327" s="12"/>
      <c r="J327" s="12"/>
    </row>
    <row r="328" spans="1:10" ht="24.75" customHeight="1" x14ac:dyDescent="0.2">
      <c r="A328" s="3">
        <v>18</v>
      </c>
      <c r="B328" s="3"/>
      <c r="C328" s="13" t="s">
        <v>853</v>
      </c>
      <c r="D328" s="10" t="s">
        <v>852</v>
      </c>
      <c r="E328" s="10" t="s">
        <v>37</v>
      </c>
      <c r="F328" s="12"/>
      <c r="G328" s="12"/>
      <c r="H328" s="12"/>
      <c r="I328" s="12"/>
      <c r="J328" s="12"/>
    </row>
    <row r="329" spans="1:10" ht="24.75" customHeight="1" x14ac:dyDescent="0.2">
      <c r="A329" s="3">
        <v>19</v>
      </c>
      <c r="B329" s="3"/>
      <c r="C329" s="13" t="s">
        <v>851</v>
      </c>
      <c r="D329" s="10" t="s">
        <v>850</v>
      </c>
      <c r="E329" s="10" t="s">
        <v>849</v>
      </c>
      <c r="F329" s="12"/>
      <c r="G329" s="12"/>
      <c r="H329" s="12"/>
      <c r="I329" s="12"/>
      <c r="J329" s="12"/>
    </row>
    <row r="330" spans="1:10" ht="24.75" customHeight="1" x14ac:dyDescent="0.2">
      <c r="A330" s="3">
        <v>20</v>
      </c>
      <c r="B330" s="3"/>
      <c r="C330" s="13" t="s">
        <v>848</v>
      </c>
      <c r="D330" s="10" t="s">
        <v>847</v>
      </c>
      <c r="E330" s="10" t="s">
        <v>846</v>
      </c>
      <c r="F330" s="12"/>
      <c r="G330" s="12"/>
      <c r="H330" s="12"/>
      <c r="I330" s="12"/>
      <c r="J330" s="12"/>
    </row>
    <row r="331" spans="1:10" ht="24.75" customHeight="1" x14ac:dyDescent="0.2">
      <c r="A331" s="3">
        <v>21</v>
      </c>
      <c r="B331" s="3"/>
      <c r="C331" s="13" t="s">
        <v>845</v>
      </c>
      <c r="D331" s="10" t="s">
        <v>844</v>
      </c>
      <c r="E331" s="10" t="s">
        <v>843</v>
      </c>
      <c r="F331" s="12"/>
      <c r="G331" s="12"/>
      <c r="H331" s="12"/>
      <c r="I331" s="12"/>
      <c r="J331" s="12"/>
    </row>
    <row r="332" spans="1:10" ht="24.75" customHeight="1" x14ac:dyDescent="0.2">
      <c r="A332" s="3">
        <v>22</v>
      </c>
      <c r="B332" s="3"/>
      <c r="C332" s="13" t="s">
        <v>842</v>
      </c>
      <c r="D332" s="10" t="s">
        <v>841</v>
      </c>
      <c r="E332" s="10" t="s">
        <v>840</v>
      </c>
      <c r="F332" s="12"/>
      <c r="G332" s="12"/>
      <c r="H332" s="12"/>
      <c r="I332" s="12"/>
      <c r="J332" s="12"/>
    </row>
    <row r="333" spans="1:10" ht="24.75" customHeight="1" x14ac:dyDescent="0.2">
      <c r="A333" s="3">
        <v>23</v>
      </c>
      <c r="B333" s="3"/>
      <c r="C333" s="13" t="s">
        <v>839</v>
      </c>
      <c r="D333" s="10" t="s">
        <v>838</v>
      </c>
      <c r="E333" s="10" t="s">
        <v>837</v>
      </c>
      <c r="F333" s="12"/>
      <c r="G333" s="12"/>
      <c r="H333" s="12"/>
      <c r="I333" s="12"/>
      <c r="J333" s="12"/>
    </row>
    <row r="334" spans="1:10" ht="24.75" customHeight="1" x14ac:dyDescent="0.2">
      <c r="A334" s="3">
        <v>24</v>
      </c>
      <c r="B334" s="3"/>
      <c r="C334" s="13" t="s">
        <v>836</v>
      </c>
      <c r="D334" s="10" t="s">
        <v>835</v>
      </c>
      <c r="E334" s="10" t="s">
        <v>834</v>
      </c>
      <c r="F334" s="12"/>
      <c r="G334" s="12"/>
      <c r="H334" s="12"/>
      <c r="I334" s="12"/>
      <c r="J334" s="12"/>
    </row>
    <row r="335" spans="1:10" ht="24.75" customHeight="1" x14ac:dyDescent="0.2">
      <c r="A335" s="3">
        <v>25</v>
      </c>
      <c r="B335" s="3"/>
      <c r="C335" s="13" t="s">
        <v>833</v>
      </c>
      <c r="D335" s="10" t="s">
        <v>832</v>
      </c>
      <c r="E335" s="10" t="s">
        <v>831</v>
      </c>
      <c r="F335" s="12"/>
      <c r="G335" s="12"/>
      <c r="H335" s="12"/>
      <c r="I335" s="12"/>
      <c r="J335" s="12"/>
    </row>
    <row r="336" spans="1:10" ht="24.75" customHeight="1" x14ac:dyDescent="0.15">
      <c r="A336" s="3">
        <v>26</v>
      </c>
      <c r="B336" s="3"/>
      <c r="C336" s="16"/>
      <c r="D336" s="7"/>
      <c r="E336" s="7"/>
      <c r="F336" s="12"/>
      <c r="G336" s="12"/>
      <c r="H336" s="12"/>
      <c r="I336" s="12"/>
      <c r="J336" s="12"/>
    </row>
    <row r="337" spans="1:10" ht="24.75" customHeight="1" x14ac:dyDescent="0.2">
      <c r="B337" s="8" t="s">
        <v>4</v>
      </c>
      <c r="C337" s="9" t="s">
        <v>34</v>
      </c>
      <c r="D337" s="12"/>
      <c r="E337" s="12"/>
      <c r="F337" s="2" t="s">
        <v>0</v>
      </c>
      <c r="H337" s="12"/>
      <c r="I337" s="12"/>
      <c r="J337" s="2" t="s">
        <v>63</v>
      </c>
    </row>
    <row r="338" spans="1:10" ht="24.75" customHeight="1" x14ac:dyDescent="0.2">
      <c r="D338" s="6"/>
      <c r="E338" s="6"/>
      <c r="F338" s="12" t="s">
        <v>3</v>
      </c>
      <c r="G338" s="12"/>
      <c r="H338" s="12"/>
      <c r="I338" s="12"/>
      <c r="J338" s="12"/>
    </row>
    <row r="339" spans="1:10" ht="24.75" customHeight="1" x14ac:dyDescent="0.2">
      <c r="A339" s="3">
        <v>1</v>
      </c>
      <c r="B339" s="3"/>
      <c r="C339" s="13" t="s">
        <v>960</v>
      </c>
      <c r="D339" s="10" t="s">
        <v>959</v>
      </c>
      <c r="E339" s="10" t="s">
        <v>958</v>
      </c>
      <c r="F339" s="12"/>
      <c r="G339" s="12"/>
      <c r="H339" s="12"/>
      <c r="I339" s="12"/>
      <c r="J339" s="12"/>
    </row>
    <row r="340" spans="1:10" ht="24.75" customHeight="1" x14ac:dyDescent="0.2">
      <c r="A340" s="3">
        <v>2</v>
      </c>
      <c r="B340" s="3"/>
      <c r="C340" s="13" t="s">
        <v>957</v>
      </c>
      <c r="D340" s="10" t="s">
        <v>954</v>
      </c>
      <c r="E340" s="10" t="s">
        <v>956</v>
      </c>
      <c r="F340" s="12"/>
      <c r="G340" s="12"/>
      <c r="H340" s="12"/>
      <c r="I340" s="12"/>
      <c r="J340" s="12"/>
    </row>
    <row r="341" spans="1:10" ht="24.75" customHeight="1" x14ac:dyDescent="0.2">
      <c r="A341" s="3">
        <v>3</v>
      </c>
      <c r="B341" s="3"/>
      <c r="C341" s="13" t="s">
        <v>955</v>
      </c>
      <c r="D341" s="10" t="s">
        <v>954</v>
      </c>
      <c r="E341" s="10" t="s">
        <v>953</v>
      </c>
      <c r="F341" s="12"/>
      <c r="G341" s="12"/>
      <c r="H341" s="12"/>
      <c r="I341" s="12"/>
      <c r="J341" s="12"/>
    </row>
    <row r="342" spans="1:10" ht="24.75" customHeight="1" x14ac:dyDescent="0.2">
      <c r="A342" s="3">
        <v>4</v>
      </c>
      <c r="B342" s="3"/>
      <c r="C342" s="13" t="s">
        <v>952</v>
      </c>
      <c r="D342" s="10" t="s">
        <v>951</v>
      </c>
      <c r="E342" s="10" t="s">
        <v>950</v>
      </c>
      <c r="F342" s="12"/>
      <c r="G342" s="12"/>
      <c r="H342" s="12"/>
      <c r="I342" s="12"/>
      <c r="J342" s="12"/>
    </row>
    <row r="343" spans="1:10" ht="24.75" customHeight="1" x14ac:dyDescent="0.2">
      <c r="A343" s="3">
        <v>5</v>
      </c>
      <c r="B343" s="3"/>
      <c r="C343" s="13" t="s">
        <v>949</v>
      </c>
      <c r="D343" s="10" t="s">
        <v>948</v>
      </c>
      <c r="E343" s="10" t="s">
        <v>947</v>
      </c>
      <c r="F343" s="12"/>
      <c r="G343" s="12"/>
      <c r="H343" s="12"/>
      <c r="I343" s="12"/>
      <c r="J343" s="12"/>
    </row>
    <row r="344" spans="1:10" ht="24.75" customHeight="1" x14ac:dyDescent="0.2">
      <c r="A344" s="3">
        <v>6</v>
      </c>
      <c r="B344" s="3"/>
      <c r="C344" s="13" t="s">
        <v>946</v>
      </c>
      <c r="D344" s="10" t="s">
        <v>945</v>
      </c>
      <c r="E344" s="10" t="s">
        <v>19</v>
      </c>
      <c r="F344" s="12"/>
      <c r="G344" s="12"/>
      <c r="H344" s="12"/>
      <c r="I344" s="12"/>
      <c r="J344" s="12"/>
    </row>
    <row r="345" spans="1:10" ht="24.75" customHeight="1" x14ac:dyDescent="0.2">
      <c r="A345" s="3">
        <v>7</v>
      </c>
      <c r="B345" s="3"/>
      <c r="C345" s="13" t="s">
        <v>944</v>
      </c>
      <c r="D345" s="10" t="s">
        <v>943</v>
      </c>
      <c r="E345" s="10" t="s">
        <v>529</v>
      </c>
      <c r="F345" s="12"/>
      <c r="G345" s="12"/>
      <c r="H345" s="12"/>
      <c r="I345" s="12"/>
      <c r="J345" s="12"/>
    </row>
    <row r="346" spans="1:10" ht="24.75" customHeight="1" x14ac:dyDescent="0.2">
      <c r="A346" s="3">
        <v>8</v>
      </c>
      <c r="B346" s="3"/>
      <c r="C346" s="13" t="s">
        <v>942</v>
      </c>
      <c r="D346" s="10" t="s">
        <v>940</v>
      </c>
      <c r="E346" s="10" t="s">
        <v>406</v>
      </c>
      <c r="F346" s="12"/>
      <c r="G346" s="12"/>
      <c r="H346" s="12"/>
      <c r="I346" s="12"/>
      <c r="J346" s="12"/>
    </row>
    <row r="347" spans="1:10" ht="24.75" customHeight="1" x14ac:dyDescent="0.2">
      <c r="A347" s="3">
        <v>9</v>
      </c>
      <c r="B347" s="3"/>
      <c r="C347" s="13" t="s">
        <v>941</v>
      </c>
      <c r="D347" s="10" t="s">
        <v>940</v>
      </c>
      <c r="E347" s="10" t="s">
        <v>35</v>
      </c>
      <c r="F347" s="12"/>
      <c r="G347" s="12"/>
      <c r="H347" s="12"/>
      <c r="I347" s="12"/>
      <c r="J347" s="12"/>
    </row>
    <row r="348" spans="1:10" ht="24.75" customHeight="1" x14ac:dyDescent="0.2">
      <c r="A348" s="3">
        <v>10</v>
      </c>
      <c r="B348" s="3"/>
      <c r="C348" s="13" t="s">
        <v>939</v>
      </c>
      <c r="D348" s="10" t="s">
        <v>938</v>
      </c>
      <c r="E348" s="10" t="s">
        <v>937</v>
      </c>
      <c r="F348" s="12"/>
      <c r="G348" s="12"/>
      <c r="H348" s="12"/>
      <c r="I348" s="12"/>
      <c r="J348" s="12"/>
    </row>
    <row r="349" spans="1:10" ht="24.75" customHeight="1" x14ac:dyDescent="0.2">
      <c r="A349" s="3">
        <v>11</v>
      </c>
      <c r="B349" s="3"/>
      <c r="C349" s="13" t="s">
        <v>936</v>
      </c>
      <c r="D349" s="10" t="s">
        <v>137</v>
      </c>
      <c r="E349" s="10" t="s">
        <v>677</v>
      </c>
      <c r="F349" s="12"/>
      <c r="G349" s="12"/>
      <c r="H349" s="12"/>
      <c r="I349" s="12"/>
      <c r="J349" s="12"/>
    </row>
    <row r="350" spans="1:10" ht="24.75" customHeight="1" x14ac:dyDescent="0.2">
      <c r="A350" s="3">
        <v>12</v>
      </c>
      <c r="B350" s="3"/>
      <c r="C350" s="13" t="s">
        <v>935</v>
      </c>
      <c r="D350" s="10" t="s">
        <v>934</v>
      </c>
      <c r="E350" s="10" t="s">
        <v>933</v>
      </c>
      <c r="F350" s="12"/>
      <c r="G350" s="12"/>
      <c r="H350" s="12"/>
      <c r="I350" s="12"/>
      <c r="J350" s="12"/>
    </row>
    <row r="351" spans="1:10" ht="24.75" customHeight="1" x14ac:dyDescent="0.2">
      <c r="A351" s="3">
        <v>13</v>
      </c>
      <c r="B351" s="3"/>
      <c r="C351" s="13" t="s">
        <v>932</v>
      </c>
      <c r="D351" s="10" t="s">
        <v>931</v>
      </c>
      <c r="E351" s="10" t="s">
        <v>930</v>
      </c>
      <c r="F351" s="12"/>
      <c r="G351" s="12"/>
      <c r="H351" s="12"/>
      <c r="I351" s="12"/>
      <c r="J351" s="12"/>
    </row>
    <row r="352" spans="1:10" ht="24.75" customHeight="1" x14ac:dyDescent="0.2">
      <c r="A352" s="3">
        <v>14</v>
      </c>
      <c r="B352" s="3"/>
      <c r="C352" s="13" t="s">
        <v>929</v>
      </c>
      <c r="D352" s="10" t="s">
        <v>928</v>
      </c>
      <c r="E352" s="10" t="s">
        <v>927</v>
      </c>
      <c r="F352" s="12"/>
      <c r="G352" s="12"/>
      <c r="H352" s="12"/>
      <c r="I352" s="12"/>
      <c r="J352" s="12"/>
    </row>
    <row r="353" spans="1:10" ht="24.75" customHeight="1" x14ac:dyDescent="0.2">
      <c r="A353" s="3">
        <v>15</v>
      </c>
      <c r="B353" s="3"/>
      <c r="C353" s="13" t="s">
        <v>926</v>
      </c>
      <c r="D353" s="10" t="s">
        <v>923</v>
      </c>
      <c r="E353" s="10" t="s">
        <v>925</v>
      </c>
      <c r="F353" s="12"/>
      <c r="G353" s="12"/>
      <c r="H353" s="12"/>
      <c r="I353" s="12"/>
      <c r="J353" s="12"/>
    </row>
    <row r="354" spans="1:10" ht="24.75" customHeight="1" x14ac:dyDescent="0.2">
      <c r="A354" s="3">
        <v>16</v>
      </c>
      <c r="B354" s="3"/>
      <c r="C354" s="13" t="s">
        <v>924</v>
      </c>
      <c r="D354" s="10" t="s">
        <v>923</v>
      </c>
      <c r="E354" s="10" t="s">
        <v>922</v>
      </c>
      <c r="F354" s="12"/>
      <c r="G354" s="12"/>
      <c r="H354" s="12"/>
      <c r="I354" s="12"/>
      <c r="J354" s="12"/>
    </row>
    <row r="355" spans="1:10" ht="24.75" customHeight="1" x14ac:dyDescent="0.2">
      <c r="A355" s="3">
        <v>17</v>
      </c>
      <c r="B355" s="3"/>
      <c r="C355" s="13" t="s">
        <v>921</v>
      </c>
      <c r="D355" s="10" t="s">
        <v>920</v>
      </c>
      <c r="E355" s="10" t="s">
        <v>919</v>
      </c>
      <c r="F355" s="12"/>
      <c r="G355" s="12"/>
      <c r="H355" s="12"/>
      <c r="I355" s="12"/>
      <c r="J355" s="12"/>
    </row>
    <row r="356" spans="1:10" ht="24.75" customHeight="1" x14ac:dyDescent="0.2">
      <c r="A356" s="3">
        <v>18</v>
      </c>
      <c r="B356" s="3"/>
      <c r="C356" s="13" t="s">
        <v>918</v>
      </c>
      <c r="D356" s="10" t="s">
        <v>915</v>
      </c>
      <c r="E356" s="10" t="s">
        <v>917</v>
      </c>
      <c r="F356" s="12"/>
      <c r="G356" s="12"/>
      <c r="H356" s="12"/>
      <c r="I356" s="12"/>
      <c r="J356" s="12"/>
    </row>
    <row r="357" spans="1:10" ht="24.75" customHeight="1" x14ac:dyDescent="0.2">
      <c r="A357" s="3">
        <v>19</v>
      </c>
      <c r="B357" s="3"/>
      <c r="C357" s="13" t="s">
        <v>916</v>
      </c>
      <c r="D357" s="10" t="s">
        <v>915</v>
      </c>
      <c r="E357" s="10" t="s">
        <v>568</v>
      </c>
      <c r="F357" s="12"/>
      <c r="G357" s="12"/>
      <c r="H357" s="12"/>
      <c r="I357" s="12"/>
      <c r="J357" s="12"/>
    </row>
    <row r="358" spans="1:10" ht="24.75" customHeight="1" x14ac:dyDescent="0.2">
      <c r="A358" s="3">
        <v>20</v>
      </c>
      <c r="B358" s="3"/>
      <c r="C358" s="13" t="s">
        <v>914</v>
      </c>
      <c r="D358" s="10" t="s">
        <v>913</v>
      </c>
      <c r="E358" s="10" t="s">
        <v>912</v>
      </c>
      <c r="F358" s="12"/>
      <c r="G358" s="12"/>
      <c r="H358" s="12"/>
      <c r="I358" s="12"/>
      <c r="J358" s="12"/>
    </row>
    <row r="359" spans="1:10" ht="24.75" customHeight="1" x14ac:dyDescent="0.2">
      <c r="A359" s="3">
        <v>21</v>
      </c>
      <c r="B359" s="3"/>
      <c r="C359" s="13" t="s">
        <v>911</v>
      </c>
      <c r="D359" s="10" t="s">
        <v>910</v>
      </c>
      <c r="E359" s="10" t="s">
        <v>909</v>
      </c>
      <c r="F359" s="12"/>
      <c r="G359" s="12"/>
      <c r="H359" s="12"/>
      <c r="I359" s="12"/>
      <c r="J359" s="12"/>
    </row>
    <row r="360" spans="1:10" ht="24.75" customHeight="1" x14ac:dyDescent="0.2">
      <c r="A360" s="3">
        <v>22</v>
      </c>
      <c r="B360" s="3"/>
      <c r="C360" s="13" t="s">
        <v>908</v>
      </c>
      <c r="D360" s="10" t="s">
        <v>907</v>
      </c>
      <c r="E360" s="10" t="s">
        <v>906</v>
      </c>
      <c r="F360" s="12"/>
      <c r="G360" s="12"/>
      <c r="H360" s="12"/>
      <c r="I360" s="12"/>
      <c r="J360" s="12"/>
    </row>
    <row r="361" spans="1:10" ht="24.75" customHeight="1" x14ac:dyDescent="0.2">
      <c r="A361" s="3">
        <v>23</v>
      </c>
      <c r="B361" s="3"/>
      <c r="C361" s="13" t="s">
        <v>905</v>
      </c>
      <c r="D361" s="10" t="s">
        <v>904</v>
      </c>
      <c r="E361" s="10" t="s">
        <v>903</v>
      </c>
      <c r="F361" s="12"/>
      <c r="G361" s="12"/>
      <c r="H361" s="12"/>
      <c r="I361" s="12"/>
      <c r="J361" s="12"/>
    </row>
    <row r="362" spans="1:10" ht="24.75" customHeight="1" x14ac:dyDescent="0.2">
      <c r="A362" s="3">
        <v>24</v>
      </c>
      <c r="B362" s="3"/>
      <c r="C362" s="13" t="s">
        <v>902</v>
      </c>
      <c r="D362" s="10" t="s">
        <v>901</v>
      </c>
      <c r="E362" s="10" t="s">
        <v>7</v>
      </c>
      <c r="F362" s="12"/>
      <c r="G362" s="12"/>
      <c r="H362" s="12"/>
      <c r="I362" s="12"/>
      <c r="J362" s="12"/>
    </row>
    <row r="363" spans="1:10" ht="24.75" customHeight="1" x14ac:dyDescent="0.2">
      <c r="A363" s="3">
        <v>25</v>
      </c>
      <c r="B363" s="3"/>
      <c r="C363" s="13" t="s">
        <v>900</v>
      </c>
      <c r="D363" s="10" t="s">
        <v>92</v>
      </c>
      <c r="E363" s="10" t="s">
        <v>643</v>
      </c>
      <c r="F363" s="12"/>
      <c r="G363" s="12"/>
      <c r="H363" s="12"/>
      <c r="I363" s="12"/>
      <c r="J363" s="12"/>
    </row>
    <row r="364" spans="1:10" ht="24.75" customHeight="1" x14ac:dyDescent="0.15">
      <c r="A364" s="3">
        <v>26</v>
      </c>
      <c r="B364" s="3"/>
      <c r="C364" s="16"/>
      <c r="D364" s="7"/>
      <c r="E364" s="7"/>
      <c r="F364" s="12"/>
      <c r="G364" s="12"/>
      <c r="H364" s="12"/>
      <c r="I364" s="12"/>
      <c r="J364" s="12"/>
    </row>
    <row r="365" spans="1:10" ht="24.75" customHeight="1" x14ac:dyDescent="0.2">
      <c r="B365" s="8" t="s">
        <v>4</v>
      </c>
      <c r="C365" s="9" t="s">
        <v>38</v>
      </c>
      <c r="D365" s="12"/>
      <c r="E365" s="12"/>
      <c r="F365" s="2" t="s">
        <v>0</v>
      </c>
      <c r="H365" s="12"/>
      <c r="I365" s="12"/>
      <c r="J365" s="2" t="s">
        <v>64</v>
      </c>
    </row>
    <row r="366" spans="1:10" ht="24.75" customHeight="1" x14ac:dyDescent="0.2">
      <c r="D366" s="6"/>
      <c r="E366" s="6"/>
      <c r="F366" s="12" t="s">
        <v>3</v>
      </c>
      <c r="G366" s="12"/>
      <c r="H366" s="12"/>
      <c r="I366" s="12"/>
      <c r="J366" s="12"/>
    </row>
    <row r="367" spans="1:10" ht="24.75" customHeight="1" x14ac:dyDescent="0.2">
      <c r="A367" s="3">
        <v>1</v>
      </c>
      <c r="B367" s="3"/>
      <c r="C367" s="13" t="s">
        <v>999</v>
      </c>
      <c r="D367" s="10" t="s">
        <v>998</v>
      </c>
      <c r="E367" s="10" t="s">
        <v>997</v>
      </c>
      <c r="F367" s="12"/>
      <c r="G367" s="12"/>
      <c r="H367" s="12"/>
      <c r="I367" s="12"/>
      <c r="J367" s="12"/>
    </row>
    <row r="368" spans="1:10" ht="24.75" customHeight="1" x14ac:dyDescent="0.2">
      <c r="A368" s="3">
        <v>2</v>
      </c>
      <c r="B368" s="3"/>
      <c r="C368" s="13" t="s">
        <v>996</v>
      </c>
      <c r="D368" s="10" t="s">
        <v>995</v>
      </c>
      <c r="E368" s="10" t="s">
        <v>994</v>
      </c>
      <c r="F368" s="12"/>
      <c r="G368" s="12"/>
      <c r="H368" s="12"/>
      <c r="I368" s="12"/>
      <c r="J368" s="12"/>
    </row>
    <row r="369" spans="1:10" ht="24.75" customHeight="1" x14ac:dyDescent="0.2">
      <c r="A369" s="3">
        <v>3</v>
      </c>
      <c r="B369" s="3"/>
      <c r="C369" s="13" t="s">
        <v>993</v>
      </c>
      <c r="D369" s="10" t="s">
        <v>992</v>
      </c>
      <c r="E369" s="10" t="s">
        <v>991</v>
      </c>
      <c r="F369" s="12"/>
      <c r="G369" s="12"/>
      <c r="H369" s="12"/>
      <c r="I369" s="12"/>
      <c r="J369" s="12"/>
    </row>
    <row r="370" spans="1:10" ht="24.75" customHeight="1" x14ac:dyDescent="0.2">
      <c r="A370" s="3">
        <v>4</v>
      </c>
      <c r="B370" s="3"/>
      <c r="C370" s="13" t="s">
        <v>990</v>
      </c>
      <c r="D370" s="10" t="s">
        <v>989</v>
      </c>
      <c r="E370" s="10" t="s">
        <v>988</v>
      </c>
      <c r="F370" s="12"/>
      <c r="G370" s="12"/>
      <c r="H370" s="12"/>
      <c r="I370" s="12"/>
      <c r="J370" s="12"/>
    </row>
    <row r="371" spans="1:10" ht="24.75" customHeight="1" x14ac:dyDescent="0.2">
      <c r="A371" s="3">
        <v>5</v>
      </c>
      <c r="B371" s="3"/>
      <c r="C371" s="13" t="s">
        <v>987</v>
      </c>
      <c r="D371" s="10" t="s">
        <v>986</v>
      </c>
      <c r="E371" s="10" t="s">
        <v>985</v>
      </c>
      <c r="F371" s="12"/>
      <c r="G371" s="12"/>
      <c r="H371" s="12"/>
      <c r="I371" s="12"/>
      <c r="J371" s="12"/>
    </row>
    <row r="372" spans="1:10" ht="24.75" customHeight="1" x14ac:dyDescent="0.2">
      <c r="A372" s="3">
        <v>6</v>
      </c>
      <c r="B372" s="3"/>
      <c r="C372" s="13" t="s">
        <v>984</v>
      </c>
      <c r="D372" s="10" t="s">
        <v>983</v>
      </c>
      <c r="E372" s="10" t="s">
        <v>982</v>
      </c>
      <c r="F372" s="12"/>
      <c r="G372" s="12"/>
      <c r="H372" s="12"/>
      <c r="I372" s="12"/>
      <c r="J372" s="12"/>
    </row>
    <row r="373" spans="1:10" ht="24.75" customHeight="1" x14ac:dyDescent="0.2">
      <c r="A373" s="3">
        <v>7</v>
      </c>
      <c r="B373" s="3"/>
      <c r="C373" s="13" t="s">
        <v>981</v>
      </c>
      <c r="D373" s="10" t="s">
        <v>980</v>
      </c>
      <c r="E373" s="10" t="s">
        <v>979</v>
      </c>
      <c r="F373" s="12"/>
      <c r="G373" s="12"/>
      <c r="H373" s="12"/>
      <c r="I373" s="12"/>
      <c r="J373" s="12"/>
    </row>
    <row r="374" spans="1:10" ht="24.75" customHeight="1" x14ac:dyDescent="0.2">
      <c r="A374" s="3">
        <v>8</v>
      </c>
      <c r="B374" s="3"/>
      <c r="C374" s="13" t="s">
        <v>978</v>
      </c>
      <c r="D374" s="10" t="s">
        <v>87</v>
      </c>
      <c r="E374" s="10" t="s">
        <v>977</v>
      </c>
      <c r="F374" s="12"/>
      <c r="G374" s="12"/>
      <c r="H374" s="12"/>
      <c r="I374" s="12"/>
      <c r="J374" s="12"/>
    </row>
    <row r="375" spans="1:10" ht="24.75" customHeight="1" x14ac:dyDescent="0.2">
      <c r="A375" s="3">
        <v>9</v>
      </c>
      <c r="B375" s="3"/>
      <c r="C375" s="13" t="s">
        <v>976</v>
      </c>
      <c r="D375" s="10" t="s">
        <v>87</v>
      </c>
      <c r="E375" s="10" t="s">
        <v>975</v>
      </c>
      <c r="F375" s="12"/>
      <c r="G375" s="12"/>
      <c r="H375" s="12"/>
      <c r="I375" s="12"/>
      <c r="J375" s="12"/>
    </row>
    <row r="376" spans="1:10" ht="24.75" customHeight="1" x14ac:dyDescent="0.2">
      <c r="A376" s="3">
        <v>10</v>
      </c>
      <c r="B376" s="3"/>
      <c r="C376" s="13" t="s">
        <v>974</v>
      </c>
      <c r="D376" s="10" t="s">
        <v>87</v>
      </c>
      <c r="E376" s="10" t="s">
        <v>973</v>
      </c>
      <c r="F376" s="12"/>
      <c r="G376" s="12"/>
      <c r="H376" s="12"/>
      <c r="I376" s="12"/>
      <c r="J376" s="12"/>
    </row>
    <row r="377" spans="1:10" ht="24.75" customHeight="1" x14ac:dyDescent="0.2">
      <c r="A377" s="3">
        <v>11</v>
      </c>
      <c r="B377" s="3"/>
      <c r="C377" s="13" t="s">
        <v>972</v>
      </c>
      <c r="D377" s="10" t="s">
        <v>87</v>
      </c>
      <c r="E377" s="10" t="s">
        <v>971</v>
      </c>
      <c r="F377" s="12"/>
      <c r="G377" s="12"/>
      <c r="H377" s="12"/>
      <c r="I377" s="12"/>
      <c r="J377" s="12"/>
    </row>
    <row r="378" spans="1:10" ht="24.75" customHeight="1" x14ac:dyDescent="0.2">
      <c r="A378" s="3">
        <v>12</v>
      </c>
      <c r="B378" s="3"/>
      <c r="C378" s="13" t="s">
        <v>970</v>
      </c>
      <c r="D378" s="10" t="s">
        <v>87</v>
      </c>
      <c r="E378" s="10" t="s">
        <v>21</v>
      </c>
      <c r="F378" s="12"/>
      <c r="G378" s="12"/>
      <c r="H378" s="12"/>
      <c r="I378" s="12"/>
      <c r="J378" s="12"/>
    </row>
    <row r="379" spans="1:10" ht="24.75" customHeight="1" x14ac:dyDescent="0.2">
      <c r="A379" s="3">
        <v>13</v>
      </c>
      <c r="B379" s="3"/>
      <c r="C379" s="13" t="s">
        <v>969</v>
      </c>
      <c r="D379" s="10" t="s">
        <v>968</v>
      </c>
      <c r="E379" s="10" t="s">
        <v>967</v>
      </c>
      <c r="F379" s="12"/>
      <c r="G379" s="12"/>
      <c r="H379" s="12"/>
      <c r="I379" s="12"/>
      <c r="J379" s="12"/>
    </row>
    <row r="380" spans="1:10" ht="24.75" customHeight="1" x14ac:dyDescent="0.2">
      <c r="A380" s="3">
        <v>14</v>
      </c>
      <c r="B380" s="3"/>
      <c r="C380" s="13" t="s">
        <v>966</v>
      </c>
      <c r="D380" s="10" t="s">
        <v>965</v>
      </c>
      <c r="E380" s="10" t="s">
        <v>964</v>
      </c>
      <c r="F380" s="12"/>
      <c r="G380" s="12"/>
      <c r="H380" s="12"/>
      <c r="I380" s="12"/>
      <c r="J380" s="12"/>
    </row>
    <row r="381" spans="1:10" ht="24.75" customHeight="1" x14ac:dyDescent="0.2">
      <c r="A381" s="3">
        <v>15</v>
      </c>
      <c r="B381" s="3"/>
      <c r="C381" s="13" t="s">
        <v>963</v>
      </c>
      <c r="D381" s="10" t="s">
        <v>152</v>
      </c>
      <c r="E381" s="10" t="s">
        <v>427</v>
      </c>
      <c r="F381" s="12"/>
      <c r="G381" s="12"/>
      <c r="H381" s="12"/>
      <c r="I381" s="12"/>
      <c r="J381" s="12"/>
    </row>
    <row r="382" spans="1:10" ht="24.75" customHeight="1" x14ac:dyDescent="0.2">
      <c r="A382" s="3">
        <v>16</v>
      </c>
      <c r="B382" s="3"/>
      <c r="C382" s="13" t="s">
        <v>962</v>
      </c>
      <c r="D382" s="10" t="s">
        <v>152</v>
      </c>
      <c r="E382" s="10" t="s">
        <v>961</v>
      </c>
      <c r="F382" s="12"/>
      <c r="G382" s="12"/>
      <c r="H382" s="12"/>
      <c r="I382" s="12"/>
      <c r="J382" s="12"/>
    </row>
    <row r="383" spans="1:10" ht="24.75" customHeight="1" x14ac:dyDescent="0.2">
      <c r="B383" s="8" t="s">
        <v>4</v>
      </c>
      <c r="C383" s="9" t="s">
        <v>39</v>
      </c>
      <c r="D383" s="12"/>
      <c r="E383" s="12"/>
      <c r="F383" s="2" t="s">
        <v>0</v>
      </c>
      <c r="H383" s="12"/>
      <c r="I383" s="12"/>
      <c r="J383" s="2" t="s">
        <v>65</v>
      </c>
    </row>
    <row r="384" spans="1:10" ht="24.75" customHeight="1" x14ac:dyDescent="0.2">
      <c r="D384" s="6"/>
      <c r="E384" s="6"/>
      <c r="F384" s="12" t="s">
        <v>3</v>
      </c>
      <c r="G384" s="12"/>
      <c r="H384" s="12"/>
      <c r="I384" s="12"/>
      <c r="J384" s="12"/>
    </row>
    <row r="385" spans="1:10" ht="24.75" customHeight="1" x14ac:dyDescent="0.2">
      <c r="A385" s="3">
        <v>1</v>
      </c>
      <c r="B385" s="3"/>
      <c r="C385" s="13" t="s">
        <v>1039</v>
      </c>
      <c r="D385" s="10" t="s">
        <v>1038</v>
      </c>
      <c r="E385" s="10" t="s">
        <v>1037</v>
      </c>
      <c r="F385" s="12"/>
      <c r="G385" s="12"/>
      <c r="H385" s="12"/>
      <c r="I385" s="12"/>
      <c r="J385" s="12"/>
    </row>
    <row r="386" spans="1:10" ht="24.75" customHeight="1" x14ac:dyDescent="0.2">
      <c r="A386" s="3">
        <v>2</v>
      </c>
      <c r="B386" s="3"/>
      <c r="C386" s="13" t="s">
        <v>1036</v>
      </c>
      <c r="D386" s="10" t="s">
        <v>1035</v>
      </c>
      <c r="E386" s="10" t="s">
        <v>1034</v>
      </c>
      <c r="F386" s="12"/>
      <c r="G386" s="12"/>
      <c r="H386" s="12"/>
      <c r="I386" s="12"/>
      <c r="J386" s="12"/>
    </row>
    <row r="387" spans="1:10" ht="24.75" customHeight="1" x14ac:dyDescent="0.2">
      <c r="A387" s="3">
        <v>3</v>
      </c>
      <c r="B387" s="3"/>
      <c r="C387" s="13" t="s">
        <v>1033</v>
      </c>
      <c r="D387" s="10" t="s">
        <v>1032</v>
      </c>
      <c r="E387" s="10" t="s">
        <v>1031</v>
      </c>
      <c r="F387" s="12"/>
      <c r="G387" s="12"/>
      <c r="H387" s="12"/>
      <c r="I387" s="12"/>
      <c r="J387" s="12"/>
    </row>
    <row r="388" spans="1:10" ht="24.75" customHeight="1" x14ac:dyDescent="0.2">
      <c r="A388" s="3">
        <v>4</v>
      </c>
      <c r="B388" s="3"/>
      <c r="C388" s="13" t="s">
        <v>1030</v>
      </c>
      <c r="D388" s="10" t="s">
        <v>156</v>
      </c>
      <c r="E388" s="10" t="s">
        <v>886</v>
      </c>
      <c r="F388" s="12"/>
      <c r="G388" s="12"/>
      <c r="H388" s="12"/>
      <c r="I388" s="12"/>
      <c r="J388" s="12"/>
    </row>
    <row r="389" spans="1:10" ht="24.75" customHeight="1" x14ac:dyDescent="0.2">
      <c r="A389" s="3">
        <v>5</v>
      </c>
      <c r="B389" s="3"/>
      <c r="C389" s="13" t="s">
        <v>1029</v>
      </c>
      <c r="D389" s="10" t="s">
        <v>1028</v>
      </c>
      <c r="E389" s="10" t="s">
        <v>653</v>
      </c>
      <c r="F389" s="12"/>
      <c r="G389" s="12"/>
      <c r="H389" s="12"/>
      <c r="I389" s="12"/>
      <c r="J389" s="12"/>
    </row>
    <row r="390" spans="1:10" ht="24.75" customHeight="1" x14ac:dyDescent="0.2">
      <c r="A390" s="3">
        <v>6</v>
      </c>
      <c r="B390" s="3"/>
      <c r="C390" s="13" t="s">
        <v>1027</v>
      </c>
      <c r="D390" s="10" t="s">
        <v>160</v>
      </c>
      <c r="E390" s="10" t="s">
        <v>1026</v>
      </c>
      <c r="F390" s="12"/>
      <c r="G390" s="12"/>
      <c r="H390" s="12"/>
      <c r="I390" s="12"/>
      <c r="J390" s="12"/>
    </row>
    <row r="391" spans="1:10" ht="24.75" customHeight="1" x14ac:dyDescent="0.2">
      <c r="A391" s="3">
        <v>7</v>
      </c>
      <c r="B391" s="3"/>
      <c r="C391" s="13" t="s">
        <v>1025</v>
      </c>
      <c r="D391" s="10" t="s">
        <v>160</v>
      </c>
      <c r="E391" s="10" t="s">
        <v>1024</v>
      </c>
      <c r="F391" s="12"/>
      <c r="G391" s="12"/>
      <c r="H391" s="12"/>
      <c r="I391" s="12"/>
      <c r="J391" s="12"/>
    </row>
    <row r="392" spans="1:10" ht="24.75" customHeight="1" x14ac:dyDescent="0.2">
      <c r="A392" s="3">
        <v>8</v>
      </c>
      <c r="B392" s="3"/>
      <c r="C392" s="13" t="s">
        <v>1023</v>
      </c>
      <c r="D392" s="10" t="s">
        <v>1022</v>
      </c>
      <c r="E392" s="10" t="s">
        <v>1021</v>
      </c>
      <c r="F392" s="12"/>
      <c r="G392" s="12"/>
      <c r="H392" s="12"/>
      <c r="I392" s="12"/>
      <c r="J392" s="12"/>
    </row>
    <row r="393" spans="1:10" ht="24.75" customHeight="1" x14ac:dyDescent="0.2">
      <c r="A393" s="3">
        <v>9</v>
      </c>
      <c r="B393" s="3"/>
      <c r="C393" s="13" t="s">
        <v>1020</v>
      </c>
      <c r="D393" s="10" t="s">
        <v>1017</v>
      </c>
      <c r="E393" s="10" t="s">
        <v>1019</v>
      </c>
      <c r="F393" s="12"/>
      <c r="G393" s="12"/>
      <c r="H393" s="12"/>
      <c r="I393" s="12"/>
      <c r="J393" s="12"/>
    </row>
    <row r="394" spans="1:10" ht="24.75" customHeight="1" x14ac:dyDescent="0.2">
      <c r="A394" s="3">
        <v>10</v>
      </c>
      <c r="B394" s="3"/>
      <c r="C394" s="13" t="s">
        <v>1018</v>
      </c>
      <c r="D394" s="10" t="s">
        <v>1017</v>
      </c>
      <c r="E394" s="10" t="s">
        <v>1016</v>
      </c>
      <c r="F394" s="12"/>
      <c r="G394" s="12"/>
      <c r="H394" s="12"/>
      <c r="I394" s="12"/>
      <c r="J394" s="12"/>
    </row>
    <row r="395" spans="1:10" ht="24.75" customHeight="1" x14ac:dyDescent="0.2">
      <c r="A395" s="3">
        <v>11</v>
      </c>
      <c r="B395" s="3"/>
      <c r="C395" s="13" t="s">
        <v>1015</v>
      </c>
      <c r="D395" s="10" t="s">
        <v>1014</v>
      </c>
      <c r="E395" s="10" t="s">
        <v>1013</v>
      </c>
      <c r="F395" s="12"/>
      <c r="G395" s="12"/>
      <c r="H395" s="12"/>
      <c r="I395" s="12"/>
      <c r="J395" s="12"/>
    </row>
    <row r="396" spans="1:10" ht="24.75" customHeight="1" x14ac:dyDescent="0.2">
      <c r="A396" s="3">
        <v>12</v>
      </c>
      <c r="B396" s="3"/>
      <c r="C396" s="13" t="s">
        <v>1012</v>
      </c>
      <c r="D396" s="10" t="s">
        <v>1011</v>
      </c>
      <c r="E396" s="10" t="s">
        <v>1010</v>
      </c>
      <c r="F396" s="12"/>
      <c r="G396" s="12"/>
      <c r="H396" s="12"/>
      <c r="I396" s="12"/>
      <c r="J396" s="12"/>
    </row>
    <row r="397" spans="1:10" ht="24.75" customHeight="1" x14ac:dyDescent="0.2">
      <c r="A397" s="3">
        <v>13</v>
      </c>
      <c r="B397" s="3"/>
      <c r="C397" s="13" t="s">
        <v>1009</v>
      </c>
      <c r="D397" s="10" t="s">
        <v>1008</v>
      </c>
      <c r="E397" s="10" t="s">
        <v>1007</v>
      </c>
      <c r="F397" s="12"/>
      <c r="G397" s="12"/>
      <c r="H397" s="12"/>
      <c r="I397" s="12"/>
      <c r="J397" s="12"/>
    </row>
    <row r="398" spans="1:10" ht="24.75" customHeight="1" x14ac:dyDescent="0.2">
      <c r="A398" s="3">
        <v>14</v>
      </c>
      <c r="B398" s="3"/>
      <c r="C398" s="13" t="s">
        <v>1006</v>
      </c>
      <c r="D398" s="10" t="s">
        <v>106</v>
      </c>
      <c r="E398" s="10" t="s">
        <v>1005</v>
      </c>
      <c r="F398" s="12"/>
      <c r="G398" s="12"/>
      <c r="H398" s="12"/>
      <c r="I398" s="12"/>
      <c r="J398" s="12"/>
    </row>
    <row r="399" spans="1:10" ht="24.75" customHeight="1" x14ac:dyDescent="0.2">
      <c r="A399" s="3">
        <v>15</v>
      </c>
      <c r="B399" s="3"/>
      <c r="C399" s="13" t="s">
        <v>1004</v>
      </c>
      <c r="D399" s="10" t="s">
        <v>1003</v>
      </c>
      <c r="E399" s="10" t="s">
        <v>677</v>
      </c>
      <c r="F399" s="12"/>
      <c r="G399" s="12"/>
      <c r="H399" s="12"/>
      <c r="I399" s="12"/>
      <c r="J399" s="12"/>
    </row>
    <row r="400" spans="1:10" ht="24.75" customHeight="1" x14ac:dyDescent="0.2">
      <c r="A400" s="3">
        <v>16</v>
      </c>
      <c r="B400" s="3"/>
      <c r="C400" s="13" t="s">
        <v>1002</v>
      </c>
      <c r="D400" s="10" t="s">
        <v>1001</v>
      </c>
      <c r="E400" s="10" t="s">
        <v>1000</v>
      </c>
      <c r="F400" s="12"/>
      <c r="G400" s="12"/>
      <c r="H400" s="12"/>
      <c r="I400" s="12"/>
      <c r="J400" s="12"/>
    </row>
    <row r="401" spans="1:10" ht="24.75" customHeight="1" x14ac:dyDescent="0.2">
      <c r="B401" s="8" t="s">
        <v>4</v>
      </c>
      <c r="C401" s="9" t="s">
        <v>40</v>
      </c>
      <c r="D401" s="12"/>
      <c r="E401" s="12"/>
      <c r="F401" s="2" t="s">
        <v>0</v>
      </c>
      <c r="H401" s="12"/>
      <c r="I401" s="12"/>
      <c r="J401" s="2" t="s">
        <v>66</v>
      </c>
    </row>
    <row r="402" spans="1:10" ht="24.75" customHeight="1" x14ac:dyDescent="0.2">
      <c r="C402" s="9"/>
      <c r="D402" s="2"/>
      <c r="E402" s="2"/>
      <c r="F402" s="12" t="s">
        <v>3</v>
      </c>
      <c r="G402" s="12"/>
      <c r="H402" s="12"/>
      <c r="I402" s="12"/>
      <c r="J402" s="12"/>
    </row>
    <row r="403" spans="1:10" ht="24.75" customHeight="1" x14ac:dyDescent="0.2">
      <c r="A403" s="3">
        <v>1</v>
      </c>
      <c r="B403" s="3"/>
      <c r="C403" s="13" t="s">
        <v>1076</v>
      </c>
      <c r="D403" s="10" t="s">
        <v>1075</v>
      </c>
      <c r="E403" s="10" t="s">
        <v>1074</v>
      </c>
      <c r="F403" s="12"/>
      <c r="G403" s="12"/>
      <c r="H403" s="12"/>
      <c r="I403" s="12"/>
      <c r="J403" s="12"/>
    </row>
    <row r="404" spans="1:10" ht="24.75" customHeight="1" x14ac:dyDescent="0.2">
      <c r="A404" s="3">
        <v>2</v>
      </c>
      <c r="B404" s="3"/>
      <c r="C404" s="13" t="s">
        <v>1073</v>
      </c>
      <c r="D404" s="10" t="s">
        <v>1072</v>
      </c>
      <c r="E404" s="10" t="s">
        <v>1071</v>
      </c>
      <c r="F404" s="12"/>
      <c r="G404" s="12"/>
      <c r="H404" s="12"/>
      <c r="I404" s="12"/>
      <c r="J404" s="12"/>
    </row>
    <row r="405" spans="1:10" ht="24.75" customHeight="1" x14ac:dyDescent="0.2">
      <c r="A405" s="3">
        <v>3</v>
      </c>
      <c r="B405" s="3"/>
      <c r="C405" s="13" t="s">
        <v>1070</v>
      </c>
      <c r="D405" s="10" t="s">
        <v>131</v>
      </c>
      <c r="E405" s="10" t="s">
        <v>19</v>
      </c>
      <c r="F405" s="12"/>
      <c r="G405" s="12"/>
      <c r="H405" s="12"/>
      <c r="I405" s="12"/>
      <c r="J405" s="12"/>
    </row>
    <row r="406" spans="1:10" ht="24.75" customHeight="1" x14ac:dyDescent="0.2">
      <c r="A406" s="3">
        <v>4</v>
      </c>
      <c r="B406" s="3"/>
      <c r="C406" s="13" t="s">
        <v>1069</v>
      </c>
      <c r="D406" s="10" t="s">
        <v>1068</v>
      </c>
      <c r="E406" s="10" t="s">
        <v>376</v>
      </c>
      <c r="F406" s="12"/>
      <c r="G406" s="12"/>
      <c r="H406" s="12"/>
      <c r="I406" s="12"/>
      <c r="J406" s="12"/>
    </row>
    <row r="407" spans="1:10" ht="24.75" customHeight="1" x14ac:dyDescent="0.2">
      <c r="A407" s="3">
        <v>5</v>
      </c>
      <c r="B407" s="3"/>
      <c r="C407" s="13" t="s">
        <v>1067</v>
      </c>
      <c r="D407" s="10" t="s">
        <v>1064</v>
      </c>
      <c r="E407" s="10" t="s">
        <v>1066</v>
      </c>
      <c r="F407" s="12"/>
      <c r="G407" s="12"/>
      <c r="H407" s="12"/>
      <c r="I407" s="12"/>
      <c r="J407" s="12"/>
    </row>
    <row r="408" spans="1:10" ht="24.75" customHeight="1" x14ac:dyDescent="0.2">
      <c r="A408" s="3">
        <v>6</v>
      </c>
      <c r="B408" s="3"/>
      <c r="C408" s="13" t="s">
        <v>1065</v>
      </c>
      <c r="D408" s="10" t="s">
        <v>1064</v>
      </c>
      <c r="E408" s="10" t="s">
        <v>1063</v>
      </c>
      <c r="F408" s="12"/>
      <c r="G408" s="12"/>
      <c r="H408" s="12"/>
      <c r="I408" s="12"/>
      <c r="J408" s="12"/>
    </row>
    <row r="409" spans="1:10" ht="24.75" customHeight="1" x14ac:dyDescent="0.2">
      <c r="A409" s="3">
        <v>7</v>
      </c>
      <c r="B409" s="3"/>
      <c r="C409" s="13" t="s">
        <v>1062</v>
      </c>
      <c r="D409" s="10" t="s">
        <v>1060</v>
      </c>
      <c r="E409" s="10" t="s">
        <v>306</v>
      </c>
      <c r="F409" s="12"/>
      <c r="G409" s="12"/>
      <c r="H409" s="12"/>
      <c r="I409" s="12"/>
      <c r="J409" s="12"/>
    </row>
    <row r="410" spans="1:10" ht="24.75" customHeight="1" x14ac:dyDescent="0.2">
      <c r="A410" s="3">
        <v>8</v>
      </c>
      <c r="B410" s="3"/>
      <c r="C410" s="13" t="s">
        <v>1061</v>
      </c>
      <c r="D410" s="10" t="s">
        <v>1060</v>
      </c>
      <c r="E410" s="10" t="s">
        <v>1059</v>
      </c>
      <c r="F410" s="12"/>
      <c r="G410" s="12"/>
      <c r="H410" s="12"/>
      <c r="I410" s="12"/>
      <c r="J410" s="12"/>
    </row>
    <row r="411" spans="1:10" ht="24.75" customHeight="1" x14ac:dyDescent="0.2">
      <c r="A411" s="3">
        <v>9</v>
      </c>
      <c r="B411" s="3"/>
      <c r="C411" s="13" t="s">
        <v>1058</v>
      </c>
      <c r="D411" s="10" t="s">
        <v>1057</v>
      </c>
      <c r="E411" s="10" t="s">
        <v>1056</v>
      </c>
      <c r="F411" s="12"/>
      <c r="G411" s="12"/>
      <c r="H411" s="12"/>
      <c r="I411" s="12"/>
      <c r="J411" s="12"/>
    </row>
    <row r="412" spans="1:10" ht="24.75" customHeight="1" x14ac:dyDescent="0.2">
      <c r="A412" s="3">
        <v>10</v>
      </c>
      <c r="B412" s="3"/>
      <c r="C412" s="13" t="s">
        <v>1055</v>
      </c>
      <c r="D412" s="10" t="s">
        <v>1054</v>
      </c>
      <c r="E412" s="10" t="s">
        <v>1053</v>
      </c>
      <c r="F412" s="12"/>
      <c r="G412" s="12"/>
      <c r="H412" s="12"/>
      <c r="I412" s="12"/>
      <c r="J412" s="12"/>
    </row>
    <row r="413" spans="1:10" ht="24.75" customHeight="1" x14ac:dyDescent="0.2">
      <c r="A413" s="3">
        <v>11</v>
      </c>
      <c r="B413" s="3"/>
      <c r="C413" s="13" t="s">
        <v>1052</v>
      </c>
      <c r="D413" s="10" t="s">
        <v>1051</v>
      </c>
      <c r="E413" s="10" t="s">
        <v>1050</v>
      </c>
      <c r="F413" s="12"/>
      <c r="G413" s="12"/>
      <c r="H413" s="12"/>
      <c r="I413" s="12"/>
      <c r="J413" s="12"/>
    </row>
    <row r="414" spans="1:10" ht="24.75" customHeight="1" x14ac:dyDescent="0.2">
      <c r="A414" s="3">
        <v>12</v>
      </c>
      <c r="B414" s="3"/>
      <c r="C414" s="13" t="s">
        <v>1049</v>
      </c>
      <c r="D414" s="10" t="s">
        <v>1048</v>
      </c>
      <c r="E414" s="10" t="s">
        <v>1047</v>
      </c>
      <c r="F414" s="12"/>
      <c r="G414" s="12"/>
      <c r="H414" s="12"/>
      <c r="I414" s="12"/>
      <c r="J414" s="12"/>
    </row>
    <row r="415" spans="1:10" ht="24.75" customHeight="1" x14ac:dyDescent="0.2">
      <c r="A415" s="3">
        <v>13</v>
      </c>
      <c r="B415" s="3"/>
      <c r="C415" s="13" t="s">
        <v>1046</v>
      </c>
      <c r="D415" s="10" t="s">
        <v>1045</v>
      </c>
      <c r="E415" s="10" t="s">
        <v>1044</v>
      </c>
      <c r="F415" s="12"/>
      <c r="G415" s="12"/>
      <c r="H415" s="12"/>
      <c r="I415" s="12"/>
      <c r="J415" s="12"/>
    </row>
    <row r="416" spans="1:10" ht="24.75" customHeight="1" x14ac:dyDescent="0.2">
      <c r="A416" s="3">
        <v>14</v>
      </c>
      <c r="B416" s="3"/>
      <c r="C416" s="13" t="s">
        <v>1043</v>
      </c>
      <c r="D416" s="10" t="s">
        <v>161</v>
      </c>
      <c r="E416" s="10" t="s">
        <v>529</v>
      </c>
      <c r="F416" s="12"/>
      <c r="G416" s="12"/>
      <c r="H416" s="12"/>
      <c r="I416" s="12"/>
      <c r="J416" s="12"/>
    </row>
    <row r="417" spans="1:10" ht="24.75" customHeight="1" x14ac:dyDescent="0.2">
      <c r="A417" s="3">
        <v>15</v>
      </c>
      <c r="B417" s="3"/>
      <c r="C417" s="13" t="s">
        <v>1042</v>
      </c>
      <c r="D417" s="10" t="s">
        <v>112</v>
      </c>
      <c r="E417" s="10" t="s">
        <v>140</v>
      </c>
      <c r="F417" s="12"/>
      <c r="G417" s="12"/>
      <c r="H417" s="12"/>
      <c r="I417" s="12"/>
      <c r="J417" s="12"/>
    </row>
    <row r="418" spans="1:10" ht="24.75" customHeight="1" x14ac:dyDescent="0.2">
      <c r="A418" s="3">
        <v>16</v>
      </c>
      <c r="B418" s="3"/>
      <c r="C418" s="13" t="s">
        <v>1041</v>
      </c>
      <c r="D418" s="10" t="s">
        <v>107</v>
      </c>
      <c r="E418" s="10" t="s">
        <v>1040</v>
      </c>
      <c r="F418" s="12"/>
      <c r="G418" s="12"/>
      <c r="H418" s="12"/>
      <c r="I418" s="12"/>
      <c r="J418" s="12"/>
    </row>
    <row r="419" spans="1:10" ht="24.75" customHeight="1" x14ac:dyDescent="0.2">
      <c r="B419" s="8" t="s">
        <v>4</v>
      </c>
      <c r="C419" s="9" t="s">
        <v>41</v>
      </c>
      <c r="D419" s="12"/>
      <c r="E419" s="12"/>
      <c r="F419" s="2" t="s">
        <v>0</v>
      </c>
      <c r="H419" s="12"/>
      <c r="I419" s="12"/>
      <c r="J419" s="2" t="s">
        <v>67</v>
      </c>
    </row>
    <row r="420" spans="1:10" ht="24.75" customHeight="1" x14ac:dyDescent="0.2">
      <c r="D420" s="6"/>
      <c r="E420" s="6"/>
      <c r="F420" s="12" t="s">
        <v>3</v>
      </c>
      <c r="G420" s="12"/>
      <c r="H420" s="12"/>
      <c r="I420" s="12"/>
      <c r="J420" s="12"/>
    </row>
    <row r="421" spans="1:10" ht="24.75" customHeight="1" x14ac:dyDescent="0.2">
      <c r="A421" s="3">
        <v>1</v>
      </c>
      <c r="B421" s="3"/>
      <c r="C421" s="13" t="s">
        <v>1108</v>
      </c>
      <c r="D421" s="10" t="s">
        <v>107</v>
      </c>
      <c r="E421" s="10" t="s">
        <v>1107</v>
      </c>
      <c r="F421" s="12"/>
      <c r="G421" s="12"/>
      <c r="H421" s="12"/>
      <c r="I421" s="12"/>
      <c r="J421" s="12"/>
    </row>
    <row r="422" spans="1:10" ht="24.75" customHeight="1" x14ac:dyDescent="0.2">
      <c r="A422" s="3">
        <v>2</v>
      </c>
      <c r="B422" s="3"/>
      <c r="C422" s="13" t="s">
        <v>1106</v>
      </c>
      <c r="D422" s="10" t="s">
        <v>107</v>
      </c>
      <c r="E422" s="10" t="s">
        <v>1105</v>
      </c>
      <c r="F422" s="12"/>
      <c r="G422" s="12"/>
      <c r="H422" s="12"/>
      <c r="I422" s="12"/>
      <c r="J422" s="12"/>
    </row>
    <row r="423" spans="1:10" ht="24.75" customHeight="1" x14ac:dyDescent="0.2">
      <c r="A423" s="3">
        <v>3</v>
      </c>
      <c r="B423" s="3"/>
      <c r="C423" s="13" t="s">
        <v>1104</v>
      </c>
      <c r="D423" s="10" t="s">
        <v>1103</v>
      </c>
      <c r="E423" s="10" t="s">
        <v>1102</v>
      </c>
      <c r="F423" s="12"/>
      <c r="G423" s="12"/>
      <c r="H423" s="12"/>
      <c r="I423" s="12"/>
      <c r="J423" s="12"/>
    </row>
    <row r="424" spans="1:10" ht="24.75" customHeight="1" x14ac:dyDescent="0.2">
      <c r="A424" s="3">
        <v>4</v>
      </c>
      <c r="B424" s="3"/>
      <c r="C424" s="13" t="s">
        <v>1101</v>
      </c>
      <c r="D424" s="10" t="s">
        <v>1100</v>
      </c>
      <c r="E424" s="10" t="s">
        <v>1099</v>
      </c>
      <c r="F424" s="12"/>
      <c r="G424" s="12"/>
      <c r="H424" s="12"/>
      <c r="I424" s="12"/>
      <c r="J424" s="12"/>
    </row>
    <row r="425" spans="1:10" ht="24.75" customHeight="1" x14ac:dyDescent="0.2">
      <c r="A425" s="3">
        <v>5</v>
      </c>
      <c r="B425" s="3"/>
      <c r="C425" s="13" t="s">
        <v>1098</v>
      </c>
      <c r="D425" s="10" t="s">
        <v>1097</v>
      </c>
      <c r="E425" s="10" t="s">
        <v>1096</v>
      </c>
      <c r="F425" s="12"/>
      <c r="G425" s="12"/>
      <c r="H425" s="12"/>
      <c r="I425" s="12"/>
      <c r="J425" s="12"/>
    </row>
    <row r="426" spans="1:10" ht="24.75" customHeight="1" x14ac:dyDescent="0.2">
      <c r="A426" s="3">
        <v>6</v>
      </c>
      <c r="B426" s="3"/>
      <c r="C426" s="13" t="s">
        <v>1095</v>
      </c>
      <c r="D426" s="10" t="s">
        <v>1094</v>
      </c>
      <c r="E426" s="10" t="s">
        <v>1093</v>
      </c>
      <c r="F426" s="12"/>
      <c r="G426" s="12"/>
      <c r="H426" s="12"/>
      <c r="I426" s="12"/>
      <c r="J426" s="12"/>
    </row>
    <row r="427" spans="1:10" ht="24.75" customHeight="1" x14ac:dyDescent="0.2">
      <c r="A427" s="3">
        <v>7</v>
      </c>
      <c r="B427" s="3"/>
      <c r="C427" s="13" t="s">
        <v>1092</v>
      </c>
      <c r="D427" s="10" t="s">
        <v>1091</v>
      </c>
      <c r="E427" s="10" t="s">
        <v>18</v>
      </c>
      <c r="F427" s="12"/>
      <c r="G427" s="12"/>
      <c r="H427" s="12"/>
      <c r="I427" s="12"/>
      <c r="J427" s="12"/>
    </row>
    <row r="428" spans="1:10" ht="24.75" customHeight="1" x14ac:dyDescent="0.2">
      <c r="A428" s="3">
        <v>8</v>
      </c>
      <c r="B428" s="3"/>
      <c r="C428" s="13" t="s">
        <v>1090</v>
      </c>
      <c r="D428" s="10" t="s">
        <v>94</v>
      </c>
      <c r="E428" s="10" t="s">
        <v>1089</v>
      </c>
      <c r="F428" s="12"/>
      <c r="G428" s="12"/>
      <c r="H428" s="12"/>
      <c r="I428" s="12"/>
      <c r="J428" s="12"/>
    </row>
    <row r="429" spans="1:10" ht="24.75" customHeight="1" x14ac:dyDescent="0.2">
      <c r="A429" s="3">
        <v>9</v>
      </c>
      <c r="B429" s="3"/>
      <c r="C429" s="13" t="s">
        <v>245</v>
      </c>
      <c r="D429" s="10" t="s">
        <v>94</v>
      </c>
      <c r="E429" s="10" t="s">
        <v>648</v>
      </c>
      <c r="F429" s="12"/>
      <c r="G429" s="12"/>
      <c r="H429" s="12"/>
      <c r="I429" s="12"/>
      <c r="J429" s="12"/>
    </row>
    <row r="430" spans="1:10" ht="24.75" customHeight="1" x14ac:dyDescent="0.2">
      <c r="A430" s="3">
        <v>10</v>
      </c>
      <c r="B430" s="3"/>
      <c r="C430" s="13" t="s">
        <v>1088</v>
      </c>
      <c r="D430" s="10" t="s">
        <v>1087</v>
      </c>
      <c r="E430" s="10" t="s">
        <v>10</v>
      </c>
      <c r="F430" s="12"/>
      <c r="G430" s="12"/>
      <c r="H430" s="12"/>
      <c r="I430" s="12"/>
      <c r="J430" s="12"/>
    </row>
    <row r="431" spans="1:10" ht="24.75" customHeight="1" x14ac:dyDescent="0.2">
      <c r="A431" s="3">
        <v>11</v>
      </c>
      <c r="B431" s="3"/>
      <c r="C431" s="13" t="s">
        <v>1086</v>
      </c>
      <c r="D431" s="10" t="s">
        <v>86</v>
      </c>
      <c r="E431" s="10" t="s">
        <v>7</v>
      </c>
      <c r="F431" s="12"/>
      <c r="G431" s="12"/>
      <c r="H431" s="12"/>
      <c r="I431" s="12"/>
      <c r="J431" s="12"/>
    </row>
    <row r="432" spans="1:10" ht="24.75" customHeight="1" x14ac:dyDescent="0.2">
      <c r="A432" s="3">
        <v>12</v>
      </c>
      <c r="B432" s="3"/>
      <c r="C432" s="13" t="s">
        <v>1085</v>
      </c>
      <c r="D432" s="10" t="s">
        <v>86</v>
      </c>
      <c r="E432" s="10" t="s">
        <v>1084</v>
      </c>
      <c r="F432" s="12"/>
      <c r="G432" s="12"/>
      <c r="H432" s="12"/>
      <c r="I432" s="12"/>
      <c r="J432" s="12"/>
    </row>
    <row r="433" spans="1:10" ht="24.75" customHeight="1" x14ac:dyDescent="0.2">
      <c r="A433" s="3">
        <v>13</v>
      </c>
      <c r="B433" s="3"/>
      <c r="C433" s="13" t="s">
        <v>1083</v>
      </c>
      <c r="D433" s="10" t="s">
        <v>86</v>
      </c>
      <c r="E433" s="10" t="s">
        <v>1082</v>
      </c>
      <c r="F433" s="12"/>
      <c r="G433" s="12"/>
      <c r="H433" s="12"/>
      <c r="I433" s="12"/>
      <c r="J433" s="12"/>
    </row>
    <row r="434" spans="1:10" ht="24.75" customHeight="1" x14ac:dyDescent="0.2">
      <c r="A434" s="3">
        <v>14</v>
      </c>
      <c r="B434" s="3"/>
      <c r="C434" s="13" t="s">
        <v>1081</v>
      </c>
      <c r="D434" s="10" t="s">
        <v>86</v>
      </c>
      <c r="E434" s="10" t="s">
        <v>1080</v>
      </c>
      <c r="F434" s="12"/>
      <c r="G434" s="12"/>
      <c r="H434" s="12"/>
      <c r="I434" s="12"/>
      <c r="J434" s="12"/>
    </row>
    <row r="435" spans="1:10" ht="24.75" customHeight="1" x14ac:dyDescent="0.2">
      <c r="A435" s="3">
        <v>15</v>
      </c>
      <c r="B435" s="3"/>
      <c r="C435" s="13" t="s">
        <v>1079</v>
      </c>
      <c r="D435" s="10" t="s">
        <v>86</v>
      </c>
      <c r="E435" s="10" t="s">
        <v>93</v>
      </c>
      <c r="F435" s="12"/>
      <c r="G435" s="12"/>
      <c r="H435" s="12"/>
      <c r="I435" s="12"/>
      <c r="J435" s="12"/>
    </row>
    <row r="436" spans="1:10" ht="24.75" customHeight="1" x14ac:dyDescent="0.2">
      <c r="A436" s="3">
        <v>16</v>
      </c>
      <c r="B436" s="3"/>
      <c r="C436" s="13" t="s">
        <v>1078</v>
      </c>
      <c r="D436" s="10" t="s">
        <v>1077</v>
      </c>
      <c r="E436" s="10" t="s">
        <v>7</v>
      </c>
      <c r="F436" s="12"/>
      <c r="G436" s="12"/>
      <c r="H436" s="12"/>
      <c r="I436" s="12"/>
      <c r="J436" s="12"/>
    </row>
    <row r="437" spans="1:10" ht="24.75" customHeight="1" x14ac:dyDescent="0.2">
      <c r="B437" s="8" t="s">
        <v>4</v>
      </c>
      <c r="C437" s="9" t="s">
        <v>42</v>
      </c>
      <c r="D437" s="12"/>
      <c r="E437" s="12"/>
      <c r="F437" s="2" t="s">
        <v>0</v>
      </c>
      <c r="H437" s="12"/>
      <c r="I437" s="12"/>
      <c r="J437" s="2" t="s">
        <v>68</v>
      </c>
    </row>
    <row r="438" spans="1:10" ht="24.75" customHeight="1" x14ac:dyDescent="0.2">
      <c r="D438" s="6"/>
      <c r="E438" s="6"/>
      <c r="F438" s="12" t="s">
        <v>3</v>
      </c>
      <c r="G438" s="12"/>
      <c r="H438" s="12"/>
      <c r="I438" s="12"/>
      <c r="J438" s="12"/>
    </row>
    <row r="439" spans="1:10" ht="24.75" customHeight="1" x14ac:dyDescent="0.2">
      <c r="A439" s="3">
        <v>1</v>
      </c>
      <c r="B439" s="3"/>
      <c r="C439" s="13" t="s">
        <v>1149</v>
      </c>
      <c r="D439" s="10" t="s">
        <v>1148</v>
      </c>
      <c r="E439" s="10" t="s">
        <v>1147</v>
      </c>
      <c r="F439" s="12"/>
      <c r="G439" s="12"/>
      <c r="H439" s="12"/>
      <c r="I439" s="12"/>
      <c r="J439" s="12"/>
    </row>
    <row r="440" spans="1:10" ht="24.75" customHeight="1" x14ac:dyDescent="0.2">
      <c r="A440" s="3">
        <v>2</v>
      </c>
      <c r="B440" s="3"/>
      <c r="C440" s="13" t="s">
        <v>1146</v>
      </c>
      <c r="D440" s="10" t="s">
        <v>1145</v>
      </c>
      <c r="E440" s="10" t="s">
        <v>1144</v>
      </c>
      <c r="F440" s="12"/>
      <c r="G440" s="12"/>
      <c r="H440" s="12"/>
      <c r="I440" s="12"/>
      <c r="J440" s="12"/>
    </row>
    <row r="441" spans="1:10" ht="24.75" customHeight="1" x14ac:dyDescent="0.2">
      <c r="A441" s="3">
        <v>3</v>
      </c>
      <c r="B441" s="3"/>
      <c r="C441" s="13" t="s">
        <v>1143</v>
      </c>
      <c r="D441" s="10" t="s">
        <v>114</v>
      </c>
      <c r="E441" s="10" t="s">
        <v>1142</v>
      </c>
      <c r="F441" s="12"/>
      <c r="G441" s="12"/>
      <c r="H441" s="12"/>
      <c r="I441" s="12"/>
      <c r="J441" s="12"/>
    </row>
    <row r="442" spans="1:10" ht="24.75" customHeight="1" x14ac:dyDescent="0.2">
      <c r="A442" s="3">
        <v>4</v>
      </c>
      <c r="B442" s="3"/>
      <c r="C442" s="13" t="s">
        <v>1141</v>
      </c>
      <c r="D442" s="10" t="s">
        <v>114</v>
      </c>
      <c r="E442" s="10" t="s">
        <v>1140</v>
      </c>
      <c r="F442" s="12"/>
      <c r="G442" s="12"/>
      <c r="H442" s="12"/>
      <c r="I442" s="12"/>
      <c r="J442" s="12"/>
    </row>
    <row r="443" spans="1:10" ht="24.75" customHeight="1" x14ac:dyDescent="0.2">
      <c r="A443" s="3">
        <v>5</v>
      </c>
      <c r="B443" s="3"/>
      <c r="C443" s="13" t="s">
        <v>1139</v>
      </c>
      <c r="D443" s="10" t="s">
        <v>114</v>
      </c>
      <c r="E443" s="10" t="s">
        <v>1138</v>
      </c>
      <c r="F443" s="12"/>
      <c r="G443" s="12"/>
      <c r="H443" s="12"/>
      <c r="I443" s="12"/>
      <c r="J443" s="12"/>
    </row>
    <row r="444" spans="1:10" ht="24.75" customHeight="1" x14ac:dyDescent="0.2">
      <c r="A444" s="3">
        <v>6</v>
      </c>
      <c r="B444" s="3"/>
      <c r="C444" s="13" t="s">
        <v>1137</v>
      </c>
      <c r="D444" s="10" t="s">
        <v>1136</v>
      </c>
      <c r="E444" s="10" t="s">
        <v>1135</v>
      </c>
      <c r="F444" s="12"/>
      <c r="G444" s="12"/>
      <c r="H444" s="12"/>
      <c r="I444" s="12"/>
      <c r="J444" s="12"/>
    </row>
    <row r="445" spans="1:10" ht="24.75" customHeight="1" x14ac:dyDescent="0.2">
      <c r="A445" s="3">
        <v>7</v>
      </c>
      <c r="B445" s="3"/>
      <c r="C445" s="13" t="s">
        <v>1134</v>
      </c>
      <c r="D445" s="10" t="s">
        <v>1133</v>
      </c>
      <c r="E445" s="10" t="s">
        <v>585</v>
      </c>
      <c r="F445" s="12"/>
      <c r="G445" s="12"/>
      <c r="H445" s="12"/>
      <c r="I445" s="12"/>
      <c r="J445" s="12"/>
    </row>
    <row r="446" spans="1:10" ht="24.75" customHeight="1" x14ac:dyDescent="0.2">
      <c r="A446" s="3">
        <v>8</v>
      </c>
      <c r="B446" s="3"/>
      <c r="C446" s="13" t="s">
        <v>1132</v>
      </c>
      <c r="D446" s="10" t="s">
        <v>1131</v>
      </c>
      <c r="E446" s="10" t="s">
        <v>1130</v>
      </c>
      <c r="F446" s="12"/>
      <c r="G446" s="12"/>
      <c r="H446" s="12"/>
      <c r="I446" s="12"/>
      <c r="J446" s="12"/>
    </row>
    <row r="447" spans="1:10" ht="24.75" customHeight="1" x14ac:dyDescent="0.2">
      <c r="A447" s="3">
        <v>9</v>
      </c>
      <c r="B447" s="3"/>
      <c r="C447" s="13" t="s">
        <v>1129</v>
      </c>
      <c r="D447" s="10" t="s">
        <v>1128</v>
      </c>
      <c r="E447" s="10" t="s">
        <v>1127</v>
      </c>
      <c r="F447" s="12"/>
      <c r="G447" s="12"/>
      <c r="H447" s="12"/>
      <c r="I447" s="12"/>
      <c r="J447" s="12"/>
    </row>
    <row r="448" spans="1:10" ht="24.75" customHeight="1" x14ac:dyDescent="0.2">
      <c r="A448" s="3">
        <v>10</v>
      </c>
      <c r="B448" s="3"/>
      <c r="C448" s="13" t="s">
        <v>1126</v>
      </c>
      <c r="D448" s="10" t="s">
        <v>1125</v>
      </c>
      <c r="E448" s="10" t="s">
        <v>1124</v>
      </c>
      <c r="F448" s="12"/>
      <c r="G448" s="12"/>
      <c r="H448" s="12"/>
      <c r="I448" s="12"/>
      <c r="J448" s="12"/>
    </row>
    <row r="449" spans="1:10" ht="24.75" customHeight="1" x14ac:dyDescent="0.2">
      <c r="A449" s="3">
        <v>11</v>
      </c>
      <c r="B449" s="3"/>
      <c r="C449" s="13" t="s">
        <v>1123</v>
      </c>
      <c r="D449" s="10" t="s">
        <v>103</v>
      </c>
      <c r="E449" s="10" t="s">
        <v>143</v>
      </c>
      <c r="F449" s="12"/>
      <c r="G449" s="12"/>
      <c r="H449" s="12"/>
      <c r="I449" s="12"/>
      <c r="J449" s="12"/>
    </row>
    <row r="450" spans="1:10" ht="24.75" customHeight="1" x14ac:dyDescent="0.2">
      <c r="A450" s="3">
        <v>12</v>
      </c>
      <c r="B450" s="3"/>
      <c r="C450" s="13" t="s">
        <v>1122</v>
      </c>
      <c r="D450" s="10" t="s">
        <v>1121</v>
      </c>
      <c r="E450" s="10" t="s">
        <v>1005</v>
      </c>
      <c r="F450" s="12"/>
      <c r="G450" s="12"/>
      <c r="H450" s="12"/>
      <c r="I450" s="12"/>
      <c r="J450" s="12"/>
    </row>
    <row r="451" spans="1:10" ht="24.75" customHeight="1" x14ac:dyDescent="0.2">
      <c r="A451" s="3">
        <v>13</v>
      </c>
      <c r="B451" s="3"/>
      <c r="C451" s="13" t="s">
        <v>1120</v>
      </c>
      <c r="D451" s="10" t="s">
        <v>1119</v>
      </c>
      <c r="E451" s="10" t="s">
        <v>1118</v>
      </c>
      <c r="F451" s="12"/>
      <c r="G451" s="12"/>
      <c r="H451" s="12"/>
      <c r="I451" s="12"/>
      <c r="J451" s="12"/>
    </row>
    <row r="452" spans="1:10" ht="24.75" customHeight="1" x14ac:dyDescent="0.2">
      <c r="A452" s="3">
        <v>14</v>
      </c>
      <c r="B452" s="3"/>
      <c r="C452" s="13" t="s">
        <v>1117</v>
      </c>
      <c r="D452" s="10" t="s">
        <v>1116</v>
      </c>
      <c r="E452" s="10" t="s">
        <v>1115</v>
      </c>
      <c r="F452" s="12"/>
      <c r="G452" s="12"/>
      <c r="H452" s="12"/>
      <c r="I452" s="12"/>
      <c r="J452" s="12"/>
    </row>
    <row r="453" spans="1:10" ht="24.75" customHeight="1" x14ac:dyDescent="0.2">
      <c r="A453" s="3">
        <v>15</v>
      </c>
      <c r="B453" s="3"/>
      <c r="C453" s="13" t="s">
        <v>1114</v>
      </c>
      <c r="D453" s="10" t="s">
        <v>1113</v>
      </c>
      <c r="E453" s="10" t="s">
        <v>1112</v>
      </c>
      <c r="F453" s="12"/>
      <c r="G453" s="12"/>
      <c r="H453" s="12"/>
      <c r="I453" s="12"/>
      <c r="J453" s="12"/>
    </row>
    <row r="454" spans="1:10" ht="24.75" customHeight="1" x14ac:dyDescent="0.2">
      <c r="A454" s="3">
        <v>16</v>
      </c>
      <c r="B454" s="3"/>
      <c r="C454" s="13" t="s">
        <v>1111</v>
      </c>
      <c r="D454" s="10" t="s">
        <v>1110</v>
      </c>
      <c r="E454" s="10" t="s">
        <v>1109</v>
      </c>
      <c r="F454" s="12"/>
      <c r="G454" s="12"/>
      <c r="H454" s="12"/>
      <c r="I454" s="12"/>
      <c r="J454" s="12"/>
    </row>
    <row r="455" spans="1:10" ht="24.75" customHeight="1" x14ac:dyDescent="0.2">
      <c r="B455" s="8" t="s">
        <v>4</v>
      </c>
      <c r="C455" s="5" t="s">
        <v>43</v>
      </c>
      <c r="D455" s="12"/>
      <c r="E455" s="12"/>
      <c r="F455" s="2" t="s">
        <v>0</v>
      </c>
      <c r="H455" s="12"/>
      <c r="I455" s="12"/>
      <c r="J455" s="2" t="s">
        <v>69</v>
      </c>
    </row>
    <row r="456" spans="1:10" ht="24.75" customHeight="1" x14ac:dyDescent="0.2">
      <c r="D456" s="6"/>
      <c r="E456" s="6"/>
      <c r="F456" s="12" t="s">
        <v>3</v>
      </c>
      <c r="G456" s="12"/>
      <c r="H456" s="12"/>
      <c r="I456" s="12"/>
      <c r="J456" s="12"/>
    </row>
    <row r="457" spans="1:10" ht="24.75" customHeight="1" x14ac:dyDescent="0.2">
      <c r="A457" s="3">
        <v>1</v>
      </c>
      <c r="B457" s="3"/>
      <c r="C457" s="13" t="s">
        <v>1192</v>
      </c>
      <c r="D457" s="10" t="s">
        <v>1191</v>
      </c>
      <c r="E457" s="10" t="s">
        <v>6</v>
      </c>
      <c r="F457" s="12"/>
      <c r="G457" s="12"/>
      <c r="H457" s="12"/>
      <c r="I457" s="12"/>
      <c r="J457" s="12"/>
    </row>
    <row r="458" spans="1:10" ht="24.75" customHeight="1" x14ac:dyDescent="0.2">
      <c r="A458" s="3">
        <v>2</v>
      </c>
      <c r="B458" s="3"/>
      <c r="C458" s="13" t="s">
        <v>1190</v>
      </c>
      <c r="D458" s="10" t="s">
        <v>1187</v>
      </c>
      <c r="E458" s="10" t="s">
        <v>1189</v>
      </c>
      <c r="F458" s="12"/>
      <c r="G458" s="12"/>
      <c r="H458" s="12"/>
      <c r="I458" s="12"/>
      <c r="J458" s="12"/>
    </row>
    <row r="459" spans="1:10" ht="24.75" customHeight="1" x14ac:dyDescent="0.2">
      <c r="A459" s="3">
        <v>3</v>
      </c>
      <c r="B459" s="3"/>
      <c r="C459" s="13" t="s">
        <v>1188</v>
      </c>
      <c r="D459" s="10" t="s">
        <v>1187</v>
      </c>
      <c r="E459" s="10" t="s">
        <v>1186</v>
      </c>
      <c r="F459" s="12"/>
      <c r="G459" s="12"/>
      <c r="H459" s="12"/>
      <c r="I459" s="12"/>
      <c r="J459" s="12"/>
    </row>
    <row r="460" spans="1:10" ht="24.75" customHeight="1" x14ac:dyDescent="0.2">
      <c r="A460" s="3">
        <v>4</v>
      </c>
      <c r="B460" s="3"/>
      <c r="C460" s="13" t="s">
        <v>1185</v>
      </c>
      <c r="D460" s="10" t="s">
        <v>1184</v>
      </c>
      <c r="E460" s="10" t="s">
        <v>1183</v>
      </c>
      <c r="F460" s="12"/>
      <c r="G460" s="12"/>
      <c r="H460" s="12"/>
      <c r="I460" s="12"/>
      <c r="J460" s="12"/>
    </row>
    <row r="461" spans="1:10" ht="24.75" customHeight="1" x14ac:dyDescent="0.2">
      <c r="A461" s="3">
        <v>5</v>
      </c>
      <c r="B461" s="3"/>
      <c r="C461" s="13" t="s">
        <v>1182</v>
      </c>
      <c r="D461" s="10" t="s">
        <v>1181</v>
      </c>
      <c r="E461" s="10" t="s">
        <v>1180</v>
      </c>
      <c r="F461" s="12"/>
      <c r="G461" s="12"/>
      <c r="H461" s="12"/>
      <c r="I461" s="12"/>
      <c r="J461" s="12"/>
    </row>
    <row r="462" spans="1:10" ht="24.75" customHeight="1" x14ac:dyDescent="0.2">
      <c r="A462" s="3">
        <v>6</v>
      </c>
      <c r="B462" s="3"/>
      <c r="C462" s="13" t="s">
        <v>1179</v>
      </c>
      <c r="D462" s="10" t="s">
        <v>1178</v>
      </c>
      <c r="E462" s="10" t="s">
        <v>1177</v>
      </c>
      <c r="F462" s="12"/>
      <c r="G462" s="12"/>
      <c r="H462" s="12"/>
      <c r="I462" s="12"/>
      <c r="J462" s="12"/>
    </row>
    <row r="463" spans="1:10" ht="24.75" customHeight="1" x14ac:dyDescent="0.2">
      <c r="A463" s="3">
        <v>7</v>
      </c>
      <c r="B463" s="3"/>
      <c r="C463" s="13" t="s">
        <v>1176</v>
      </c>
      <c r="D463" s="10" t="s">
        <v>1175</v>
      </c>
      <c r="E463" s="10" t="s">
        <v>1174</v>
      </c>
      <c r="F463" s="12"/>
      <c r="G463" s="12"/>
      <c r="H463" s="12"/>
      <c r="I463" s="12"/>
      <c r="J463" s="12"/>
    </row>
    <row r="464" spans="1:10" ht="24.75" customHeight="1" x14ac:dyDescent="0.2">
      <c r="A464" s="3">
        <v>8</v>
      </c>
      <c r="B464" s="3"/>
      <c r="C464" s="13" t="s">
        <v>1173</v>
      </c>
      <c r="D464" s="10" t="s">
        <v>1172</v>
      </c>
      <c r="E464" s="10" t="s">
        <v>1171</v>
      </c>
      <c r="F464" s="12"/>
      <c r="G464" s="12"/>
      <c r="H464" s="12"/>
      <c r="I464" s="12"/>
      <c r="J464" s="12"/>
    </row>
    <row r="465" spans="1:10" ht="24.75" customHeight="1" x14ac:dyDescent="0.2">
      <c r="A465" s="3">
        <v>9</v>
      </c>
      <c r="B465" s="3"/>
      <c r="C465" s="13" t="s">
        <v>1170</v>
      </c>
      <c r="D465" s="10" t="s">
        <v>1167</v>
      </c>
      <c r="E465" s="10" t="s">
        <v>1169</v>
      </c>
      <c r="F465" s="12"/>
      <c r="G465" s="12"/>
      <c r="H465" s="12"/>
      <c r="I465" s="12"/>
      <c r="J465" s="12"/>
    </row>
    <row r="466" spans="1:10" ht="24.75" customHeight="1" x14ac:dyDescent="0.2">
      <c r="A466" s="3">
        <v>10</v>
      </c>
      <c r="B466" s="3"/>
      <c r="C466" s="13" t="s">
        <v>1168</v>
      </c>
      <c r="D466" s="10" t="s">
        <v>1167</v>
      </c>
      <c r="E466" s="10" t="s">
        <v>1166</v>
      </c>
      <c r="F466" s="12"/>
      <c r="G466" s="12"/>
      <c r="H466" s="12"/>
      <c r="I466" s="12"/>
      <c r="J466" s="12"/>
    </row>
    <row r="467" spans="1:10" ht="24.75" customHeight="1" x14ac:dyDescent="0.2">
      <c r="A467" s="3">
        <v>11</v>
      </c>
      <c r="B467" s="3"/>
      <c r="C467" s="13" t="s">
        <v>1165</v>
      </c>
      <c r="D467" s="10" t="s">
        <v>1164</v>
      </c>
      <c r="E467" s="10" t="s">
        <v>1163</v>
      </c>
      <c r="F467" s="12"/>
      <c r="G467" s="12"/>
      <c r="H467" s="12"/>
      <c r="I467" s="12"/>
      <c r="J467" s="12"/>
    </row>
    <row r="468" spans="1:10" ht="24.75" customHeight="1" x14ac:dyDescent="0.2">
      <c r="A468" s="3">
        <v>12</v>
      </c>
      <c r="B468" s="3"/>
      <c r="C468" s="13" t="s">
        <v>1162</v>
      </c>
      <c r="D468" s="10" t="s">
        <v>1161</v>
      </c>
      <c r="E468" s="10" t="s">
        <v>1160</v>
      </c>
      <c r="F468" s="12"/>
      <c r="G468" s="12"/>
      <c r="H468" s="12"/>
      <c r="I468" s="12"/>
      <c r="J468" s="12"/>
    </row>
    <row r="469" spans="1:10" ht="24.75" customHeight="1" x14ac:dyDescent="0.2">
      <c r="A469" s="3">
        <v>13</v>
      </c>
      <c r="B469" s="3"/>
      <c r="C469" s="13" t="s">
        <v>1159</v>
      </c>
      <c r="D469" s="10" t="s">
        <v>1158</v>
      </c>
      <c r="E469" s="10" t="s">
        <v>1157</v>
      </c>
      <c r="F469" s="12"/>
      <c r="G469" s="12"/>
      <c r="H469" s="12"/>
      <c r="I469" s="12"/>
      <c r="J469" s="12"/>
    </row>
    <row r="470" spans="1:10" ht="24.75" customHeight="1" x14ac:dyDescent="0.2">
      <c r="A470" s="3">
        <v>14</v>
      </c>
      <c r="B470" s="3"/>
      <c r="C470" s="13" t="s">
        <v>1156</v>
      </c>
      <c r="D470" s="10" t="s">
        <v>1155</v>
      </c>
      <c r="E470" s="10" t="s">
        <v>18</v>
      </c>
      <c r="F470" s="12"/>
      <c r="G470" s="12"/>
      <c r="H470" s="12"/>
      <c r="I470" s="12"/>
      <c r="J470" s="12"/>
    </row>
    <row r="471" spans="1:10" ht="24.75" customHeight="1" x14ac:dyDescent="0.2">
      <c r="A471" s="3">
        <v>15</v>
      </c>
      <c r="B471" s="3"/>
      <c r="C471" s="13" t="s">
        <v>1154</v>
      </c>
      <c r="D471" s="10" t="s">
        <v>1153</v>
      </c>
      <c r="E471" s="10" t="s">
        <v>248</v>
      </c>
      <c r="F471" s="12"/>
      <c r="G471" s="12"/>
      <c r="H471" s="12"/>
      <c r="I471" s="12"/>
      <c r="J471" s="12"/>
    </row>
    <row r="472" spans="1:10" ht="24.75" customHeight="1" x14ac:dyDescent="0.2">
      <c r="A472" s="3">
        <v>16</v>
      </c>
      <c r="B472" s="3"/>
      <c r="C472" s="13" t="s">
        <v>1152</v>
      </c>
      <c r="D472" s="10" t="s">
        <v>1151</v>
      </c>
      <c r="E472" s="10" t="s">
        <v>1150</v>
      </c>
      <c r="F472" s="12"/>
      <c r="G472" s="12"/>
      <c r="H472" s="12"/>
      <c r="I472" s="12"/>
      <c r="J472" s="12"/>
    </row>
    <row r="473" spans="1:10" ht="24.75" customHeight="1" x14ac:dyDescent="0.2">
      <c r="B473" s="8" t="s">
        <v>4</v>
      </c>
      <c r="C473" s="5" t="s">
        <v>44</v>
      </c>
      <c r="D473" s="12"/>
      <c r="E473" s="12"/>
      <c r="F473" s="2" t="s">
        <v>0</v>
      </c>
      <c r="H473" s="12"/>
      <c r="I473" s="12"/>
      <c r="J473" s="2" t="s">
        <v>70</v>
      </c>
    </row>
    <row r="474" spans="1:10" ht="24.75" customHeight="1" x14ac:dyDescent="0.2">
      <c r="D474" s="6"/>
      <c r="E474" s="6"/>
      <c r="F474" s="12" t="s">
        <v>3</v>
      </c>
      <c r="G474" s="12"/>
      <c r="H474" s="12"/>
      <c r="I474" s="12"/>
      <c r="J474" s="12"/>
    </row>
    <row r="475" spans="1:10" ht="24.75" customHeight="1" x14ac:dyDescent="0.2">
      <c r="A475" s="3">
        <v>1</v>
      </c>
      <c r="B475" s="3"/>
      <c r="C475" s="13" t="s">
        <v>1233</v>
      </c>
      <c r="D475" s="10" t="s">
        <v>142</v>
      </c>
      <c r="E475" s="10" t="s">
        <v>1232</v>
      </c>
      <c r="F475" s="12"/>
      <c r="G475" s="12"/>
      <c r="H475" s="12"/>
      <c r="I475" s="12"/>
      <c r="J475" s="12"/>
    </row>
    <row r="476" spans="1:10" ht="24.75" customHeight="1" x14ac:dyDescent="0.2">
      <c r="A476" s="3">
        <v>2</v>
      </c>
      <c r="B476" s="3"/>
      <c r="C476" s="13" t="s">
        <v>1231</v>
      </c>
      <c r="D476" s="10" t="s">
        <v>1230</v>
      </c>
      <c r="E476" s="10" t="s">
        <v>1229</v>
      </c>
      <c r="F476" s="12"/>
      <c r="G476" s="12"/>
      <c r="H476" s="12"/>
      <c r="I476" s="12"/>
      <c r="J476" s="12"/>
    </row>
    <row r="477" spans="1:10" ht="24.75" customHeight="1" x14ac:dyDescent="0.2">
      <c r="A477" s="3">
        <v>3</v>
      </c>
      <c r="B477" s="3"/>
      <c r="C477" s="13" t="s">
        <v>1228</v>
      </c>
      <c r="D477" s="10" t="s">
        <v>1227</v>
      </c>
      <c r="E477" s="10" t="s">
        <v>1226</v>
      </c>
      <c r="F477" s="12"/>
      <c r="G477" s="12"/>
      <c r="H477" s="12"/>
      <c r="I477" s="12"/>
      <c r="J477" s="12"/>
    </row>
    <row r="478" spans="1:10" ht="24.75" customHeight="1" x14ac:dyDescent="0.2">
      <c r="A478" s="3">
        <v>4</v>
      </c>
      <c r="B478" s="3"/>
      <c r="C478" s="13" t="s">
        <v>1225</v>
      </c>
      <c r="D478" s="10" t="s">
        <v>1224</v>
      </c>
      <c r="E478" s="10" t="s">
        <v>1223</v>
      </c>
      <c r="F478" s="12"/>
      <c r="G478" s="12"/>
      <c r="H478" s="12"/>
      <c r="I478" s="12"/>
      <c r="J478" s="12"/>
    </row>
    <row r="479" spans="1:10" ht="24.75" customHeight="1" x14ac:dyDescent="0.2">
      <c r="A479" s="3">
        <v>5</v>
      </c>
      <c r="B479" s="3"/>
      <c r="C479" s="13" t="s">
        <v>1222</v>
      </c>
      <c r="D479" s="10" t="s">
        <v>1221</v>
      </c>
      <c r="E479" s="10" t="s">
        <v>1220</v>
      </c>
      <c r="F479" s="12"/>
      <c r="G479" s="12"/>
      <c r="H479" s="12"/>
      <c r="I479" s="12"/>
      <c r="J479" s="12"/>
    </row>
    <row r="480" spans="1:10" ht="24.75" customHeight="1" x14ac:dyDescent="0.2">
      <c r="A480" s="3">
        <v>6</v>
      </c>
      <c r="B480" s="3"/>
      <c r="C480" s="13" t="s">
        <v>1219</v>
      </c>
      <c r="D480" s="10" t="s">
        <v>1218</v>
      </c>
      <c r="E480" s="10" t="s">
        <v>1217</v>
      </c>
      <c r="F480" s="12"/>
      <c r="G480" s="12"/>
      <c r="H480" s="12"/>
      <c r="I480" s="12"/>
      <c r="J480" s="12"/>
    </row>
    <row r="481" spans="1:10" ht="24.75" customHeight="1" x14ac:dyDescent="0.2">
      <c r="A481" s="3">
        <v>7</v>
      </c>
      <c r="B481" s="3"/>
      <c r="C481" s="13" t="s">
        <v>1216</v>
      </c>
      <c r="D481" s="10" t="s">
        <v>1215</v>
      </c>
      <c r="E481" s="10" t="s">
        <v>1214</v>
      </c>
      <c r="F481" s="12"/>
      <c r="G481" s="12"/>
      <c r="H481" s="12"/>
      <c r="I481" s="12"/>
      <c r="J481" s="12"/>
    </row>
    <row r="482" spans="1:10" ht="24.75" customHeight="1" x14ac:dyDescent="0.2">
      <c r="A482" s="3">
        <v>8</v>
      </c>
      <c r="B482" s="3"/>
      <c r="C482" s="13" t="s">
        <v>1213</v>
      </c>
      <c r="D482" s="10" t="s">
        <v>113</v>
      </c>
      <c r="E482" s="10" t="s">
        <v>1212</v>
      </c>
      <c r="F482" s="12"/>
      <c r="G482" s="12"/>
      <c r="H482" s="12"/>
      <c r="I482" s="12"/>
      <c r="J482" s="12"/>
    </row>
    <row r="483" spans="1:10" ht="24.75" customHeight="1" x14ac:dyDescent="0.2">
      <c r="A483" s="3">
        <v>9</v>
      </c>
      <c r="B483" s="3"/>
      <c r="C483" s="13" t="s">
        <v>1211</v>
      </c>
      <c r="D483" s="10" t="s">
        <v>1210</v>
      </c>
      <c r="E483" s="10" t="s">
        <v>1209</v>
      </c>
      <c r="F483" s="12"/>
      <c r="G483" s="12"/>
      <c r="H483" s="12"/>
      <c r="I483" s="12"/>
      <c r="J483" s="12"/>
    </row>
    <row r="484" spans="1:10" ht="24.75" customHeight="1" x14ac:dyDescent="0.2">
      <c r="A484" s="3">
        <v>10</v>
      </c>
      <c r="B484" s="3"/>
      <c r="C484" s="13" t="s">
        <v>1208</v>
      </c>
      <c r="D484" s="10" t="s">
        <v>1207</v>
      </c>
      <c r="E484" s="10" t="s">
        <v>1206</v>
      </c>
      <c r="F484" s="12"/>
      <c r="G484" s="12"/>
      <c r="H484" s="12"/>
      <c r="I484" s="12"/>
      <c r="J484" s="12"/>
    </row>
    <row r="485" spans="1:10" ht="24.75" customHeight="1" x14ac:dyDescent="0.2">
      <c r="A485" s="3">
        <v>11</v>
      </c>
      <c r="B485" s="3"/>
      <c r="C485" s="13" t="s">
        <v>1205</v>
      </c>
      <c r="D485" s="10" t="s">
        <v>1204</v>
      </c>
      <c r="E485" s="10" t="s">
        <v>19</v>
      </c>
      <c r="F485" s="12"/>
      <c r="G485" s="12"/>
      <c r="H485" s="12"/>
      <c r="I485" s="12"/>
      <c r="J485" s="12"/>
    </row>
    <row r="486" spans="1:10" ht="24.75" customHeight="1" x14ac:dyDescent="0.2">
      <c r="A486" s="3">
        <v>12</v>
      </c>
      <c r="B486" s="3"/>
      <c r="C486" s="13" t="s">
        <v>1203</v>
      </c>
      <c r="D486" s="10" t="s">
        <v>83</v>
      </c>
      <c r="E486" s="10" t="s">
        <v>1202</v>
      </c>
      <c r="F486" s="12"/>
      <c r="G486" s="12"/>
      <c r="H486" s="12"/>
      <c r="I486" s="12"/>
      <c r="J486" s="12"/>
    </row>
    <row r="487" spans="1:10" ht="24.75" customHeight="1" x14ac:dyDescent="0.2">
      <c r="A487" s="3">
        <v>13</v>
      </c>
      <c r="B487" s="3"/>
      <c r="C487" s="13" t="s">
        <v>1201</v>
      </c>
      <c r="D487" s="10" t="s">
        <v>83</v>
      </c>
      <c r="E487" s="10" t="s">
        <v>1200</v>
      </c>
      <c r="F487" s="12"/>
      <c r="G487" s="12"/>
      <c r="H487" s="12"/>
      <c r="I487" s="12"/>
      <c r="J487" s="12"/>
    </row>
    <row r="488" spans="1:10" ht="24.75" customHeight="1" x14ac:dyDescent="0.2">
      <c r="A488" s="3">
        <v>14</v>
      </c>
      <c r="B488" s="3"/>
      <c r="C488" s="13" t="s">
        <v>1199</v>
      </c>
      <c r="D488" s="10" t="s">
        <v>83</v>
      </c>
      <c r="E488" s="10" t="s">
        <v>19</v>
      </c>
      <c r="F488" s="12"/>
      <c r="G488" s="12"/>
      <c r="H488" s="12"/>
      <c r="I488" s="12"/>
      <c r="J488" s="12"/>
    </row>
    <row r="489" spans="1:10" ht="24.75" customHeight="1" x14ac:dyDescent="0.2">
      <c r="A489" s="3">
        <v>15</v>
      </c>
      <c r="B489" s="3"/>
      <c r="C489" s="13" t="s">
        <v>1198</v>
      </c>
      <c r="D489" s="10" t="s">
        <v>1197</v>
      </c>
      <c r="E489" s="10" t="s">
        <v>1196</v>
      </c>
      <c r="F489" s="12"/>
      <c r="G489" s="12"/>
      <c r="H489" s="12"/>
      <c r="I489" s="12"/>
      <c r="J489" s="12"/>
    </row>
    <row r="490" spans="1:10" ht="24.75" customHeight="1" x14ac:dyDescent="0.2">
      <c r="A490" s="3">
        <v>16</v>
      </c>
      <c r="B490" s="3"/>
      <c r="C490" s="13" t="s">
        <v>1195</v>
      </c>
      <c r="D490" s="10" t="s">
        <v>1194</v>
      </c>
      <c r="E490" s="10" t="s">
        <v>1193</v>
      </c>
      <c r="F490" s="12"/>
      <c r="G490" s="12"/>
      <c r="H490" s="12"/>
      <c r="I490" s="12"/>
      <c r="J490" s="12"/>
    </row>
    <row r="491" spans="1:10" ht="24.75" customHeight="1" x14ac:dyDescent="0.2">
      <c r="B491" s="8" t="s">
        <v>4</v>
      </c>
      <c r="C491" s="5" t="s">
        <v>45</v>
      </c>
      <c r="D491" s="12"/>
      <c r="E491" s="12"/>
      <c r="F491" s="2" t="s">
        <v>0</v>
      </c>
      <c r="H491" s="12"/>
      <c r="I491" s="12"/>
      <c r="J491" s="2" t="s">
        <v>71</v>
      </c>
    </row>
    <row r="492" spans="1:10" ht="24.75" customHeight="1" x14ac:dyDescent="0.2">
      <c r="D492" s="6"/>
      <c r="E492" s="6"/>
      <c r="F492" s="12" t="s">
        <v>3</v>
      </c>
      <c r="G492" s="12"/>
      <c r="H492" s="12"/>
      <c r="I492" s="12"/>
      <c r="J492" s="12"/>
    </row>
    <row r="493" spans="1:10" ht="24.75" customHeight="1" x14ac:dyDescent="0.2">
      <c r="A493" s="3">
        <v>1</v>
      </c>
      <c r="B493" s="3"/>
      <c r="C493" s="13" t="s">
        <v>1278</v>
      </c>
      <c r="D493" s="10" t="s">
        <v>1277</v>
      </c>
      <c r="E493" s="10" t="s">
        <v>1276</v>
      </c>
      <c r="F493" s="12"/>
      <c r="G493" s="12"/>
      <c r="H493" s="12"/>
      <c r="I493" s="12"/>
      <c r="J493" s="12"/>
    </row>
    <row r="494" spans="1:10" ht="24.75" customHeight="1" x14ac:dyDescent="0.2">
      <c r="A494" s="3">
        <v>2</v>
      </c>
      <c r="B494" s="3"/>
      <c r="C494" s="13" t="s">
        <v>1275</v>
      </c>
      <c r="D494" s="10" t="s">
        <v>1274</v>
      </c>
      <c r="E494" s="10" t="s">
        <v>1273</v>
      </c>
      <c r="F494" s="12"/>
      <c r="G494" s="12"/>
      <c r="H494" s="12"/>
      <c r="I494" s="12"/>
      <c r="J494" s="12"/>
    </row>
    <row r="495" spans="1:10" ht="24.75" customHeight="1" x14ac:dyDescent="0.2">
      <c r="A495" s="3">
        <v>3</v>
      </c>
      <c r="B495" s="3"/>
      <c r="C495" s="13" t="s">
        <v>1272</v>
      </c>
      <c r="D495" s="10" t="s">
        <v>1271</v>
      </c>
      <c r="E495" s="10" t="s">
        <v>1270</v>
      </c>
      <c r="F495" s="12"/>
      <c r="G495" s="12"/>
      <c r="H495" s="12"/>
      <c r="I495" s="12"/>
      <c r="J495" s="12"/>
    </row>
    <row r="496" spans="1:10" ht="24.75" customHeight="1" x14ac:dyDescent="0.2">
      <c r="A496" s="3">
        <v>4</v>
      </c>
      <c r="B496" s="3"/>
      <c r="C496" s="13" t="s">
        <v>1269</v>
      </c>
      <c r="D496" s="10" t="s">
        <v>1268</v>
      </c>
      <c r="E496" s="10" t="s">
        <v>1267</v>
      </c>
      <c r="F496" s="12"/>
      <c r="G496" s="12"/>
      <c r="H496" s="12"/>
      <c r="I496" s="12"/>
      <c r="J496" s="12"/>
    </row>
    <row r="497" spans="1:10" ht="24.75" customHeight="1" x14ac:dyDescent="0.2">
      <c r="A497" s="3">
        <v>5</v>
      </c>
      <c r="B497" s="3"/>
      <c r="C497" s="13" t="s">
        <v>1266</v>
      </c>
      <c r="D497" s="10" t="s">
        <v>1265</v>
      </c>
      <c r="E497" s="10" t="s">
        <v>1264</v>
      </c>
      <c r="F497" s="12"/>
      <c r="G497" s="12"/>
      <c r="H497" s="12"/>
      <c r="I497" s="12"/>
      <c r="J497" s="12"/>
    </row>
    <row r="498" spans="1:10" ht="24.75" customHeight="1" x14ac:dyDescent="0.2">
      <c r="A498" s="3">
        <v>6</v>
      </c>
      <c r="B498" s="3"/>
      <c r="C498" s="13" t="s">
        <v>1263</v>
      </c>
      <c r="D498" s="10" t="s">
        <v>1262</v>
      </c>
      <c r="E498" s="10" t="s">
        <v>1261</v>
      </c>
      <c r="F498" s="12"/>
      <c r="G498" s="12"/>
      <c r="H498" s="12"/>
      <c r="I498" s="12"/>
      <c r="J498" s="12"/>
    </row>
    <row r="499" spans="1:10" ht="24.75" customHeight="1" x14ac:dyDescent="0.2">
      <c r="A499" s="3">
        <v>7</v>
      </c>
      <c r="B499" s="3"/>
      <c r="C499" s="13" t="s">
        <v>1260</v>
      </c>
      <c r="D499" s="10" t="s">
        <v>1259</v>
      </c>
      <c r="E499" s="10" t="s">
        <v>1258</v>
      </c>
      <c r="F499" s="12"/>
      <c r="G499" s="12"/>
      <c r="H499" s="12"/>
      <c r="I499" s="12"/>
      <c r="J499" s="12"/>
    </row>
    <row r="500" spans="1:10" ht="24.75" customHeight="1" x14ac:dyDescent="0.2">
      <c r="A500" s="3">
        <v>8</v>
      </c>
      <c r="B500" s="3"/>
      <c r="C500" s="13" t="s">
        <v>1257</v>
      </c>
      <c r="D500" s="10" t="s">
        <v>1256</v>
      </c>
      <c r="E500" s="10" t="s">
        <v>1239</v>
      </c>
      <c r="F500" s="12"/>
      <c r="G500" s="12"/>
      <c r="H500" s="12"/>
      <c r="I500" s="12"/>
      <c r="J500" s="12"/>
    </row>
    <row r="501" spans="1:10" ht="24.75" customHeight="1" x14ac:dyDescent="0.2">
      <c r="A501" s="3">
        <v>9</v>
      </c>
      <c r="B501" s="3"/>
      <c r="C501" s="13" t="s">
        <v>1255</v>
      </c>
      <c r="D501" s="10" t="s">
        <v>1254</v>
      </c>
      <c r="E501" s="10" t="s">
        <v>1253</v>
      </c>
      <c r="F501" s="12"/>
      <c r="G501" s="12"/>
      <c r="H501" s="12"/>
      <c r="I501" s="12"/>
      <c r="J501" s="12"/>
    </row>
    <row r="502" spans="1:10" ht="24.75" customHeight="1" x14ac:dyDescent="0.2">
      <c r="A502" s="3">
        <v>10</v>
      </c>
      <c r="B502" s="3"/>
      <c r="C502" s="13" t="s">
        <v>1252</v>
      </c>
      <c r="D502" s="10" t="s">
        <v>1251</v>
      </c>
      <c r="E502" s="10" t="s">
        <v>1250</v>
      </c>
      <c r="F502" s="12"/>
      <c r="G502" s="12"/>
      <c r="H502" s="12"/>
      <c r="I502" s="12"/>
      <c r="J502" s="12"/>
    </row>
    <row r="503" spans="1:10" ht="24.75" customHeight="1" x14ac:dyDescent="0.2">
      <c r="A503" s="3">
        <v>11</v>
      </c>
      <c r="B503" s="3"/>
      <c r="C503" s="13" t="s">
        <v>1249</v>
      </c>
      <c r="D503" s="10" t="s">
        <v>1248</v>
      </c>
      <c r="E503" s="10" t="s">
        <v>1247</v>
      </c>
      <c r="F503" s="12"/>
      <c r="G503" s="12"/>
      <c r="H503" s="12"/>
      <c r="I503" s="12"/>
      <c r="J503" s="12"/>
    </row>
    <row r="504" spans="1:10" ht="24.75" customHeight="1" x14ac:dyDescent="0.2">
      <c r="A504" s="3">
        <v>12</v>
      </c>
      <c r="B504" s="3"/>
      <c r="C504" s="13" t="s">
        <v>1246</v>
      </c>
      <c r="D504" s="10" t="s">
        <v>1245</v>
      </c>
      <c r="E504" s="10" t="s">
        <v>1244</v>
      </c>
      <c r="F504" s="12"/>
      <c r="G504" s="12"/>
      <c r="H504" s="12"/>
      <c r="I504" s="12"/>
      <c r="J504" s="12"/>
    </row>
    <row r="505" spans="1:10" ht="24.75" customHeight="1" x14ac:dyDescent="0.2">
      <c r="A505" s="3">
        <v>13</v>
      </c>
      <c r="B505" s="3"/>
      <c r="C505" s="13" t="s">
        <v>1243</v>
      </c>
      <c r="D505" s="10" t="s">
        <v>1240</v>
      </c>
      <c r="E505" s="10" t="s">
        <v>1242</v>
      </c>
      <c r="F505" s="12"/>
      <c r="G505" s="12"/>
      <c r="H505" s="12"/>
      <c r="I505" s="12"/>
      <c r="J505" s="12"/>
    </row>
    <row r="506" spans="1:10" ht="24.75" customHeight="1" x14ac:dyDescent="0.2">
      <c r="A506" s="3">
        <v>14</v>
      </c>
      <c r="B506" s="3"/>
      <c r="C506" s="13" t="s">
        <v>1241</v>
      </c>
      <c r="D506" s="10" t="s">
        <v>1240</v>
      </c>
      <c r="E506" s="10" t="s">
        <v>1239</v>
      </c>
      <c r="F506" s="12"/>
      <c r="G506" s="12"/>
      <c r="H506" s="12"/>
      <c r="I506" s="12"/>
      <c r="J506" s="12"/>
    </row>
    <row r="507" spans="1:10" ht="24.75" customHeight="1" x14ac:dyDescent="0.2">
      <c r="A507" s="3">
        <v>15</v>
      </c>
      <c r="B507" s="3"/>
      <c r="C507" s="13" t="s">
        <v>1238</v>
      </c>
      <c r="D507" s="10" t="s">
        <v>136</v>
      </c>
      <c r="E507" s="10" t="s">
        <v>1237</v>
      </c>
      <c r="F507" s="12"/>
      <c r="G507" s="12"/>
      <c r="H507" s="12"/>
      <c r="I507" s="12"/>
      <c r="J507" s="12"/>
    </row>
    <row r="508" spans="1:10" ht="24.75" customHeight="1" x14ac:dyDescent="0.2">
      <c r="A508" s="3">
        <v>16</v>
      </c>
      <c r="B508" s="3"/>
      <c r="C508" s="13" t="s">
        <v>1236</v>
      </c>
      <c r="D508" s="10" t="s">
        <v>1235</v>
      </c>
      <c r="E508" s="10" t="s">
        <v>1234</v>
      </c>
      <c r="F508" s="12"/>
      <c r="G508" s="12"/>
      <c r="H508" s="12"/>
      <c r="I508" s="12"/>
      <c r="J508" s="12"/>
    </row>
    <row r="509" spans="1:10" ht="24.75" customHeight="1" x14ac:dyDescent="0.2">
      <c r="B509" s="8" t="s">
        <v>4</v>
      </c>
      <c r="C509" s="5" t="s">
        <v>12</v>
      </c>
      <c r="D509" s="12"/>
      <c r="E509" s="12"/>
      <c r="F509" s="2" t="s">
        <v>0</v>
      </c>
      <c r="H509" s="12"/>
      <c r="I509" s="12"/>
      <c r="J509" s="2" t="s">
        <v>72</v>
      </c>
    </row>
    <row r="510" spans="1:10" ht="24.75" customHeight="1" x14ac:dyDescent="0.2">
      <c r="D510" s="6"/>
      <c r="E510" s="6"/>
      <c r="F510" s="12" t="s">
        <v>3</v>
      </c>
      <c r="G510" s="12"/>
      <c r="H510" s="12"/>
      <c r="I510" s="12"/>
      <c r="J510" s="12"/>
    </row>
    <row r="511" spans="1:10" ht="24.75" customHeight="1" x14ac:dyDescent="0.2">
      <c r="A511" s="3">
        <v>1</v>
      </c>
      <c r="B511" s="3"/>
      <c r="C511" s="13" t="s">
        <v>1314</v>
      </c>
      <c r="D511" s="10" t="s">
        <v>1313</v>
      </c>
      <c r="E511" s="10" t="s">
        <v>1312</v>
      </c>
      <c r="F511" s="12"/>
      <c r="G511" s="12"/>
      <c r="H511" s="12"/>
      <c r="I511" s="12"/>
      <c r="J511" s="12"/>
    </row>
    <row r="512" spans="1:10" ht="24.75" customHeight="1" x14ac:dyDescent="0.2">
      <c r="A512" s="3">
        <v>2</v>
      </c>
      <c r="B512" s="3"/>
      <c r="C512" s="13" t="s">
        <v>1311</v>
      </c>
      <c r="D512" s="10" t="s">
        <v>1310</v>
      </c>
      <c r="E512" s="10" t="s">
        <v>1309</v>
      </c>
      <c r="F512" s="12"/>
      <c r="G512" s="12"/>
      <c r="H512" s="12"/>
      <c r="I512" s="12"/>
      <c r="J512" s="12"/>
    </row>
    <row r="513" spans="1:10" ht="24.75" customHeight="1" x14ac:dyDescent="0.2">
      <c r="A513" s="3">
        <v>3</v>
      </c>
      <c r="B513" s="3"/>
      <c r="C513" s="13" t="s">
        <v>1308</v>
      </c>
      <c r="D513" s="10" t="s">
        <v>1307</v>
      </c>
      <c r="E513" s="10" t="s">
        <v>1306</v>
      </c>
      <c r="F513" s="12"/>
      <c r="G513" s="12"/>
      <c r="H513" s="12"/>
      <c r="I513" s="12"/>
      <c r="J513" s="12"/>
    </row>
    <row r="514" spans="1:10" ht="24.75" customHeight="1" x14ac:dyDescent="0.2">
      <c r="A514" s="3">
        <v>4</v>
      </c>
      <c r="B514" s="3"/>
      <c r="C514" s="13" t="s">
        <v>1305</v>
      </c>
      <c r="D514" s="10" t="s">
        <v>1304</v>
      </c>
      <c r="E514" s="10" t="s">
        <v>1066</v>
      </c>
      <c r="F514" s="12"/>
      <c r="G514" s="12"/>
      <c r="H514" s="12"/>
      <c r="I514" s="12"/>
      <c r="J514" s="12"/>
    </row>
    <row r="515" spans="1:10" ht="24.75" customHeight="1" x14ac:dyDescent="0.2">
      <c r="A515" s="3">
        <v>5</v>
      </c>
      <c r="B515" s="3"/>
      <c r="C515" s="13" t="s">
        <v>1303</v>
      </c>
      <c r="D515" s="10" t="s">
        <v>144</v>
      </c>
      <c r="E515" s="10" t="s">
        <v>1302</v>
      </c>
      <c r="F515" s="12"/>
      <c r="G515" s="12"/>
      <c r="H515" s="12"/>
      <c r="I515" s="12"/>
      <c r="J515" s="12"/>
    </row>
    <row r="516" spans="1:10" ht="24.75" customHeight="1" x14ac:dyDescent="0.2">
      <c r="A516" s="3">
        <v>6</v>
      </c>
      <c r="B516" s="3"/>
      <c r="C516" s="13" t="s">
        <v>1301</v>
      </c>
      <c r="D516" s="10" t="s">
        <v>1300</v>
      </c>
      <c r="E516" s="10" t="s">
        <v>1299</v>
      </c>
      <c r="F516" s="12"/>
      <c r="G516" s="12"/>
      <c r="H516" s="12"/>
      <c r="I516" s="12"/>
      <c r="J516" s="12"/>
    </row>
    <row r="517" spans="1:10" ht="24.75" customHeight="1" x14ac:dyDescent="0.2">
      <c r="A517" s="3">
        <v>7</v>
      </c>
      <c r="B517" s="3"/>
      <c r="C517" s="13" t="s">
        <v>1298</v>
      </c>
      <c r="D517" s="10" t="s">
        <v>95</v>
      </c>
      <c r="E517" s="10" t="s">
        <v>1171</v>
      </c>
      <c r="F517" s="12"/>
      <c r="G517" s="12"/>
      <c r="H517" s="12"/>
      <c r="I517" s="12"/>
      <c r="J517" s="12"/>
    </row>
    <row r="518" spans="1:10" ht="24.75" customHeight="1" x14ac:dyDescent="0.2">
      <c r="A518" s="3">
        <v>8</v>
      </c>
      <c r="B518" s="3"/>
      <c r="C518" s="13" t="s">
        <v>1297</v>
      </c>
      <c r="D518" s="10" t="s">
        <v>95</v>
      </c>
      <c r="E518" s="10" t="s">
        <v>1296</v>
      </c>
      <c r="F518" s="12"/>
      <c r="G518" s="12"/>
      <c r="H518" s="12"/>
      <c r="I518" s="12"/>
      <c r="J518" s="12"/>
    </row>
    <row r="519" spans="1:10" ht="24.75" customHeight="1" x14ac:dyDescent="0.2">
      <c r="A519" s="3">
        <v>9</v>
      </c>
      <c r="B519" s="3"/>
      <c r="C519" s="13" t="s">
        <v>1295</v>
      </c>
      <c r="D519" s="10" t="s">
        <v>95</v>
      </c>
      <c r="E519" s="10" t="s">
        <v>1294</v>
      </c>
      <c r="F519" s="12"/>
      <c r="G519" s="12"/>
      <c r="H519" s="12"/>
      <c r="I519" s="12"/>
      <c r="J519" s="12"/>
    </row>
    <row r="520" spans="1:10" ht="24.75" customHeight="1" x14ac:dyDescent="0.2">
      <c r="A520" s="3">
        <v>10</v>
      </c>
      <c r="B520" s="3"/>
      <c r="C520" s="13" t="s">
        <v>1293</v>
      </c>
      <c r="D520" s="10" t="s">
        <v>1290</v>
      </c>
      <c r="E520" s="10" t="s">
        <v>1292</v>
      </c>
      <c r="F520" s="12"/>
      <c r="G520" s="12"/>
      <c r="H520" s="12"/>
      <c r="I520" s="12"/>
      <c r="J520" s="12"/>
    </row>
    <row r="521" spans="1:10" ht="24.75" customHeight="1" x14ac:dyDescent="0.2">
      <c r="A521" s="3">
        <v>11</v>
      </c>
      <c r="B521" s="3"/>
      <c r="C521" s="13" t="s">
        <v>1291</v>
      </c>
      <c r="D521" s="10" t="s">
        <v>1290</v>
      </c>
      <c r="E521" s="10" t="s">
        <v>1289</v>
      </c>
      <c r="F521" s="12"/>
      <c r="G521" s="12"/>
      <c r="H521" s="12"/>
      <c r="I521" s="12"/>
      <c r="J521" s="12"/>
    </row>
    <row r="522" spans="1:10" ht="24.75" customHeight="1" x14ac:dyDescent="0.2">
      <c r="A522" s="3">
        <v>12</v>
      </c>
      <c r="B522" s="3"/>
      <c r="C522" s="13" t="s">
        <v>1288</v>
      </c>
      <c r="D522" s="10" t="s">
        <v>1283</v>
      </c>
      <c r="E522" s="10" t="s">
        <v>1287</v>
      </c>
      <c r="F522" s="12"/>
      <c r="G522" s="12"/>
      <c r="H522" s="12"/>
      <c r="I522" s="12"/>
      <c r="J522" s="12"/>
    </row>
    <row r="523" spans="1:10" ht="24.75" customHeight="1" x14ac:dyDescent="0.2">
      <c r="A523" s="3">
        <v>13</v>
      </c>
      <c r="B523" s="3"/>
      <c r="C523" s="13" t="s">
        <v>1286</v>
      </c>
      <c r="D523" s="10" t="s">
        <v>1283</v>
      </c>
      <c r="E523" s="10" t="s">
        <v>1285</v>
      </c>
      <c r="F523" s="12"/>
      <c r="G523" s="12"/>
      <c r="H523" s="12"/>
      <c r="I523" s="12"/>
      <c r="J523" s="12"/>
    </row>
    <row r="524" spans="1:10" ht="24.75" customHeight="1" x14ac:dyDescent="0.2">
      <c r="A524" s="3">
        <v>14</v>
      </c>
      <c r="B524" s="3"/>
      <c r="C524" s="13" t="s">
        <v>1284</v>
      </c>
      <c r="D524" s="10" t="s">
        <v>1283</v>
      </c>
      <c r="E524" s="10" t="s">
        <v>1282</v>
      </c>
      <c r="F524" s="12"/>
      <c r="G524" s="12"/>
      <c r="H524" s="12"/>
      <c r="I524" s="12"/>
      <c r="J524" s="12"/>
    </row>
    <row r="525" spans="1:10" ht="24.75" customHeight="1" x14ac:dyDescent="0.2">
      <c r="A525" s="3">
        <v>15</v>
      </c>
      <c r="B525" s="3"/>
      <c r="C525" s="13" t="s">
        <v>1281</v>
      </c>
      <c r="D525" s="10" t="s">
        <v>146</v>
      </c>
      <c r="E525" s="10" t="s">
        <v>1280</v>
      </c>
      <c r="F525" s="12"/>
      <c r="G525" s="12"/>
      <c r="H525" s="12"/>
      <c r="I525" s="12"/>
      <c r="J525" s="12"/>
    </row>
    <row r="526" spans="1:10" ht="24.75" customHeight="1" x14ac:dyDescent="0.2">
      <c r="A526" s="3">
        <v>16</v>
      </c>
      <c r="B526" s="3"/>
      <c r="C526" s="13" t="s">
        <v>1279</v>
      </c>
      <c r="D526" s="10" t="s">
        <v>146</v>
      </c>
      <c r="E526" s="10" t="s">
        <v>809</v>
      </c>
      <c r="F526" s="12"/>
      <c r="G526" s="12"/>
      <c r="H526" s="12"/>
      <c r="I526" s="12"/>
      <c r="J526" s="12"/>
    </row>
    <row r="527" spans="1:10" ht="24.75" customHeight="1" x14ac:dyDescent="0.2">
      <c r="B527" s="8" t="s">
        <v>4</v>
      </c>
      <c r="C527" s="5" t="s">
        <v>13</v>
      </c>
      <c r="D527" s="12"/>
      <c r="E527" s="12"/>
      <c r="F527" s="2" t="s">
        <v>0</v>
      </c>
      <c r="H527" s="12"/>
      <c r="I527" s="12"/>
      <c r="J527" s="2" t="s">
        <v>73</v>
      </c>
    </row>
    <row r="528" spans="1:10" ht="24.75" customHeight="1" x14ac:dyDescent="0.2">
      <c r="D528" s="6"/>
      <c r="E528" s="6"/>
      <c r="F528" s="12" t="s">
        <v>3</v>
      </c>
      <c r="G528" s="12"/>
      <c r="H528" s="12"/>
      <c r="I528" s="12"/>
      <c r="J528" s="12"/>
    </row>
    <row r="529" spans="1:10" ht="24.75" customHeight="1" x14ac:dyDescent="0.2">
      <c r="A529" s="3">
        <v>1</v>
      </c>
      <c r="B529" s="3"/>
      <c r="C529" s="13" t="s">
        <v>1347</v>
      </c>
      <c r="D529" s="10" t="s">
        <v>146</v>
      </c>
      <c r="E529" s="10" t="s">
        <v>21</v>
      </c>
      <c r="F529" s="12"/>
      <c r="G529" s="12"/>
      <c r="H529" s="12"/>
      <c r="I529" s="12"/>
      <c r="J529" s="12"/>
    </row>
    <row r="530" spans="1:10" ht="24.75" customHeight="1" x14ac:dyDescent="0.2">
      <c r="A530" s="3">
        <v>2</v>
      </c>
      <c r="B530" s="3"/>
      <c r="C530" s="13" t="s">
        <v>1346</v>
      </c>
      <c r="D530" s="10" t="s">
        <v>146</v>
      </c>
      <c r="E530" s="10" t="s">
        <v>1345</v>
      </c>
      <c r="F530" s="12"/>
      <c r="G530" s="12"/>
      <c r="H530" s="12"/>
      <c r="I530" s="12"/>
      <c r="J530" s="12"/>
    </row>
    <row r="531" spans="1:10" ht="24.75" customHeight="1" x14ac:dyDescent="0.2">
      <c r="A531" s="3">
        <v>3</v>
      </c>
      <c r="B531" s="3"/>
      <c r="C531" s="13" t="s">
        <v>1344</v>
      </c>
      <c r="D531" s="10" t="s">
        <v>1343</v>
      </c>
      <c r="E531" s="10" t="s">
        <v>696</v>
      </c>
      <c r="F531" s="12"/>
      <c r="G531" s="12"/>
      <c r="H531" s="12"/>
      <c r="I531" s="12"/>
      <c r="J531" s="12"/>
    </row>
    <row r="532" spans="1:10" ht="24.75" customHeight="1" x14ac:dyDescent="0.2">
      <c r="A532" s="3">
        <v>4</v>
      </c>
      <c r="B532" s="3"/>
      <c r="C532" s="13" t="s">
        <v>1342</v>
      </c>
      <c r="D532" s="10" t="s">
        <v>1341</v>
      </c>
      <c r="E532" s="10" t="s">
        <v>1340</v>
      </c>
      <c r="F532" s="12"/>
      <c r="G532" s="12"/>
      <c r="H532" s="12"/>
      <c r="I532" s="12"/>
      <c r="J532" s="12"/>
    </row>
    <row r="533" spans="1:10" ht="24.75" customHeight="1" x14ac:dyDescent="0.2">
      <c r="A533" s="3">
        <v>5</v>
      </c>
      <c r="B533" s="3"/>
      <c r="C533" s="13" t="s">
        <v>1339</v>
      </c>
      <c r="D533" s="10" t="s">
        <v>111</v>
      </c>
      <c r="E533" s="10" t="s">
        <v>1338</v>
      </c>
      <c r="F533" s="12"/>
      <c r="G533" s="12"/>
      <c r="H533" s="12"/>
      <c r="I533" s="12"/>
      <c r="J533" s="12"/>
    </row>
    <row r="534" spans="1:10" ht="24.75" customHeight="1" x14ac:dyDescent="0.2">
      <c r="A534" s="3">
        <v>6</v>
      </c>
      <c r="B534" s="3"/>
      <c r="C534" s="13" t="s">
        <v>1337</v>
      </c>
      <c r="D534" s="10" t="s">
        <v>111</v>
      </c>
      <c r="E534" s="10" t="s">
        <v>1336</v>
      </c>
      <c r="F534" s="12"/>
      <c r="G534" s="12"/>
      <c r="H534" s="12"/>
      <c r="I534" s="12"/>
      <c r="J534" s="12"/>
    </row>
    <row r="535" spans="1:10" ht="24.75" customHeight="1" x14ac:dyDescent="0.2">
      <c r="A535" s="3">
        <v>7</v>
      </c>
      <c r="B535" s="3"/>
      <c r="C535" s="13" t="s">
        <v>1335</v>
      </c>
      <c r="D535" s="10" t="s">
        <v>1334</v>
      </c>
      <c r="E535" s="10" t="s">
        <v>267</v>
      </c>
      <c r="F535" s="12"/>
      <c r="G535" s="12"/>
      <c r="H535" s="12"/>
      <c r="I535" s="12"/>
      <c r="J535" s="12"/>
    </row>
    <row r="536" spans="1:10" ht="24.75" customHeight="1" x14ac:dyDescent="0.2">
      <c r="A536" s="3">
        <v>8</v>
      </c>
      <c r="B536" s="3"/>
      <c r="C536" s="13" t="s">
        <v>1333</v>
      </c>
      <c r="D536" s="10" t="s">
        <v>1332</v>
      </c>
      <c r="E536" s="10" t="s">
        <v>1331</v>
      </c>
      <c r="F536" s="12"/>
      <c r="G536" s="12"/>
      <c r="H536" s="12"/>
      <c r="I536" s="12"/>
      <c r="J536" s="12"/>
    </row>
    <row r="537" spans="1:10" ht="24.75" customHeight="1" x14ac:dyDescent="0.2">
      <c r="A537" s="3">
        <v>9</v>
      </c>
      <c r="B537" s="3"/>
      <c r="C537" s="13" t="s">
        <v>1330</v>
      </c>
      <c r="D537" s="10" t="s">
        <v>1329</v>
      </c>
      <c r="E537" s="10" t="s">
        <v>979</v>
      </c>
      <c r="F537" s="12"/>
      <c r="G537" s="12"/>
      <c r="H537" s="12"/>
      <c r="I537" s="12"/>
      <c r="J537" s="12"/>
    </row>
    <row r="538" spans="1:10" ht="24.75" customHeight="1" x14ac:dyDescent="0.2">
      <c r="A538" s="3">
        <v>10</v>
      </c>
      <c r="B538" s="3"/>
      <c r="C538" s="13" t="s">
        <v>1328</v>
      </c>
      <c r="D538" s="10" t="s">
        <v>1327</v>
      </c>
      <c r="E538" s="10" t="s">
        <v>1326</v>
      </c>
      <c r="F538" s="12"/>
      <c r="G538" s="12"/>
      <c r="H538" s="12"/>
      <c r="I538" s="12"/>
      <c r="J538" s="12"/>
    </row>
    <row r="539" spans="1:10" ht="24.75" customHeight="1" x14ac:dyDescent="0.2">
      <c r="A539" s="3">
        <v>11</v>
      </c>
      <c r="B539" s="3"/>
      <c r="C539" s="13" t="s">
        <v>1325</v>
      </c>
      <c r="D539" s="10">
        <v>0</v>
      </c>
      <c r="E539" s="10">
        <v>0</v>
      </c>
      <c r="F539" s="12"/>
      <c r="G539" s="12"/>
      <c r="H539" s="12"/>
      <c r="I539" s="12"/>
      <c r="J539" s="12"/>
    </row>
    <row r="540" spans="1:10" ht="24.75" customHeight="1" x14ac:dyDescent="0.2">
      <c r="A540" s="3">
        <v>12</v>
      </c>
      <c r="B540" s="3"/>
      <c r="C540" s="13" t="s">
        <v>1324</v>
      </c>
      <c r="D540" s="10" t="s">
        <v>1323</v>
      </c>
      <c r="E540" s="10" t="s">
        <v>1322</v>
      </c>
      <c r="F540" s="12"/>
      <c r="G540" s="12"/>
      <c r="H540" s="12"/>
      <c r="I540" s="12"/>
      <c r="J540" s="12"/>
    </row>
    <row r="541" spans="1:10" ht="24.75" customHeight="1" x14ac:dyDescent="0.2">
      <c r="A541" s="3">
        <v>13</v>
      </c>
      <c r="B541" s="3"/>
      <c r="C541" s="13" t="s">
        <v>1321</v>
      </c>
      <c r="D541" s="10" t="s">
        <v>1320</v>
      </c>
      <c r="E541" s="10" t="s">
        <v>1319</v>
      </c>
      <c r="F541" s="12"/>
      <c r="G541" s="12"/>
      <c r="H541" s="12"/>
      <c r="I541" s="12"/>
      <c r="J541" s="12"/>
    </row>
    <row r="542" spans="1:10" ht="24.75" customHeight="1" x14ac:dyDescent="0.2">
      <c r="A542" s="3">
        <v>14</v>
      </c>
      <c r="B542" s="3"/>
      <c r="C542" s="13" t="s">
        <v>1318</v>
      </c>
      <c r="D542" s="10" t="s">
        <v>1317</v>
      </c>
      <c r="E542" s="10" t="s">
        <v>35</v>
      </c>
      <c r="F542" s="12"/>
      <c r="G542" s="12"/>
      <c r="H542" s="12"/>
      <c r="I542" s="12"/>
      <c r="J542" s="12"/>
    </row>
    <row r="543" spans="1:10" ht="24.75" customHeight="1" x14ac:dyDescent="0.2">
      <c r="A543" s="3">
        <v>15</v>
      </c>
      <c r="B543" s="3"/>
      <c r="C543" s="13" t="s">
        <v>1316</v>
      </c>
      <c r="D543" s="10" t="s">
        <v>141</v>
      </c>
      <c r="E543" s="10" t="s">
        <v>97</v>
      </c>
      <c r="F543" s="12"/>
      <c r="G543" s="12"/>
      <c r="H543" s="12"/>
      <c r="I543" s="12"/>
      <c r="J543" s="12"/>
    </row>
    <row r="544" spans="1:10" ht="24.75" customHeight="1" x14ac:dyDescent="0.2">
      <c r="A544" s="3">
        <v>16</v>
      </c>
      <c r="B544" s="3"/>
      <c r="C544" s="13" t="s">
        <v>1315</v>
      </c>
      <c r="D544" s="10" t="s">
        <v>141</v>
      </c>
      <c r="E544" s="10" t="s">
        <v>985</v>
      </c>
      <c r="F544" s="12"/>
      <c r="G544" s="12"/>
      <c r="H544" s="12"/>
      <c r="I544" s="12"/>
      <c r="J544" s="12"/>
    </row>
    <row r="545" spans="1:10" ht="24.75" customHeight="1" x14ac:dyDescent="0.2">
      <c r="B545" s="8" t="s">
        <v>4</v>
      </c>
      <c r="C545" s="5" t="s">
        <v>14</v>
      </c>
      <c r="D545" s="12"/>
      <c r="E545" s="12"/>
      <c r="F545" s="2" t="s">
        <v>0</v>
      </c>
      <c r="H545" s="12"/>
      <c r="I545" s="12"/>
      <c r="J545" s="2" t="s">
        <v>74</v>
      </c>
    </row>
    <row r="546" spans="1:10" ht="24.75" customHeight="1" x14ac:dyDescent="0.2">
      <c r="D546" s="6"/>
      <c r="E546" s="6"/>
      <c r="F546" s="12" t="s">
        <v>3</v>
      </c>
      <c r="G546" s="12"/>
      <c r="H546" s="12"/>
      <c r="I546" s="12"/>
      <c r="J546" s="12"/>
    </row>
    <row r="547" spans="1:10" ht="24.75" customHeight="1" x14ac:dyDescent="0.2">
      <c r="A547" s="3">
        <v>1</v>
      </c>
      <c r="B547" s="3"/>
      <c r="C547" s="13" t="s">
        <v>245</v>
      </c>
      <c r="D547" s="10" t="s">
        <v>141</v>
      </c>
      <c r="E547" s="10" t="s">
        <v>409</v>
      </c>
      <c r="F547" s="12"/>
      <c r="G547" s="12"/>
      <c r="H547" s="12"/>
      <c r="I547" s="12"/>
      <c r="J547" s="12"/>
    </row>
    <row r="548" spans="1:10" ht="24.75" customHeight="1" x14ac:dyDescent="0.2">
      <c r="A548" s="3">
        <v>2</v>
      </c>
      <c r="B548" s="3"/>
      <c r="C548" s="13" t="s">
        <v>1383</v>
      </c>
      <c r="D548" s="10" t="s">
        <v>1382</v>
      </c>
      <c r="E548" s="10" t="s">
        <v>19</v>
      </c>
      <c r="F548" s="12"/>
      <c r="G548" s="12"/>
      <c r="H548" s="12"/>
      <c r="I548" s="12"/>
      <c r="J548" s="12"/>
    </row>
    <row r="549" spans="1:10" ht="24.75" customHeight="1" x14ac:dyDescent="0.2">
      <c r="A549" s="3">
        <v>3</v>
      </c>
      <c r="B549" s="3"/>
      <c r="C549" s="13" t="s">
        <v>1381</v>
      </c>
      <c r="D549" s="10" t="s">
        <v>1379</v>
      </c>
      <c r="E549" s="10" t="s">
        <v>7</v>
      </c>
      <c r="F549" s="12"/>
      <c r="G549" s="12"/>
      <c r="H549" s="12"/>
      <c r="I549" s="12"/>
      <c r="J549" s="12"/>
    </row>
    <row r="550" spans="1:10" ht="24.75" customHeight="1" x14ac:dyDescent="0.2">
      <c r="A550" s="3">
        <v>4</v>
      </c>
      <c r="B550" s="3"/>
      <c r="C550" s="13" t="s">
        <v>1380</v>
      </c>
      <c r="D550" s="10" t="s">
        <v>1379</v>
      </c>
      <c r="E550" s="10" t="s">
        <v>699</v>
      </c>
      <c r="F550" s="12"/>
      <c r="G550" s="12"/>
      <c r="H550" s="12"/>
      <c r="I550" s="12"/>
      <c r="J550" s="12"/>
    </row>
    <row r="551" spans="1:10" ht="24.75" customHeight="1" x14ac:dyDescent="0.2">
      <c r="A551" s="3">
        <v>5</v>
      </c>
      <c r="B551" s="3"/>
      <c r="C551" s="13" t="s">
        <v>1378</v>
      </c>
      <c r="D551" s="10" t="s">
        <v>1377</v>
      </c>
      <c r="E551" s="10" t="s">
        <v>1376</v>
      </c>
      <c r="F551" s="12"/>
      <c r="G551" s="12"/>
      <c r="H551" s="12"/>
      <c r="I551" s="12"/>
      <c r="J551" s="12"/>
    </row>
    <row r="552" spans="1:10" ht="24.75" customHeight="1" x14ac:dyDescent="0.2">
      <c r="A552" s="3">
        <v>6</v>
      </c>
      <c r="B552" s="3"/>
      <c r="C552" s="13" t="s">
        <v>1375</v>
      </c>
      <c r="D552" s="10" t="s">
        <v>122</v>
      </c>
      <c r="E552" s="10" t="s">
        <v>48</v>
      </c>
      <c r="F552" s="12"/>
      <c r="G552" s="12"/>
      <c r="H552" s="12"/>
      <c r="I552" s="12"/>
      <c r="J552" s="12"/>
    </row>
    <row r="553" spans="1:10" ht="24.75" customHeight="1" x14ac:dyDescent="0.2">
      <c r="A553" s="3">
        <v>7</v>
      </c>
      <c r="B553" s="3"/>
      <c r="C553" s="13" t="s">
        <v>1374</v>
      </c>
      <c r="D553" s="10" t="s">
        <v>1373</v>
      </c>
      <c r="E553" s="10" t="s">
        <v>1372</v>
      </c>
      <c r="F553" s="12"/>
      <c r="G553" s="12"/>
      <c r="H553" s="12"/>
      <c r="I553" s="12"/>
      <c r="J553" s="12"/>
    </row>
    <row r="554" spans="1:10" ht="24.75" customHeight="1" x14ac:dyDescent="0.2">
      <c r="A554" s="3">
        <v>8</v>
      </c>
      <c r="B554" s="3"/>
      <c r="C554" s="13" t="s">
        <v>1371</v>
      </c>
      <c r="D554" s="10" t="s">
        <v>1370</v>
      </c>
      <c r="E554" s="10" t="s">
        <v>677</v>
      </c>
      <c r="F554" s="12"/>
      <c r="G554" s="12"/>
      <c r="H554" s="12"/>
      <c r="I554" s="12"/>
      <c r="J554" s="12"/>
    </row>
    <row r="555" spans="1:10" ht="24.75" customHeight="1" x14ac:dyDescent="0.2">
      <c r="A555" s="3">
        <v>9</v>
      </c>
      <c r="B555" s="3"/>
      <c r="C555" s="13" t="s">
        <v>1369</v>
      </c>
      <c r="D555" s="10" t="s">
        <v>1368</v>
      </c>
      <c r="E555" s="10" t="s">
        <v>1367</v>
      </c>
      <c r="F555" s="12"/>
      <c r="G555" s="12"/>
      <c r="H555" s="12"/>
      <c r="I555" s="12"/>
      <c r="J555" s="12"/>
    </row>
    <row r="556" spans="1:10" ht="24.75" customHeight="1" x14ac:dyDescent="0.2">
      <c r="A556" s="3">
        <v>10</v>
      </c>
      <c r="B556" s="3"/>
      <c r="C556" s="13" t="s">
        <v>1366</v>
      </c>
      <c r="D556" s="10" t="s">
        <v>1365</v>
      </c>
      <c r="E556" s="10" t="s">
        <v>1364</v>
      </c>
      <c r="F556" s="12"/>
      <c r="G556" s="12"/>
      <c r="H556" s="12"/>
      <c r="I556" s="12"/>
      <c r="J556" s="12"/>
    </row>
    <row r="557" spans="1:10" ht="24.75" customHeight="1" x14ac:dyDescent="0.2">
      <c r="A557" s="3">
        <v>11</v>
      </c>
      <c r="B557" s="3"/>
      <c r="C557" s="13" t="s">
        <v>1363</v>
      </c>
      <c r="D557" s="10" t="s">
        <v>1362</v>
      </c>
      <c r="E557" s="10" t="s">
        <v>1361</v>
      </c>
      <c r="F557" s="12"/>
      <c r="G557" s="12"/>
      <c r="H557" s="12"/>
      <c r="I557" s="12"/>
      <c r="J557" s="12"/>
    </row>
    <row r="558" spans="1:10" ht="24.75" customHeight="1" x14ac:dyDescent="0.2">
      <c r="A558" s="3">
        <v>12</v>
      </c>
      <c r="B558" s="3"/>
      <c r="C558" s="13" t="s">
        <v>1360</v>
      </c>
      <c r="D558" s="10" t="s">
        <v>1359</v>
      </c>
      <c r="E558" s="10" t="s">
        <v>46</v>
      </c>
      <c r="F558" s="12"/>
      <c r="G558" s="12"/>
      <c r="H558" s="12"/>
      <c r="I558" s="12"/>
      <c r="J558" s="12"/>
    </row>
    <row r="559" spans="1:10" ht="24.75" customHeight="1" x14ac:dyDescent="0.2">
      <c r="A559" s="3">
        <v>13</v>
      </c>
      <c r="B559" s="3"/>
      <c r="C559" s="13" t="s">
        <v>1358</v>
      </c>
      <c r="D559" s="10" t="s">
        <v>1357</v>
      </c>
      <c r="E559" s="10" t="s">
        <v>1356</v>
      </c>
      <c r="F559" s="12"/>
      <c r="G559" s="12"/>
      <c r="H559" s="12"/>
      <c r="I559" s="12"/>
      <c r="J559" s="12"/>
    </row>
    <row r="560" spans="1:10" ht="24.75" customHeight="1" x14ac:dyDescent="0.2">
      <c r="A560" s="3">
        <v>14</v>
      </c>
      <c r="B560" s="3"/>
      <c r="C560" s="13" t="s">
        <v>1355</v>
      </c>
      <c r="D560" s="10" t="s">
        <v>1354</v>
      </c>
      <c r="E560" s="10" t="s">
        <v>1353</v>
      </c>
      <c r="F560" s="12"/>
      <c r="G560" s="12"/>
      <c r="H560" s="12"/>
      <c r="I560" s="12"/>
      <c r="J560" s="12"/>
    </row>
    <row r="561" spans="1:10" ht="24.75" customHeight="1" x14ac:dyDescent="0.2">
      <c r="A561" s="3">
        <v>15</v>
      </c>
      <c r="B561" s="3"/>
      <c r="C561" s="13" t="s">
        <v>1352</v>
      </c>
      <c r="D561" s="10" t="s">
        <v>1351</v>
      </c>
      <c r="E561" s="10" t="s">
        <v>1350</v>
      </c>
      <c r="F561" s="12"/>
      <c r="G561" s="12"/>
      <c r="H561" s="12"/>
      <c r="I561" s="12"/>
      <c r="J561" s="12"/>
    </row>
    <row r="562" spans="1:10" ht="24.75" customHeight="1" x14ac:dyDescent="0.2">
      <c r="A562" s="3">
        <v>16</v>
      </c>
      <c r="B562" s="3"/>
      <c r="C562" s="13" t="s">
        <v>1349</v>
      </c>
      <c r="D562" s="10" t="s">
        <v>133</v>
      </c>
      <c r="E562" s="10" t="s">
        <v>1348</v>
      </c>
      <c r="F562" s="12"/>
      <c r="G562" s="12"/>
      <c r="H562" s="12"/>
      <c r="I562" s="12"/>
      <c r="J562" s="12"/>
    </row>
    <row r="563" spans="1:10" ht="24.75" customHeight="1" x14ac:dyDescent="0.2">
      <c r="B563" s="8" t="s">
        <v>4</v>
      </c>
      <c r="C563" s="5" t="s">
        <v>15</v>
      </c>
      <c r="D563" s="12"/>
      <c r="E563" s="12"/>
      <c r="F563" s="2" t="s">
        <v>0</v>
      </c>
      <c r="H563" s="12"/>
      <c r="I563" s="12"/>
      <c r="J563" s="2" t="s">
        <v>75</v>
      </c>
    </row>
    <row r="564" spans="1:10" ht="24.75" customHeight="1" x14ac:dyDescent="0.2">
      <c r="D564" s="6"/>
      <c r="E564" s="6"/>
      <c r="F564" s="12" t="s">
        <v>3</v>
      </c>
      <c r="G564" s="12"/>
      <c r="H564" s="12"/>
      <c r="I564" s="12"/>
      <c r="J564" s="12"/>
    </row>
    <row r="565" spans="1:10" ht="24.75" customHeight="1" x14ac:dyDescent="0.2">
      <c r="A565" s="3">
        <v>1</v>
      </c>
      <c r="B565" s="3"/>
      <c r="C565" s="13" t="s">
        <v>1426</v>
      </c>
      <c r="D565" s="10" t="s">
        <v>128</v>
      </c>
      <c r="E565" s="10" t="s">
        <v>1425</v>
      </c>
      <c r="F565" s="12"/>
      <c r="G565" s="12"/>
      <c r="H565" s="12"/>
      <c r="I565" s="12"/>
      <c r="J565" s="12"/>
    </row>
    <row r="566" spans="1:10" ht="24.75" customHeight="1" x14ac:dyDescent="0.2">
      <c r="A566" s="3">
        <v>2</v>
      </c>
      <c r="B566" s="3"/>
      <c r="C566" s="13" t="s">
        <v>1424</v>
      </c>
      <c r="D566" s="10" t="s">
        <v>128</v>
      </c>
      <c r="E566" s="10" t="s">
        <v>1423</v>
      </c>
      <c r="F566" s="12"/>
      <c r="G566" s="12"/>
      <c r="H566" s="12"/>
      <c r="I566" s="12"/>
      <c r="J566" s="12"/>
    </row>
    <row r="567" spans="1:10" ht="24.75" customHeight="1" x14ac:dyDescent="0.2">
      <c r="A567" s="3">
        <v>3</v>
      </c>
      <c r="B567" s="3"/>
      <c r="C567" s="13" t="s">
        <v>1422</v>
      </c>
      <c r="D567" s="10" t="s">
        <v>1421</v>
      </c>
      <c r="E567" s="10" t="s">
        <v>594</v>
      </c>
      <c r="F567" s="12"/>
      <c r="G567" s="12"/>
      <c r="H567" s="12"/>
      <c r="I567" s="12"/>
      <c r="J567" s="12"/>
    </row>
    <row r="568" spans="1:10" ht="24.75" customHeight="1" x14ac:dyDescent="0.2">
      <c r="A568" s="3">
        <v>4</v>
      </c>
      <c r="B568" s="3"/>
      <c r="C568" s="13" t="s">
        <v>1420</v>
      </c>
      <c r="D568" s="10" t="s">
        <v>1419</v>
      </c>
      <c r="E568" s="10" t="s">
        <v>1418</v>
      </c>
      <c r="F568" s="12"/>
      <c r="G568" s="12"/>
      <c r="H568" s="12"/>
      <c r="I568" s="12"/>
      <c r="J568" s="12"/>
    </row>
    <row r="569" spans="1:10" ht="24.75" customHeight="1" x14ac:dyDescent="0.2">
      <c r="A569" s="3">
        <v>5</v>
      </c>
      <c r="B569" s="3"/>
      <c r="C569" s="13" t="s">
        <v>1417</v>
      </c>
      <c r="D569" s="10" t="s">
        <v>1416</v>
      </c>
      <c r="E569" s="10" t="s">
        <v>1415</v>
      </c>
      <c r="F569" s="12"/>
      <c r="G569" s="12"/>
      <c r="H569" s="12"/>
      <c r="I569" s="12"/>
      <c r="J569" s="12"/>
    </row>
    <row r="570" spans="1:10" ht="24.75" customHeight="1" x14ac:dyDescent="0.2">
      <c r="A570" s="3">
        <v>6</v>
      </c>
      <c r="B570" s="3"/>
      <c r="C570" s="13" t="s">
        <v>1414</v>
      </c>
      <c r="D570" s="10" t="s">
        <v>1413</v>
      </c>
      <c r="E570" s="10" t="s">
        <v>1412</v>
      </c>
      <c r="F570" s="12"/>
      <c r="G570" s="12"/>
      <c r="H570" s="12"/>
      <c r="I570" s="12"/>
      <c r="J570" s="12"/>
    </row>
    <row r="571" spans="1:10" ht="24.75" customHeight="1" x14ac:dyDescent="0.2">
      <c r="A571" s="3">
        <v>7</v>
      </c>
      <c r="B571" s="3"/>
      <c r="C571" s="13" t="s">
        <v>1411</v>
      </c>
      <c r="D571" s="10" t="s">
        <v>1410</v>
      </c>
      <c r="E571" s="10" t="s">
        <v>1409</v>
      </c>
      <c r="F571" s="12"/>
      <c r="G571" s="12"/>
      <c r="H571" s="12"/>
      <c r="I571" s="12"/>
      <c r="J571" s="12"/>
    </row>
    <row r="572" spans="1:10" ht="24.75" customHeight="1" x14ac:dyDescent="0.2">
      <c r="A572" s="3">
        <v>8</v>
      </c>
      <c r="B572" s="3"/>
      <c r="C572" s="13" t="s">
        <v>1408</v>
      </c>
      <c r="D572" s="10" t="s">
        <v>1407</v>
      </c>
      <c r="E572" s="10" t="s">
        <v>1406</v>
      </c>
      <c r="F572" s="12"/>
      <c r="G572" s="12"/>
      <c r="H572" s="12"/>
      <c r="I572" s="12"/>
      <c r="J572" s="12"/>
    </row>
    <row r="573" spans="1:10" ht="24.75" customHeight="1" x14ac:dyDescent="0.2">
      <c r="A573" s="3">
        <v>9</v>
      </c>
      <c r="B573" s="3"/>
      <c r="C573" s="13" t="s">
        <v>1405</v>
      </c>
      <c r="D573" s="10" t="s">
        <v>1404</v>
      </c>
      <c r="E573" s="10" t="s">
        <v>1403</v>
      </c>
      <c r="F573" s="12"/>
      <c r="G573" s="12"/>
      <c r="H573" s="12"/>
      <c r="I573" s="12"/>
      <c r="J573" s="12"/>
    </row>
    <row r="574" spans="1:10" ht="24.75" customHeight="1" x14ac:dyDescent="0.2">
      <c r="A574" s="3">
        <v>10</v>
      </c>
      <c r="B574" s="3"/>
      <c r="C574" s="13" t="s">
        <v>1402</v>
      </c>
      <c r="D574" s="10" t="s">
        <v>1399</v>
      </c>
      <c r="E574" s="10" t="s">
        <v>1401</v>
      </c>
      <c r="F574" s="12"/>
      <c r="G574" s="12"/>
      <c r="H574" s="12"/>
      <c r="I574" s="12"/>
      <c r="J574" s="12"/>
    </row>
    <row r="575" spans="1:10" ht="24.75" customHeight="1" x14ac:dyDescent="0.2">
      <c r="A575" s="3">
        <v>11</v>
      </c>
      <c r="B575" s="3"/>
      <c r="C575" s="13" t="s">
        <v>1400</v>
      </c>
      <c r="D575" s="10" t="s">
        <v>1399</v>
      </c>
      <c r="E575" s="10" t="s">
        <v>1398</v>
      </c>
      <c r="F575" s="12"/>
      <c r="G575" s="12"/>
      <c r="H575" s="12"/>
      <c r="I575" s="12"/>
      <c r="J575" s="12"/>
    </row>
    <row r="576" spans="1:10" ht="24.75" customHeight="1" x14ac:dyDescent="0.2">
      <c r="A576" s="3">
        <v>12</v>
      </c>
      <c r="B576" s="3"/>
      <c r="C576" s="13" t="s">
        <v>1397</v>
      </c>
      <c r="D576" s="10" t="s">
        <v>1396</v>
      </c>
      <c r="E576" s="10" t="s">
        <v>1395</v>
      </c>
      <c r="F576" s="12"/>
      <c r="G576" s="12"/>
      <c r="H576" s="12"/>
      <c r="I576" s="12"/>
      <c r="J576" s="12"/>
    </row>
    <row r="577" spans="1:11" ht="24.75" customHeight="1" x14ac:dyDescent="0.2">
      <c r="A577" s="3">
        <v>13</v>
      </c>
      <c r="B577" s="3"/>
      <c r="C577" s="13" t="s">
        <v>1394</v>
      </c>
      <c r="D577" s="10" t="s">
        <v>1393</v>
      </c>
      <c r="E577" s="10" t="s">
        <v>1392</v>
      </c>
      <c r="F577" s="12"/>
      <c r="G577" s="12"/>
      <c r="H577" s="12"/>
      <c r="I577" s="12"/>
      <c r="J577" s="12"/>
    </row>
    <row r="578" spans="1:11" ht="24.75" customHeight="1" x14ac:dyDescent="0.2">
      <c r="A578" s="3">
        <v>14</v>
      </c>
      <c r="B578" s="3"/>
      <c r="C578" s="13" t="s">
        <v>1391</v>
      </c>
      <c r="D578" s="10" t="s">
        <v>1390</v>
      </c>
      <c r="E578" s="10" t="s">
        <v>1389</v>
      </c>
      <c r="F578" s="12"/>
      <c r="G578" s="12"/>
      <c r="H578" s="12"/>
      <c r="I578" s="12"/>
      <c r="J578" s="12"/>
    </row>
    <row r="579" spans="1:11" ht="24.75" customHeight="1" x14ac:dyDescent="0.2">
      <c r="A579" s="3">
        <v>15</v>
      </c>
      <c r="B579" s="3"/>
      <c r="C579" s="13" t="s">
        <v>1388</v>
      </c>
      <c r="D579" s="10" t="s">
        <v>1387</v>
      </c>
      <c r="E579" s="10" t="s">
        <v>1386</v>
      </c>
      <c r="F579" s="12"/>
      <c r="G579" s="12"/>
      <c r="H579" s="12"/>
      <c r="I579" s="12"/>
      <c r="J579" s="12"/>
    </row>
    <row r="580" spans="1:11" ht="24.75" customHeight="1" x14ac:dyDescent="0.2">
      <c r="A580" s="3">
        <v>16</v>
      </c>
      <c r="B580" s="3"/>
      <c r="C580" s="13" t="s">
        <v>1385</v>
      </c>
      <c r="D580" s="10" t="s">
        <v>91</v>
      </c>
      <c r="E580" s="10" t="s">
        <v>1384</v>
      </c>
      <c r="F580" s="12"/>
      <c r="G580" s="12"/>
      <c r="H580" s="12"/>
      <c r="I580" s="12"/>
      <c r="J580" s="12"/>
      <c r="K580" s="8"/>
    </row>
    <row r="581" spans="1:11" ht="24.75" customHeight="1" x14ac:dyDescent="0.2">
      <c r="A581" s="2">
        <v>17</v>
      </c>
      <c r="B581" s="2"/>
      <c r="C581" s="13" t="s">
        <v>1667</v>
      </c>
      <c r="D581" s="10" t="s">
        <v>1668</v>
      </c>
      <c r="E581" s="10" t="s">
        <v>1669</v>
      </c>
      <c r="F581" s="12"/>
      <c r="G581" s="12"/>
      <c r="H581" s="12"/>
      <c r="I581" s="12"/>
      <c r="J581" s="12"/>
    </row>
    <row r="582" spans="1:11" ht="24.75" customHeight="1" x14ac:dyDescent="0.2">
      <c r="A582" s="3"/>
      <c r="B582" s="8" t="s">
        <v>4</v>
      </c>
      <c r="C582" s="5" t="s">
        <v>1670</v>
      </c>
      <c r="D582" s="12"/>
      <c r="E582" s="12"/>
      <c r="F582" s="2" t="s">
        <v>0</v>
      </c>
      <c r="H582" s="12"/>
      <c r="I582" s="12"/>
      <c r="J582" s="2" t="s">
        <v>76</v>
      </c>
    </row>
    <row r="583" spans="1:11" ht="24.75" customHeight="1" x14ac:dyDescent="0.2">
      <c r="C583" s="14"/>
      <c r="D583" s="11"/>
      <c r="E583" s="11"/>
      <c r="F583" s="12" t="s">
        <v>3</v>
      </c>
      <c r="G583" s="12"/>
      <c r="H583" s="12"/>
      <c r="I583" s="12"/>
      <c r="J583" s="12"/>
    </row>
    <row r="584" spans="1:11" ht="24.75" customHeight="1" x14ac:dyDescent="0.2">
      <c r="A584" s="3">
        <v>1</v>
      </c>
      <c r="B584" s="3"/>
      <c r="C584" s="13" t="s">
        <v>1461</v>
      </c>
      <c r="D584" s="10" t="s">
        <v>1460</v>
      </c>
      <c r="E584" s="10" t="s">
        <v>1459</v>
      </c>
      <c r="F584" s="12"/>
      <c r="G584" s="12"/>
      <c r="H584" s="12"/>
      <c r="I584" s="12"/>
      <c r="J584" s="12"/>
    </row>
    <row r="585" spans="1:11" ht="24.75" customHeight="1" x14ac:dyDescent="0.2">
      <c r="A585" s="3">
        <v>2</v>
      </c>
      <c r="B585" s="3"/>
      <c r="C585" s="13" t="s">
        <v>1458</v>
      </c>
      <c r="D585" s="10" t="s">
        <v>1454</v>
      </c>
      <c r="E585" s="10" t="s">
        <v>18</v>
      </c>
      <c r="F585" s="12"/>
      <c r="G585" s="12"/>
      <c r="H585" s="12"/>
      <c r="I585" s="12"/>
      <c r="J585" s="12"/>
    </row>
    <row r="586" spans="1:11" ht="24.75" customHeight="1" x14ac:dyDescent="0.2">
      <c r="A586" s="3">
        <v>3</v>
      </c>
      <c r="B586" s="3"/>
      <c r="C586" s="13" t="s">
        <v>1457</v>
      </c>
      <c r="D586" s="10" t="s">
        <v>1454</v>
      </c>
      <c r="E586" s="10" t="s">
        <v>1456</v>
      </c>
      <c r="F586" s="12"/>
      <c r="G586" s="12"/>
      <c r="H586" s="12"/>
      <c r="I586" s="12"/>
      <c r="J586" s="12"/>
    </row>
    <row r="587" spans="1:11" ht="24.75" customHeight="1" x14ac:dyDescent="0.2">
      <c r="A587" s="3">
        <v>4</v>
      </c>
      <c r="B587" s="3"/>
      <c r="C587" s="13" t="s">
        <v>1455</v>
      </c>
      <c r="D587" s="10" t="s">
        <v>1454</v>
      </c>
      <c r="E587" s="10" t="s">
        <v>1453</v>
      </c>
      <c r="F587" s="12"/>
      <c r="G587" s="12"/>
      <c r="H587" s="12"/>
      <c r="I587" s="12"/>
      <c r="J587" s="12"/>
    </row>
    <row r="588" spans="1:11" ht="24.75" customHeight="1" x14ac:dyDescent="0.2">
      <c r="A588" s="3">
        <v>5</v>
      </c>
      <c r="B588" s="3"/>
      <c r="C588" s="13" t="s">
        <v>1452</v>
      </c>
      <c r="D588" s="10" t="s">
        <v>1451</v>
      </c>
      <c r="E588" s="10" t="s">
        <v>1450</v>
      </c>
      <c r="F588" s="12"/>
      <c r="G588" s="12"/>
      <c r="H588" s="12"/>
      <c r="I588" s="12"/>
      <c r="J588" s="12"/>
    </row>
    <row r="589" spans="1:11" ht="24.75" customHeight="1" x14ac:dyDescent="0.2">
      <c r="A589" s="3">
        <v>6</v>
      </c>
      <c r="B589" s="3"/>
      <c r="C589" s="13" t="s">
        <v>1449</v>
      </c>
      <c r="D589" s="10" t="s">
        <v>1448</v>
      </c>
      <c r="E589" s="10" t="s">
        <v>637</v>
      </c>
      <c r="F589" s="12"/>
      <c r="G589" s="12"/>
      <c r="H589" s="12"/>
      <c r="I589" s="12"/>
      <c r="J589" s="12"/>
    </row>
    <row r="590" spans="1:11" ht="24.75" customHeight="1" x14ac:dyDescent="0.2">
      <c r="A590" s="3">
        <v>7</v>
      </c>
      <c r="B590" s="3"/>
      <c r="C590" s="13" t="s">
        <v>1447</v>
      </c>
      <c r="D590" s="10" t="s">
        <v>100</v>
      </c>
      <c r="E590" s="10" t="s">
        <v>1446</v>
      </c>
      <c r="F590" s="12"/>
      <c r="G590" s="12"/>
      <c r="H590" s="12"/>
      <c r="I590" s="12"/>
      <c r="J590" s="12"/>
    </row>
    <row r="591" spans="1:11" ht="24.75" customHeight="1" x14ac:dyDescent="0.2">
      <c r="A591" s="3">
        <v>8</v>
      </c>
      <c r="B591" s="3"/>
      <c r="C591" s="13" t="s">
        <v>1445</v>
      </c>
      <c r="D591" s="10" t="s">
        <v>1444</v>
      </c>
      <c r="E591" s="10" t="s">
        <v>1443</v>
      </c>
      <c r="F591" s="12"/>
      <c r="G591" s="12"/>
      <c r="H591" s="12"/>
      <c r="I591" s="12"/>
      <c r="J591" s="12"/>
    </row>
    <row r="592" spans="1:11" ht="24.75" customHeight="1" x14ac:dyDescent="0.2">
      <c r="A592" s="3">
        <v>9</v>
      </c>
      <c r="B592" s="3"/>
      <c r="C592" s="13" t="s">
        <v>1442</v>
      </c>
      <c r="D592" s="10" t="s">
        <v>90</v>
      </c>
      <c r="E592" s="10" t="s">
        <v>1441</v>
      </c>
      <c r="F592" s="12"/>
      <c r="G592" s="12"/>
      <c r="H592" s="12"/>
      <c r="I592" s="12"/>
      <c r="J592" s="12"/>
    </row>
    <row r="593" spans="1:10" ht="24.75" customHeight="1" x14ac:dyDescent="0.2">
      <c r="A593" s="3">
        <v>10</v>
      </c>
      <c r="B593" s="3"/>
      <c r="C593" s="13" t="s">
        <v>1440</v>
      </c>
      <c r="D593" s="10" t="s">
        <v>1439</v>
      </c>
      <c r="E593" s="10" t="s">
        <v>1438</v>
      </c>
      <c r="F593" s="12"/>
      <c r="G593" s="12"/>
      <c r="H593" s="12"/>
      <c r="I593" s="12"/>
      <c r="J593" s="12"/>
    </row>
    <row r="594" spans="1:10" ht="24.75" customHeight="1" x14ac:dyDescent="0.2">
      <c r="A594" s="3">
        <v>11</v>
      </c>
      <c r="B594" s="3"/>
      <c r="C594" s="13" t="s">
        <v>1437</v>
      </c>
      <c r="D594" s="10" t="s">
        <v>99</v>
      </c>
      <c r="E594" s="10" t="s">
        <v>1436</v>
      </c>
      <c r="F594" s="12"/>
      <c r="G594" s="12"/>
      <c r="H594" s="12"/>
      <c r="I594" s="12"/>
      <c r="J594" s="12"/>
    </row>
    <row r="595" spans="1:10" ht="24.75" customHeight="1" x14ac:dyDescent="0.2">
      <c r="A595" s="3">
        <v>12</v>
      </c>
      <c r="B595" s="3"/>
      <c r="C595" s="13" t="s">
        <v>1435</v>
      </c>
      <c r="D595" s="10" t="s">
        <v>99</v>
      </c>
      <c r="E595" s="10" t="s">
        <v>1434</v>
      </c>
      <c r="F595" s="12"/>
      <c r="G595" s="12"/>
      <c r="H595" s="12"/>
      <c r="I595" s="12"/>
      <c r="J595" s="12"/>
    </row>
    <row r="596" spans="1:10" ht="24.75" customHeight="1" x14ac:dyDescent="0.2">
      <c r="A596" s="3">
        <v>13</v>
      </c>
      <c r="B596" s="3"/>
      <c r="C596" s="13" t="s">
        <v>1433</v>
      </c>
      <c r="D596" s="10" t="s">
        <v>99</v>
      </c>
      <c r="E596" s="10" t="s">
        <v>677</v>
      </c>
      <c r="F596" s="12"/>
      <c r="G596" s="12"/>
      <c r="H596" s="12"/>
      <c r="I596" s="12"/>
      <c r="J596" s="12"/>
    </row>
    <row r="597" spans="1:10" ht="24.75" customHeight="1" x14ac:dyDescent="0.2">
      <c r="A597" s="3">
        <v>14</v>
      </c>
      <c r="B597" s="3"/>
      <c r="C597" s="13" t="s">
        <v>1432</v>
      </c>
      <c r="D597" s="10" t="s">
        <v>108</v>
      </c>
      <c r="E597" s="10" t="s">
        <v>1431</v>
      </c>
      <c r="F597" s="12"/>
      <c r="G597" s="12"/>
      <c r="H597" s="12"/>
      <c r="I597" s="12"/>
      <c r="J597" s="12"/>
    </row>
    <row r="598" spans="1:10" ht="24.75" customHeight="1" x14ac:dyDescent="0.2">
      <c r="A598" s="3">
        <v>15</v>
      </c>
      <c r="B598" s="3"/>
      <c r="C598" s="13" t="s">
        <v>1430</v>
      </c>
      <c r="D598" s="10" t="s">
        <v>108</v>
      </c>
      <c r="E598" s="10" t="s">
        <v>637</v>
      </c>
      <c r="F598" s="12"/>
      <c r="G598" s="12"/>
      <c r="H598" s="12"/>
      <c r="I598" s="12"/>
      <c r="J598" s="12"/>
    </row>
    <row r="599" spans="1:10" ht="24.75" customHeight="1" x14ac:dyDescent="0.2">
      <c r="A599" s="3">
        <v>16</v>
      </c>
      <c r="B599" s="3"/>
      <c r="C599" s="13" t="s">
        <v>1429</v>
      </c>
      <c r="D599" s="10" t="s">
        <v>1428</v>
      </c>
      <c r="E599" s="10" t="s">
        <v>1427</v>
      </c>
      <c r="F599" s="12"/>
      <c r="G599" s="12"/>
      <c r="H599" s="12"/>
      <c r="I599" s="12"/>
      <c r="J599" s="12"/>
    </row>
    <row r="600" spans="1:10" ht="24.75" customHeight="1" x14ac:dyDescent="0.2">
      <c r="A600" s="2">
        <v>17</v>
      </c>
      <c r="B600" s="2"/>
      <c r="C600" s="13" t="s">
        <v>1665</v>
      </c>
      <c r="D600" s="10" t="s">
        <v>1666</v>
      </c>
      <c r="E600" s="10" t="s">
        <v>343</v>
      </c>
      <c r="F600" s="12"/>
      <c r="G600" s="12"/>
      <c r="H600" s="12"/>
      <c r="I600" s="12"/>
      <c r="J600" s="12"/>
    </row>
    <row r="601" spans="1:10" ht="24.75" customHeight="1" x14ac:dyDescent="0.2">
      <c r="A601" s="3"/>
      <c r="B601" s="8" t="s">
        <v>4</v>
      </c>
      <c r="C601" s="5" t="s">
        <v>1671</v>
      </c>
      <c r="D601" s="12"/>
      <c r="E601" s="12"/>
      <c r="F601" s="2" t="s">
        <v>0</v>
      </c>
      <c r="H601" s="12"/>
      <c r="I601" s="12"/>
      <c r="J601" s="2" t="s">
        <v>77</v>
      </c>
    </row>
    <row r="602" spans="1:10" ht="24.75" customHeight="1" x14ac:dyDescent="0.2">
      <c r="D602" s="6"/>
      <c r="E602" s="6"/>
      <c r="F602" s="12" t="s">
        <v>3</v>
      </c>
      <c r="G602" s="12"/>
      <c r="H602" s="12"/>
      <c r="I602" s="12"/>
      <c r="J602" s="12"/>
    </row>
    <row r="603" spans="1:10" ht="24.75" customHeight="1" x14ac:dyDescent="0.2">
      <c r="A603" s="3">
        <v>1</v>
      </c>
      <c r="B603" s="3"/>
      <c r="C603" s="13" t="s">
        <v>1503</v>
      </c>
      <c r="D603" s="10" t="s">
        <v>1500</v>
      </c>
      <c r="E603" s="10" t="s">
        <v>1502</v>
      </c>
      <c r="F603" s="12"/>
      <c r="G603" s="12"/>
      <c r="H603" s="12"/>
      <c r="I603" s="12"/>
      <c r="J603" s="12"/>
    </row>
    <row r="604" spans="1:10" ht="24.75" customHeight="1" x14ac:dyDescent="0.2">
      <c r="A604" s="3">
        <v>2</v>
      </c>
      <c r="B604" s="3"/>
      <c r="C604" s="13" t="s">
        <v>1501</v>
      </c>
      <c r="D604" s="10" t="s">
        <v>1500</v>
      </c>
      <c r="E604" s="10" t="s">
        <v>343</v>
      </c>
      <c r="F604" s="12"/>
      <c r="G604" s="12"/>
      <c r="H604" s="12"/>
      <c r="I604" s="12"/>
      <c r="J604" s="12"/>
    </row>
    <row r="605" spans="1:10" ht="24.75" customHeight="1" x14ac:dyDescent="0.2">
      <c r="A605" s="3">
        <v>3</v>
      </c>
      <c r="B605" s="3"/>
      <c r="C605" s="13" t="s">
        <v>1499</v>
      </c>
      <c r="D605" s="10" t="s">
        <v>1498</v>
      </c>
      <c r="E605" s="10" t="s">
        <v>1160</v>
      </c>
      <c r="F605" s="12"/>
      <c r="G605" s="12"/>
      <c r="H605" s="12"/>
      <c r="I605" s="12"/>
      <c r="J605" s="12"/>
    </row>
    <row r="606" spans="1:10" ht="24.75" customHeight="1" x14ac:dyDescent="0.2">
      <c r="A606" s="3">
        <v>4</v>
      </c>
      <c r="B606" s="3"/>
      <c r="C606" s="13" t="s">
        <v>1497</v>
      </c>
      <c r="D606" s="10" t="s">
        <v>1496</v>
      </c>
      <c r="E606" s="10" t="s">
        <v>1495</v>
      </c>
      <c r="F606" s="12"/>
      <c r="G606" s="12"/>
      <c r="H606" s="12"/>
      <c r="I606" s="12"/>
      <c r="J606" s="12"/>
    </row>
    <row r="607" spans="1:10" ht="24.75" customHeight="1" x14ac:dyDescent="0.2">
      <c r="A607" s="3">
        <v>5</v>
      </c>
      <c r="B607" s="3"/>
      <c r="C607" s="13" t="s">
        <v>1494</v>
      </c>
      <c r="D607" s="10" t="s">
        <v>1493</v>
      </c>
      <c r="E607" s="10" t="s">
        <v>1492</v>
      </c>
      <c r="F607" s="12"/>
      <c r="G607" s="12"/>
      <c r="H607" s="12"/>
      <c r="I607" s="12"/>
      <c r="J607" s="12"/>
    </row>
    <row r="608" spans="1:10" ht="24.75" customHeight="1" x14ac:dyDescent="0.2">
      <c r="A608" s="3">
        <v>6</v>
      </c>
      <c r="B608" s="3"/>
      <c r="C608" s="13" t="s">
        <v>1491</v>
      </c>
      <c r="D608" s="10" t="s">
        <v>1490</v>
      </c>
      <c r="E608" s="10" t="s">
        <v>1489</v>
      </c>
      <c r="F608" s="12"/>
      <c r="G608" s="12"/>
      <c r="H608" s="12"/>
      <c r="I608" s="12"/>
      <c r="J608" s="12"/>
    </row>
    <row r="609" spans="1:10" ht="24.75" customHeight="1" x14ac:dyDescent="0.2">
      <c r="A609" s="3">
        <v>7</v>
      </c>
      <c r="B609" s="3"/>
      <c r="C609" s="13" t="s">
        <v>1488</v>
      </c>
      <c r="D609" s="10" t="s">
        <v>1487</v>
      </c>
      <c r="E609" s="10" t="s">
        <v>1486</v>
      </c>
      <c r="F609" s="12"/>
      <c r="G609" s="12"/>
      <c r="H609" s="12"/>
      <c r="I609" s="12"/>
      <c r="J609" s="12"/>
    </row>
    <row r="610" spans="1:10" ht="24.75" customHeight="1" x14ac:dyDescent="0.2">
      <c r="A610" s="3">
        <v>8</v>
      </c>
      <c r="B610" s="3"/>
      <c r="C610" s="13" t="s">
        <v>1485</v>
      </c>
      <c r="D610" s="10" t="s">
        <v>1484</v>
      </c>
      <c r="E610" s="10" t="s">
        <v>1237</v>
      </c>
      <c r="F610" s="12"/>
      <c r="G610" s="12"/>
      <c r="H610" s="12"/>
      <c r="I610" s="12"/>
      <c r="J610" s="12"/>
    </row>
    <row r="611" spans="1:10" ht="24.75" customHeight="1" x14ac:dyDescent="0.2">
      <c r="A611" s="3">
        <v>9</v>
      </c>
      <c r="B611" s="3"/>
      <c r="C611" s="13" t="s">
        <v>1483</v>
      </c>
      <c r="D611" s="10" t="s">
        <v>1482</v>
      </c>
      <c r="E611" s="10" t="s">
        <v>306</v>
      </c>
      <c r="F611" s="12"/>
      <c r="G611" s="12"/>
      <c r="H611" s="12"/>
      <c r="I611" s="12"/>
      <c r="J611" s="12"/>
    </row>
    <row r="612" spans="1:10" ht="24.75" customHeight="1" x14ac:dyDescent="0.2">
      <c r="A612" s="3">
        <v>10</v>
      </c>
      <c r="B612" s="3"/>
      <c r="C612" s="13" t="s">
        <v>1481</v>
      </c>
      <c r="D612" s="10" t="s">
        <v>1480</v>
      </c>
      <c r="E612" s="10" t="s">
        <v>1479</v>
      </c>
      <c r="F612" s="12"/>
      <c r="G612" s="12"/>
      <c r="H612" s="12"/>
      <c r="I612" s="12"/>
      <c r="J612" s="12"/>
    </row>
    <row r="613" spans="1:10" ht="24.75" customHeight="1" x14ac:dyDescent="0.2">
      <c r="A613" s="3">
        <v>11</v>
      </c>
      <c r="B613" s="3"/>
      <c r="C613" s="13" t="s">
        <v>1478</v>
      </c>
      <c r="D613" s="10" t="s">
        <v>1477</v>
      </c>
      <c r="E613" s="10" t="s">
        <v>1476</v>
      </c>
      <c r="F613" s="12"/>
      <c r="G613" s="12"/>
      <c r="H613" s="12"/>
      <c r="I613" s="12"/>
      <c r="J613" s="12"/>
    </row>
    <row r="614" spans="1:10" ht="24.75" customHeight="1" x14ac:dyDescent="0.2">
      <c r="A614" s="3">
        <v>12</v>
      </c>
      <c r="B614" s="3"/>
      <c r="C614" s="13" t="s">
        <v>1475</v>
      </c>
      <c r="D614" s="10" t="s">
        <v>1474</v>
      </c>
      <c r="E614" s="10" t="s">
        <v>1473</v>
      </c>
      <c r="F614" s="12"/>
      <c r="G614" s="12"/>
      <c r="H614" s="12"/>
      <c r="I614" s="12"/>
      <c r="J614" s="12"/>
    </row>
    <row r="615" spans="1:10" ht="24.75" customHeight="1" x14ac:dyDescent="0.2">
      <c r="A615" s="3">
        <v>13</v>
      </c>
      <c r="B615" s="3"/>
      <c r="C615" s="13" t="s">
        <v>1472</v>
      </c>
      <c r="D615" s="10" t="s">
        <v>1469</v>
      </c>
      <c r="E615" s="10" t="s">
        <v>1471</v>
      </c>
      <c r="F615" s="12"/>
      <c r="G615" s="12"/>
      <c r="H615" s="12"/>
      <c r="I615" s="12"/>
      <c r="J615" s="12"/>
    </row>
    <row r="616" spans="1:10" ht="24.75" customHeight="1" x14ac:dyDescent="0.2">
      <c r="A616" s="3">
        <v>14</v>
      </c>
      <c r="B616" s="3"/>
      <c r="C616" s="13" t="s">
        <v>1470</v>
      </c>
      <c r="D616" s="10" t="s">
        <v>1469</v>
      </c>
      <c r="E616" s="10" t="s">
        <v>1468</v>
      </c>
      <c r="F616" s="12"/>
      <c r="G616" s="12"/>
      <c r="H616" s="12"/>
      <c r="I616" s="12"/>
      <c r="J616" s="12"/>
    </row>
    <row r="617" spans="1:10" ht="24.75" customHeight="1" x14ac:dyDescent="0.2">
      <c r="A617" s="3">
        <v>15</v>
      </c>
      <c r="B617" s="3"/>
      <c r="C617" s="13" t="s">
        <v>1467</v>
      </c>
      <c r="D617" s="10" t="s">
        <v>1466</v>
      </c>
      <c r="E617" s="10" t="s">
        <v>1465</v>
      </c>
      <c r="F617" s="12"/>
      <c r="G617" s="12"/>
      <c r="H617" s="12"/>
      <c r="I617" s="12"/>
      <c r="J617" s="12"/>
    </row>
    <row r="618" spans="1:10" ht="24.75" customHeight="1" x14ac:dyDescent="0.2">
      <c r="A618" s="3">
        <v>16</v>
      </c>
      <c r="B618" s="3"/>
      <c r="C618" s="13" t="s">
        <v>1464</v>
      </c>
      <c r="D618" s="10" t="s">
        <v>1463</v>
      </c>
      <c r="E618" s="10" t="s">
        <v>1462</v>
      </c>
      <c r="F618" s="12"/>
      <c r="G618" s="12"/>
      <c r="H618" s="12"/>
      <c r="I618" s="12"/>
      <c r="J618" s="12"/>
    </row>
    <row r="619" spans="1:10" ht="24.75" customHeight="1" x14ac:dyDescent="0.2">
      <c r="A619" s="2">
        <v>17</v>
      </c>
      <c r="B619" s="2"/>
      <c r="C619" s="13" t="s">
        <v>1662</v>
      </c>
      <c r="D619" s="10" t="s">
        <v>1663</v>
      </c>
      <c r="E619" s="10" t="s">
        <v>1664</v>
      </c>
      <c r="F619" s="12"/>
      <c r="G619" s="12"/>
      <c r="H619" s="12"/>
      <c r="I619" s="12"/>
      <c r="J619" s="12"/>
    </row>
    <row r="620" spans="1:10" ht="24.75" customHeight="1" x14ac:dyDescent="0.2">
      <c r="A620" s="2"/>
      <c r="B620" s="8" t="s">
        <v>4</v>
      </c>
      <c r="C620" s="9" t="s">
        <v>1672</v>
      </c>
      <c r="D620" s="12"/>
      <c r="E620" s="12"/>
      <c r="F620" s="2" t="s">
        <v>0</v>
      </c>
      <c r="H620" s="12"/>
      <c r="I620" s="12"/>
      <c r="J620" s="2" t="s">
        <v>78</v>
      </c>
    </row>
    <row r="621" spans="1:10" ht="24.75" customHeight="1" x14ac:dyDescent="0.2">
      <c r="A621" s="2"/>
      <c r="B621" s="2"/>
      <c r="C621" s="9"/>
      <c r="D621" s="2"/>
      <c r="E621" s="2"/>
      <c r="F621" s="12" t="s">
        <v>3</v>
      </c>
      <c r="G621" s="12"/>
      <c r="H621" s="12"/>
      <c r="I621" s="12"/>
      <c r="J621" s="12"/>
    </row>
    <row r="622" spans="1:10" ht="24.75" customHeight="1" x14ac:dyDescent="0.2">
      <c r="A622" s="2">
        <v>1</v>
      </c>
      <c r="B622" s="3"/>
      <c r="C622" s="13" t="s">
        <v>1539</v>
      </c>
      <c r="D622" s="10" t="s">
        <v>1538</v>
      </c>
      <c r="E622" s="10" t="s">
        <v>10</v>
      </c>
      <c r="F622" s="12"/>
      <c r="G622" s="12"/>
      <c r="H622" s="12"/>
      <c r="I622" s="12"/>
      <c r="J622" s="12"/>
    </row>
    <row r="623" spans="1:10" ht="24.75" customHeight="1" x14ac:dyDescent="0.2">
      <c r="A623" s="2">
        <v>2</v>
      </c>
      <c r="B623" s="3"/>
      <c r="C623" s="13" t="s">
        <v>1537</v>
      </c>
      <c r="D623" s="10" t="s">
        <v>1536</v>
      </c>
      <c r="E623" s="10" t="s">
        <v>349</v>
      </c>
      <c r="F623" s="12"/>
      <c r="G623" s="12"/>
      <c r="H623" s="12"/>
      <c r="I623" s="12"/>
      <c r="J623" s="12"/>
    </row>
    <row r="624" spans="1:10" ht="24.75" customHeight="1" x14ac:dyDescent="0.2">
      <c r="A624" s="2">
        <v>3</v>
      </c>
      <c r="B624" s="3"/>
      <c r="C624" s="13" t="s">
        <v>1535</v>
      </c>
      <c r="D624" s="10" t="s">
        <v>1534</v>
      </c>
      <c r="E624" s="10" t="s">
        <v>1533</v>
      </c>
      <c r="F624" s="12"/>
      <c r="G624" s="12"/>
      <c r="H624" s="12"/>
      <c r="I624" s="12"/>
      <c r="J624" s="12"/>
    </row>
    <row r="625" spans="1:10" ht="24.75" customHeight="1" x14ac:dyDescent="0.2">
      <c r="A625" s="2">
        <v>4</v>
      </c>
      <c r="B625" s="3"/>
      <c r="C625" s="13" t="s">
        <v>1532</v>
      </c>
      <c r="D625" s="10" t="s">
        <v>155</v>
      </c>
      <c r="E625" s="10" t="s">
        <v>1531</v>
      </c>
      <c r="F625" s="12"/>
      <c r="G625" s="12"/>
      <c r="H625" s="12"/>
      <c r="I625" s="12"/>
      <c r="J625" s="12"/>
    </row>
    <row r="626" spans="1:10" ht="24.75" customHeight="1" x14ac:dyDescent="0.2">
      <c r="A626" s="2">
        <v>5</v>
      </c>
      <c r="B626" s="3"/>
      <c r="C626" s="13" t="s">
        <v>1530</v>
      </c>
      <c r="D626" s="10" t="s">
        <v>155</v>
      </c>
      <c r="E626" s="10" t="s">
        <v>1529</v>
      </c>
      <c r="F626" s="12"/>
      <c r="G626" s="12"/>
      <c r="H626" s="12"/>
      <c r="I626" s="12"/>
      <c r="J626" s="12"/>
    </row>
    <row r="627" spans="1:10" ht="24.75" customHeight="1" x14ac:dyDescent="0.2">
      <c r="A627" s="2">
        <v>6</v>
      </c>
      <c r="B627" s="3"/>
      <c r="C627" s="13" t="s">
        <v>1528</v>
      </c>
      <c r="D627" s="10" t="s">
        <v>1527</v>
      </c>
      <c r="E627" s="10" t="s">
        <v>1140</v>
      </c>
      <c r="F627" s="12"/>
      <c r="G627" s="12"/>
      <c r="H627" s="12"/>
      <c r="I627" s="12"/>
      <c r="J627" s="12"/>
    </row>
    <row r="628" spans="1:10" ht="24.75" customHeight="1" x14ac:dyDescent="0.2">
      <c r="A628" s="2">
        <v>7</v>
      </c>
      <c r="B628" s="3"/>
      <c r="C628" s="13" t="s">
        <v>1526</v>
      </c>
      <c r="D628" s="10" t="s">
        <v>1525</v>
      </c>
      <c r="E628" s="10" t="s">
        <v>1524</v>
      </c>
      <c r="F628" s="12"/>
      <c r="G628" s="12"/>
      <c r="H628" s="12"/>
      <c r="I628" s="12"/>
      <c r="J628" s="12"/>
    </row>
    <row r="629" spans="1:10" ht="24.75" customHeight="1" x14ac:dyDescent="0.2">
      <c r="A629" s="2">
        <v>8</v>
      </c>
      <c r="B629" s="3"/>
      <c r="C629" s="13" t="s">
        <v>1523</v>
      </c>
      <c r="D629" s="10" t="s">
        <v>1522</v>
      </c>
      <c r="E629" s="10" t="s">
        <v>1521</v>
      </c>
      <c r="F629" s="12"/>
      <c r="G629" s="12"/>
      <c r="H629" s="12"/>
      <c r="I629" s="12"/>
      <c r="J629" s="12"/>
    </row>
    <row r="630" spans="1:10" ht="24.75" customHeight="1" x14ac:dyDescent="0.2">
      <c r="A630" s="2">
        <v>9</v>
      </c>
      <c r="B630" s="3"/>
      <c r="C630" s="13" t="s">
        <v>1520</v>
      </c>
      <c r="D630" s="10" t="s">
        <v>1519</v>
      </c>
      <c r="E630" s="10" t="s">
        <v>625</v>
      </c>
      <c r="F630" s="12"/>
      <c r="G630" s="12"/>
      <c r="H630" s="12"/>
      <c r="I630" s="12"/>
      <c r="J630" s="12"/>
    </row>
    <row r="631" spans="1:10" ht="24.75" customHeight="1" x14ac:dyDescent="0.2">
      <c r="A631" s="2">
        <v>10</v>
      </c>
      <c r="B631" s="3"/>
      <c r="C631" s="13" t="s">
        <v>1518</v>
      </c>
      <c r="D631" s="10" t="s">
        <v>1517</v>
      </c>
      <c r="E631" s="10" t="s">
        <v>1516</v>
      </c>
      <c r="F631" s="12"/>
      <c r="G631" s="12"/>
      <c r="H631" s="12"/>
      <c r="I631" s="12"/>
      <c r="J631" s="12"/>
    </row>
    <row r="632" spans="1:10" ht="24.75" customHeight="1" x14ac:dyDescent="0.2">
      <c r="A632" s="2">
        <v>11</v>
      </c>
      <c r="B632" s="3"/>
      <c r="C632" s="13" t="s">
        <v>1515</v>
      </c>
      <c r="D632" s="10" t="s">
        <v>1512</v>
      </c>
      <c r="E632" s="10" t="s">
        <v>1514</v>
      </c>
      <c r="F632" s="12"/>
      <c r="G632" s="12"/>
      <c r="H632" s="12"/>
      <c r="I632" s="12"/>
      <c r="J632" s="12"/>
    </row>
    <row r="633" spans="1:10" ht="24.75" customHeight="1" x14ac:dyDescent="0.2">
      <c r="A633" s="2">
        <v>12</v>
      </c>
      <c r="B633" s="3"/>
      <c r="C633" s="13" t="s">
        <v>1513</v>
      </c>
      <c r="D633" s="10" t="s">
        <v>1512</v>
      </c>
      <c r="E633" s="10" t="s">
        <v>1253</v>
      </c>
      <c r="F633" s="12"/>
      <c r="G633" s="12"/>
      <c r="H633" s="12"/>
      <c r="I633" s="12"/>
      <c r="J633" s="12"/>
    </row>
    <row r="634" spans="1:10" ht="24.75" customHeight="1" x14ac:dyDescent="0.2">
      <c r="A634" s="2">
        <v>13</v>
      </c>
      <c r="B634" s="3"/>
      <c r="C634" s="13" t="s">
        <v>1511</v>
      </c>
      <c r="D634" s="10" t="s">
        <v>1510</v>
      </c>
      <c r="E634" s="10" t="s">
        <v>19</v>
      </c>
      <c r="F634" s="12"/>
      <c r="G634" s="12"/>
      <c r="H634" s="12"/>
      <c r="I634" s="12"/>
      <c r="J634" s="12"/>
    </row>
    <row r="635" spans="1:10" ht="24.75" customHeight="1" x14ac:dyDescent="0.2">
      <c r="A635" s="2">
        <v>14</v>
      </c>
      <c r="B635" s="3"/>
      <c r="C635" s="13" t="s">
        <v>1509</v>
      </c>
      <c r="D635" s="10" t="s">
        <v>148</v>
      </c>
      <c r="E635" s="10" t="s">
        <v>982</v>
      </c>
      <c r="F635" s="12"/>
      <c r="G635" s="12"/>
      <c r="H635" s="12"/>
      <c r="I635" s="12"/>
      <c r="J635" s="12"/>
    </row>
    <row r="636" spans="1:10" ht="24.75" customHeight="1" x14ac:dyDescent="0.2">
      <c r="A636" s="2">
        <v>15</v>
      </c>
      <c r="B636" s="3"/>
      <c r="C636" s="13" t="s">
        <v>1508</v>
      </c>
      <c r="D636" s="10" t="s">
        <v>1507</v>
      </c>
      <c r="E636" s="10" t="s">
        <v>1506</v>
      </c>
      <c r="F636" s="12"/>
      <c r="G636" s="12"/>
      <c r="H636" s="12"/>
      <c r="I636" s="12"/>
      <c r="J636" s="12"/>
    </row>
    <row r="637" spans="1:10" ht="24.75" customHeight="1" x14ac:dyDescent="0.2">
      <c r="A637" s="2">
        <v>16</v>
      </c>
      <c r="B637" s="3"/>
      <c r="C637" s="13" t="s">
        <v>1505</v>
      </c>
      <c r="D637" s="10" t="s">
        <v>1504</v>
      </c>
      <c r="E637" s="10" t="s">
        <v>97</v>
      </c>
      <c r="F637" s="12"/>
      <c r="G637" s="12"/>
      <c r="H637" s="12"/>
      <c r="I637" s="12"/>
      <c r="J637" s="12"/>
    </row>
    <row r="638" spans="1:10" ht="24.75" customHeight="1" x14ac:dyDescent="0.2">
      <c r="A638" s="2">
        <v>17</v>
      </c>
      <c r="B638" s="2"/>
      <c r="C638" s="13" t="s">
        <v>1661</v>
      </c>
      <c r="D638" s="10" t="s">
        <v>1660</v>
      </c>
      <c r="E638" s="10" t="s">
        <v>1636</v>
      </c>
      <c r="F638" s="12"/>
      <c r="G638" s="12"/>
      <c r="H638" s="12"/>
      <c r="I638" s="12"/>
      <c r="J638" s="12"/>
    </row>
    <row r="639" spans="1:10" ht="24.75" customHeight="1" x14ac:dyDescent="0.2">
      <c r="B639" s="8" t="s">
        <v>4</v>
      </c>
      <c r="C639" s="5" t="s">
        <v>1673</v>
      </c>
      <c r="D639" s="12"/>
      <c r="E639" s="12"/>
      <c r="F639" s="2" t="s">
        <v>0</v>
      </c>
      <c r="H639" s="12"/>
      <c r="I639" s="12"/>
      <c r="J639" s="2" t="s">
        <v>79</v>
      </c>
    </row>
    <row r="640" spans="1:10" ht="24.75" customHeight="1" x14ac:dyDescent="0.2">
      <c r="D640" s="6"/>
      <c r="E640" s="6"/>
      <c r="F640" s="12" t="s">
        <v>3</v>
      </c>
      <c r="G640" s="12"/>
      <c r="H640" s="12"/>
      <c r="I640" s="12"/>
      <c r="J640" s="12"/>
    </row>
    <row r="641" spans="1:10" ht="24.75" customHeight="1" x14ac:dyDescent="0.2">
      <c r="A641" s="3">
        <v>1</v>
      </c>
      <c r="B641" s="3"/>
      <c r="C641" s="13" t="s">
        <v>1578</v>
      </c>
      <c r="D641" s="10" t="s">
        <v>1577</v>
      </c>
      <c r="E641" s="10" t="s">
        <v>1576</v>
      </c>
      <c r="F641" s="12"/>
      <c r="G641" s="12"/>
      <c r="H641" s="12"/>
      <c r="I641" s="12"/>
      <c r="J641" s="12"/>
    </row>
    <row r="642" spans="1:10" ht="24.75" customHeight="1" x14ac:dyDescent="0.2">
      <c r="A642" s="3">
        <v>2</v>
      </c>
      <c r="B642" s="3"/>
      <c r="C642" s="13" t="s">
        <v>1575</v>
      </c>
      <c r="D642" s="10" t="s">
        <v>1574</v>
      </c>
      <c r="E642" s="10" t="s">
        <v>1573</v>
      </c>
      <c r="F642" s="12"/>
      <c r="G642" s="12"/>
      <c r="H642" s="12"/>
      <c r="I642" s="12"/>
      <c r="J642" s="12"/>
    </row>
    <row r="643" spans="1:10" ht="24.75" customHeight="1" x14ac:dyDescent="0.2">
      <c r="A643" s="3">
        <v>3</v>
      </c>
      <c r="B643" s="3"/>
      <c r="C643" s="13" t="s">
        <v>1572</v>
      </c>
      <c r="D643" s="10" t="s">
        <v>154</v>
      </c>
      <c r="E643" s="10" t="s">
        <v>1571</v>
      </c>
      <c r="F643" s="12"/>
      <c r="G643" s="12"/>
      <c r="H643" s="12"/>
      <c r="I643" s="12"/>
      <c r="J643" s="12"/>
    </row>
    <row r="644" spans="1:10" ht="24.75" customHeight="1" x14ac:dyDescent="0.2">
      <c r="A644" s="3">
        <v>4</v>
      </c>
      <c r="B644" s="3"/>
      <c r="C644" s="13" t="s">
        <v>1570</v>
      </c>
      <c r="D644" s="10" t="s">
        <v>1569</v>
      </c>
      <c r="E644" s="10" t="s">
        <v>1568</v>
      </c>
      <c r="F644" s="12"/>
      <c r="G644" s="12"/>
      <c r="H644" s="12"/>
      <c r="I644" s="12"/>
      <c r="J644" s="12"/>
    </row>
    <row r="645" spans="1:10" ht="24.75" customHeight="1" x14ac:dyDescent="0.2">
      <c r="A645" s="3">
        <v>5</v>
      </c>
      <c r="B645" s="3"/>
      <c r="C645" s="13" t="s">
        <v>1567</v>
      </c>
      <c r="D645" s="10" t="s">
        <v>1566</v>
      </c>
      <c r="E645" s="10" t="s">
        <v>368</v>
      </c>
      <c r="F645" s="12"/>
      <c r="G645" s="12"/>
      <c r="H645" s="12"/>
      <c r="I645" s="12"/>
      <c r="J645" s="12"/>
    </row>
    <row r="646" spans="1:10" ht="24.75" customHeight="1" x14ac:dyDescent="0.2">
      <c r="A646" s="3">
        <v>6</v>
      </c>
      <c r="B646" s="3"/>
      <c r="C646" s="13" t="s">
        <v>1565</v>
      </c>
      <c r="D646" s="10" t="s">
        <v>104</v>
      </c>
      <c r="E646" s="10" t="s">
        <v>1564</v>
      </c>
      <c r="F646" s="12"/>
      <c r="G646" s="12"/>
      <c r="H646" s="12"/>
      <c r="I646" s="12"/>
      <c r="J646" s="12"/>
    </row>
    <row r="647" spans="1:10" ht="24.75" customHeight="1" x14ac:dyDescent="0.2">
      <c r="A647" s="3">
        <v>7</v>
      </c>
      <c r="B647" s="3"/>
      <c r="C647" s="13" t="s">
        <v>1563</v>
      </c>
      <c r="D647" s="10" t="s">
        <v>104</v>
      </c>
      <c r="E647" s="10" t="s">
        <v>1562</v>
      </c>
      <c r="F647" s="12"/>
      <c r="G647" s="12"/>
      <c r="H647" s="12"/>
      <c r="I647" s="12"/>
      <c r="J647" s="12"/>
    </row>
    <row r="648" spans="1:10" ht="24.75" customHeight="1" x14ac:dyDescent="0.2">
      <c r="A648" s="3">
        <v>8</v>
      </c>
      <c r="B648" s="3"/>
      <c r="C648" s="13" t="s">
        <v>1561</v>
      </c>
      <c r="D648" s="10" t="s">
        <v>1560</v>
      </c>
      <c r="E648" s="10" t="s">
        <v>1559</v>
      </c>
      <c r="F648" s="12"/>
      <c r="G648" s="12"/>
      <c r="H648" s="12"/>
      <c r="I648" s="12"/>
      <c r="J648" s="12"/>
    </row>
    <row r="649" spans="1:10" ht="24.75" customHeight="1" x14ac:dyDescent="0.2">
      <c r="A649" s="3">
        <v>9</v>
      </c>
      <c r="B649" s="3"/>
      <c r="C649" s="13" t="s">
        <v>1558</v>
      </c>
      <c r="D649" s="10" t="s">
        <v>1557</v>
      </c>
      <c r="E649" s="10" t="s">
        <v>1556</v>
      </c>
      <c r="F649" s="12"/>
      <c r="G649" s="12"/>
      <c r="H649" s="12"/>
      <c r="I649" s="12"/>
      <c r="J649" s="12"/>
    </row>
    <row r="650" spans="1:10" ht="24.75" customHeight="1" x14ac:dyDescent="0.2">
      <c r="A650" s="3">
        <v>10</v>
      </c>
      <c r="B650" s="3"/>
      <c r="C650" s="13" t="s">
        <v>1555</v>
      </c>
      <c r="D650" s="10" t="s">
        <v>1554</v>
      </c>
      <c r="E650" s="10" t="s">
        <v>1553</v>
      </c>
      <c r="F650" s="12"/>
      <c r="G650" s="12"/>
      <c r="H650" s="12"/>
      <c r="I650" s="12"/>
      <c r="J650" s="12"/>
    </row>
    <row r="651" spans="1:10" ht="24.75" customHeight="1" x14ac:dyDescent="0.2">
      <c r="A651" s="3">
        <v>11</v>
      </c>
      <c r="B651" s="3"/>
      <c r="C651" s="13" t="s">
        <v>1552</v>
      </c>
      <c r="D651" s="10" t="s">
        <v>1551</v>
      </c>
      <c r="E651" s="10" t="s">
        <v>1550</v>
      </c>
      <c r="F651" s="12"/>
      <c r="G651" s="12"/>
      <c r="H651" s="12"/>
      <c r="I651" s="12"/>
      <c r="J651" s="12"/>
    </row>
    <row r="652" spans="1:10" ht="24.75" customHeight="1" x14ac:dyDescent="0.2">
      <c r="A652" s="3">
        <v>12</v>
      </c>
      <c r="B652" s="3"/>
      <c r="C652" s="13" t="s">
        <v>1549</v>
      </c>
      <c r="D652" s="10" t="s">
        <v>1548</v>
      </c>
      <c r="E652" s="10" t="s">
        <v>1547</v>
      </c>
      <c r="F652" s="12"/>
      <c r="G652" s="12"/>
      <c r="H652" s="12"/>
      <c r="I652" s="12"/>
      <c r="J652" s="12"/>
    </row>
    <row r="653" spans="1:10" ht="24.75" customHeight="1" x14ac:dyDescent="0.2">
      <c r="A653" s="3">
        <v>13</v>
      </c>
      <c r="B653" s="3"/>
      <c r="C653" s="13" t="s">
        <v>1546</v>
      </c>
      <c r="D653" s="10" t="s">
        <v>1545</v>
      </c>
      <c r="E653" s="10" t="s">
        <v>1544</v>
      </c>
      <c r="F653" s="12"/>
      <c r="G653" s="12"/>
      <c r="H653" s="12"/>
      <c r="I653" s="12"/>
      <c r="J653" s="12"/>
    </row>
    <row r="654" spans="1:10" ht="24.75" customHeight="1" x14ac:dyDescent="0.2">
      <c r="A654" s="3">
        <v>14</v>
      </c>
      <c r="B654" s="3"/>
      <c r="C654" s="13" t="s">
        <v>1543</v>
      </c>
      <c r="D654" s="10" t="s">
        <v>85</v>
      </c>
      <c r="E654" s="10" t="s">
        <v>1135</v>
      </c>
      <c r="F654" s="12"/>
      <c r="G654" s="12"/>
      <c r="H654" s="12"/>
      <c r="I654" s="12"/>
      <c r="J654" s="12"/>
    </row>
    <row r="655" spans="1:10" ht="24.75" customHeight="1" x14ac:dyDescent="0.2">
      <c r="A655" s="3">
        <v>15</v>
      </c>
      <c r="B655" s="3"/>
      <c r="C655" s="13" t="s">
        <v>1542</v>
      </c>
      <c r="D655" s="10" t="s">
        <v>85</v>
      </c>
      <c r="E655" s="10" t="s">
        <v>809</v>
      </c>
      <c r="F655" s="12"/>
      <c r="G655" s="12"/>
      <c r="H655" s="12"/>
      <c r="I655" s="12"/>
      <c r="J655" s="12"/>
    </row>
    <row r="656" spans="1:10" ht="24.75" customHeight="1" x14ac:dyDescent="0.2">
      <c r="A656" s="3">
        <v>16</v>
      </c>
      <c r="B656" s="3"/>
      <c r="C656" s="13" t="s">
        <v>1541</v>
      </c>
      <c r="D656" s="10" t="s">
        <v>85</v>
      </c>
      <c r="E656" s="10" t="s">
        <v>1540</v>
      </c>
      <c r="F656" s="12"/>
      <c r="G656" s="12"/>
      <c r="H656" s="12"/>
      <c r="I656" s="12"/>
      <c r="J656" s="12"/>
    </row>
    <row r="657" spans="1:10" ht="24.75" customHeight="1" x14ac:dyDescent="0.2">
      <c r="A657" s="2">
        <v>17</v>
      </c>
      <c r="B657" s="2"/>
      <c r="C657" s="13" t="s">
        <v>1659</v>
      </c>
      <c r="D657" s="10" t="s">
        <v>1658</v>
      </c>
      <c r="E657" s="10" t="s">
        <v>35</v>
      </c>
      <c r="F657" s="12"/>
      <c r="G657" s="12"/>
      <c r="H657" s="12"/>
      <c r="I657" s="12"/>
      <c r="J657" s="12"/>
    </row>
    <row r="658" spans="1:10" ht="24.75" customHeight="1" x14ac:dyDescent="0.2">
      <c r="B658" s="8" t="s">
        <v>4</v>
      </c>
      <c r="C658" s="5" t="s">
        <v>1674</v>
      </c>
      <c r="D658" s="12"/>
      <c r="E658" s="12"/>
      <c r="F658" s="2" t="s">
        <v>0</v>
      </c>
      <c r="H658" s="12"/>
      <c r="I658" s="12"/>
      <c r="J658" s="2" t="s">
        <v>1579</v>
      </c>
    </row>
    <row r="659" spans="1:10" ht="24.75" customHeight="1" x14ac:dyDescent="0.2">
      <c r="D659" s="6"/>
      <c r="E659" s="6"/>
      <c r="F659" s="12" t="s">
        <v>3</v>
      </c>
      <c r="G659" s="12"/>
      <c r="H659" s="12"/>
      <c r="I659" s="12"/>
      <c r="J659" s="12"/>
    </row>
    <row r="660" spans="1:10" ht="24.75" customHeight="1" x14ac:dyDescent="0.2">
      <c r="A660" s="3">
        <v>1</v>
      </c>
      <c r="C660" s="13" t="s">
        <v>1616</v>
      </c>
      <c r="D660" s="10" t="s">
        <v>1615</v>
      </c>
      <c r="E660" s="10" t="s">
        <v>1166</v>
      </c>
      <c r="F660" s="12"/>
      <c r="G660" s="12"/>
      <c r="H660" s="12"/>
      <c r="I660" s="12"/>
      <c r="J660" s="12"/>
    </row>
    <row r="661" spans="1:10" ht="24.75" customHeight="1" x14ac:dyDescent="0.2">
      <c r="A661" s="3">
        <v>2</v>
      </c>
      <c r="C661" s="13" t="s">
        <v>1614</v>
      </c>
      <c r="D661" s="10" t="s">
        <v>1613</v>
      </c>
      <c r="E661" s="10" t="s">
        <v>1612</v>
      </c>
      <c r="F661" s="12"/>
      <c r="G661" s="12"/>
      <c r="H661" s="12"/>
      <c r="I661" s="12"/>
      <c r="J661" s="12"/>
    </row>
    <row r="662" spans="1:10" ht="24.75" customHeight="1" x14ac:dyDescent="0.2">
      <c r="A662" s="3">
        <v>3</v>
      </c>
      <c r="C662" s="13" t="s">
        <v>1611</v>
      </c>
      <c r="D662" s="10" t="s">
        <v>1608</v>
      </c>
      <c r="E662" s="10" t="s">
        <v>1610</v>
      </c>
      <c r="F662" s="12"/>
      <c r="G662" s="12"/>
      <c r="H662" s="12"/>
      <c r="I662" s="12"/>
      <c r="J662" s="12"/>
    </row>
    <row r="663" spans="1:10" ht="24.75" customHeight="1" x14ac:dyDescent="0.2">
      <c r="A663" s="3">
        <v>4</v>
      </c>
      <c r="C663" s="13" t="s">
        <v>1609</v>
      </c>
      <c r="D663" s="10" t="s">
        <v>1608</v>
      </c>
      <c r="E663" s="10" t="s">
        <v>1607</v>
      </c>
      <c r="F663" s="12"/>
      <c r="G663" s="12"/>
      <c r="H663" s="12"/>
      <c r="I663" s="12"/>
      <c r="J663" s="12"/>
    </row>
    <row r="664" spans="1:10" ht="24.75" customHeight="1" x14ac:dyDescent="0.2">
      <c r="A664" s="3">
        <v>5</v>
      </c>
      <c r="C664" s="13" t="s">
        <v>1606</v>
      </c>
      <c r="D664" s="10" t="s">
        <v>1604</v>
      </c>
      <c r="E664" s="10" t="s">
        <v>324</v>
      </c>
      <c r="F664" s="12"/>
      <c r="G664" s="12"/>
      <c r="H664" s="12"/>
      <c r="I664" s="12"/>
      <c r="J664" s="12"/>
    </row>
    <row r="665" spans="1:10" ht="24.75" customHeight="1" x14ac:dyDescent="0.2">
      <c r="A665" s="3">
        <v>6</v>
      </c>
      <c r="C665" s="13" t="s">
        <v>1605</v>
      </c>
      <c r="D665" s="10" t="s">
        <v>1604</v>
      </c>
      <c r="E665" s="10" t="s">
        <v>677</v>
      </c>
      <c r="F665" s="12"/>
      <c r="G665" s="12"/>
      <c r="H665" s="12"/>
      <c r="I665" s="12"/>
      <c r="J665" s="12"/>
    </row>
    <row r="666" spans="1:10" ht="24.75" customHeight="1" x14ac:dyDescent="0.2">
      <c r="A666" s="3">
        <v>7</v>
      </c>
      <c r="C666" s="13" t="s">
        <v>1603</v>
      </c>
      <c r="D666" s="10" t="s">
        <v>1602</v>
      </c>
      <c r="E666" s="10" t="s">
        <v>1601</v>
      </c>
      <c r="F666" s="12"/>
      <c r="G666" s="12"/>
      <c r="H666" s="12"/>
      <c r="I666" s="12"/>
      <c r="J666" s="12"/>
    </row>
    <row r="667" spans="1:10" ht="24.75" customHeight="1" x14ac:dyDescent="0.2">
      <c r="A667" s="3">
        <v>8</v>
      </c>
      <c r="C667" s="13" t="s">
        <v>1600</v>
      </c>
      <c r="D667" s="10" t="s">
        <v>1599</v>
      </c>
      <c r="E667" s="10" t="s">
        <v>1598</v>
      </c>
      <c r="F667" s="12"/>
      <c r="G667" s="12"/>
      <c r="H667" s="12"/>
      <c r="I667" s="12"/>
      <c r="J667" s="12"/>
    </row>
    <row r="668" spans="1:10" ht="24.75" customHeight="1" x14ac:dyDescent="0.2">
      <c r="A668" s="3">
        <v>9</v>
      </c>
      <c r="C668" s="13" t="s">
        <v>1597</v>
      </c>
      <c r="D668" s="10" t="s">
        <v>1587</v>
      </c>
      <c r="E668" s="10" t="s">
        <v>1596</v>
      </c>
      <c r="F668" s="12"/>
      <c r="G668" s="12"/>
      <c r="H668" s="12"/>
      <c r="I668" s="12"/>
      <c r="J668" s="12"/>
    </row>
    <row r="669" spans="1:10" ht="24.75" customHeight="1" x14ac:dyDescent="0.2">
      <c r="A669" s="3">
        <v>10</v>
      </c>
      <c r="C669" s="13" t="s">
        <v>1595</v>
      </c>
      <c r="D669" s="10" t="s">
        <v>1587</v>
      </c>
      <c r="E669" s="10" t="s">
        <v>7</v>
      </c>
      <c r="F669" s="12"/>
      <c r="G669" s="12"/>
      <c r="H669" s="12"/>
      <c r="I669" s="12"/>
      <c r="J669" s="12"/>
    </row>
    <row r="670" spans="1:10" ht="24.75" customHeight="1" x14ac:dyDescent="0.2">
      <c r="A670" s="3">
        <v>11</v>
      </c>
      <c r="C670" s="13" t="s">
        <v>1594</v>
      </c>
      <c r="D670" s="10" t="s">
        <v>1587</v>
      </c>
      <c r="E670" s="10" t="s">
        <v>1593</v>
      </c>
      <c r="F670" s="12"/>
      <c r="G670" s="12"/>
      <c r="H670" s="12"/>
      <c r="I670" s="12"/>
      <c r="J670" s="12"/>
    </row>
    <row r="671" spans="1:10" ht="24.75" customHeight="1" x14ac:dyDescent="0.2">
      <c r="A671" s="3">
        <v>12</v>
      </c>
      <c r="C671" s="13" t="s">
        <v>1592</v>
      </c>
      <c r="D671" s="10" t="s">
        <v>1587</v>
      </c>
      <c r="E671" s="10" t="s">
        <v>1591</v>
      </c>
      <c r="F671" s="12"/>
      <c r="G671" s="12"/>
      <c r="H671" s="12"/>
      <c r="I671" s="12"/>
      <c r="J671" s="12"/>
    </row>
    <row r="672" spans="1:10" ht="24.75" customHeight="1" x14ac:dyDescent="0.2">
      <c r="A672" s="3">
        <v>13</v>
      </c>
      <c r="C672" s="13" t="s">
        <v>1590</v>
      </c>
      <c r="D672" s="10" t="s">
        <v>1587</v>
      </c>
      <c r="E672" s="10" t="s">
        <v>1589</v>
      </c>
      <c r="F672" s="12"/>
      <c r="G672" s="12"/>
      <c r="H672" s="12"/>
      <c r="I672" s="12"/>
      <c r="J672" s="12"/>
    </row>
    <row r="673" spans="1:10" ht="24.75" customHeight="1" x14ac:dyDescent="0.2">
      <c r="A673" s="3">
        <v>14</v>
      </c>
      <c r="C673" s="13" t="s">
        <v>1588</v>
      </c>
      <c r="D673" s="10" t="s">
        <v>1587</v>
      </c>
      <c r="E673" s="10" t="s">
        <v>1586</v>
      </c>
      <c r="F673" s="12"/>
      <c r="G673" s="12"/>
      <c r="H673" s="12"/>
      <c r="I673" s="12"/>
      <c r="J673" s="12"/>
    </row>
    <row r="674" spans="1:10" ht="24.75" customHeight="1" x14ac:dyDescent="0.2">
      <c r="A674" s="3">
        <v>15</v>
      </c>
      <c r="C674" s="13" t="s">
        <v>1585</v>
      </c>
      <c r="D674" s="10" t="s">
        <v>1584</v>
      </c>
      <c r="E674" s="10" t="s">
        <v>1583</v>
      </c>
      <c r="F674" s="12"/>
      <c r="G674" s="12"/>
      <c r="H674" s="12"/>
      <c r="I674" s="12"/>
      <c r="J674" s="12"/>
    </row>
    <row r="675" spans="1:10" ht="24.75" customHeight="1" x14ac:dyDescent="0.2">
      <c r="A675" s="3">
        <v>16</v>
      </c>
      <c r="C675" s="13" t="s">
        <v>1582</v>
      </c>
      <c r="D675" s="10" t="s">
        <v>1581</v>
      </c>
      <c r="E675" s="10" t="s">
        <v>184</v>
      </c>
      <c r="F675" s="12"/>
      <c r="G675" s="12"/>
      <c r="H675" s="12"/>
      <c r="I675" s="12"/>
      <c r="J675" s="12"/>
    </row>
    <row r="676" spans="1:10" ht="24.75" customHeight="1" x14ac:dyDescent="0.2">
      <c r="A676" s="2">
        <v>17</v>
      </c>
      <c r="B676" s="2"/>
      <c r="C676" s="13" t="s">
        <v>1657</v>
      </c>
      <c r="D676" s="10" t="s">
        <v>1656</v>
      </c>
      <c r="E676" s="10" t="s">
        <v>1655</v>
      </c>
      <c r="F676" s="12"/>
      <c r="G676" s="12"/>
      <c r="H676" s="12"/>
      <c r="I676" s="12"/>
      <c r="J676" s="12"/>
    </row>
    <row r="677" spans="1:10" ht="24.75" customHeight="1" x14ac:dyDescent="0.2">
      <c r="B677" s="8" t="s">
        <v>4</v>
      </c>
      <c r="C677" s="5" t="s">
        <v>1675</v>
      </c>
      <c r="D677" s="12"/>
      <c r="E677" s="12"/>
      <c r="F677" s="2" t="s">
        <v>0</v>
      </c>
      <c r="H677" s="12"/>
      <c r="I677" s="12"/>
      <c r="J677" s="2" t="s">
        <v>1580</v>
      </c>
    </row>
    <row r="678" spans="1:10" ht="24.75" customHeight="1" x14ac:dyDescent="0.2">
      <c r="D678" s="6"/>
      <c r="E678" s="6"/>
      <c r="F678" s="12" t="s">
        <v>3</v>
      </c>
      <c r="G678" s="12"/>
      <c r="H678" s="12"/>
      <c r="I678" s="12"/>
      <c r="J678" s="12"/>
    </row>
    <row r="679" spans="1:10" ht="24.75" customHeight="1" x14ac:dyDescent="0.2">
      <c r="A679" s="3">
        <v>1</v>
      </c>
      <c r="C679" s="13" t="s">
        <v>1652</v>
      </c>
      <c r="D679" s="10" t="s">
        <v>1651</v>
      </c>
      <c r="E679" s="10" t="s">
        <v>1650</v>
      </c>
      <c r="F679" s="12"/>
      <c r="G679" s="12"/>
      <c r="H679" s="12"/>
      <c r="I679" s="12"/>
      <c r="J679" s="12"/>
    </row>
    <row r="680" spans="1:10" ht="24.75" customHeight="1" x14ac:dyDescent="0.2">
      <c r="A680" s="3">
        <v>2</v>
      </c>
      <c r="C680" s="13" t="s">
        <v>1649</v>
      </c>
      <c r="D680" s="10" t="s">
        <v>1648</v>
      </c>
      <c r="E680" s="10" t="s">
        <v>1647</v>
      </c>
      <c r="F680" s="12"/>
      <c r="G680" s="12"/>
      <c r="H680" s="12"/>
      <c r="I680" s="12"/>
      <c r="J680" s="12"/>
    </row>
    <row r="681" spans="1:10" ht="24.75" customHeight="1" x14ac:dyDescent="0.2">
      <c r="A681" s="3">
        <v>3</v>
      </c>
      <c r="C681" s="13" t="s">
        <v>1646</v>
      </c>
      <c r="D681" s="10" t="s">
        <v>1645</v>
      </c>
      <c r="E681" s="10" t="s">
        <v>1644</v>
      </c>
      <c r="F681" s="12"/>
      <c r="G681" s="12"/>
      <c r="H681" s="12"/>
      <c r="I681" s="12"/>
      <c r="J681" s="12"/>
    </row>
    <row r="682" spans="1:10" ht="24.75" customHeight="1" x14ac:dyDescent="0.2">
      <c r="A682" s="3">
        <v>4</v>
      </c>
      <c r="C682" s="13" t="s">
        <v>1643</v>
      </c>
      <c r="D682" s="10" t="s">
        <v>126</v>
      </c>
      <c r="E682" s="10" t="s">
        <v>1642</v>
      </c>
      <c r="F682" s="12"/>
      <c r="G682" s="12"/>
      <c r="H682" s="12"/>
      <c r="I682" s="12"/>
      <c r="J682" s="12"/>
    </row>
    <row r="683" spans="1:10" ht="24.75" customHeight="1" x14ac:dyDescent="0.2">
      <c r="A683" s="3">
        <v>5</v>
      </c>
      <c r="C683" s="13" t="s">
        <v>1641</v>
      </c>
      <c r="D683" s="10" t="s">
        <v>126</v>
      </c>
      <c r="E683" s="10" t="s">
        <v>1640</v>
      </c>
      <c r="F683" s="12"/>
      <c r="G683" s="12"/>
      <c r="H683" s="12"/>
      <c r="I683" s="12"/>
      <c r="J683" s="12"/>
    </row>
    <row r="684" spans="1:10" ht="24.75" customHeight="1" x14ac:dyDescent="0.2">
      <c r="A684" s="3">
        <v>6</v>
      </c>
      <c r="C684" s="13" t="s">
        <v>1639</v>
      </c>
      <c r="D684" s="10" t="s">
        <v>126</v>
      </c>
      <c r="E684" s="10" t="s">
        <v>1638</v>
      </c>
      <c r="F684" s="12"/>
      <c r="G684" s="12"/>
      <c r="H684" s="12"/>
      <c r="I684" s="12"/>
      <c r="J684" s="12"/>
    </row>
    <row r="685" spans="1:10" ht="24.75" customHeight="1" x14ac:dyDescent="0.2">
      <c r="A685" s="3">
        <v>7</v>
      </c>
      <c r="C685" s="13" t="s">
        <v>1637</v>
      </c>
      <c r="D685" s="10" t="s">
        <v>126</v>
      </c>
      <c r="E685" s="10" t="s">
        <v>1636</v>
      </c>
      <c r="F685" s="12"/>
      <c r="G685" s="12"/>
      <c r="H685" s="12"/>
      <c r="I685" s="12"/>
      <c r="J685" s="12"/>
    </row>
    <row r="686" spans="1:10" ht="24.75" customHeight="1" x14ac:dyDescent="0.2">
      <c r="A686" s="3">
        <v>8</v>
      </c>
      <c r="C686" s="13" t="s">
        <v>1635</v>
      </c>
      <c r="D686" s="10" t="s">
        <v>126</v>
      </c>
      <c r="E686" s="10" t="s">
        <v>1634</v>
      </c>
      <c r="F686" s="12"/>
      <c r="G686" s="12"/>
      <c r="H686" s="12"/>
      <c r="I686" s="12"/>
      <c r="J686" s="12"/>
    </row>
    <row r="687" spans="1:10" ht="24.75" customHeight="1" x14ac:dyDescent="0.2">
      <c r="A687" s="3">
        <v>9</v>
      </c>
      <c r="C687" s="13" t="s">
        <v>1633</v>
      </c>
      <c r="D687" s="10" t="s">
        <v>1632</v>
      </c>
      <c r="E687" s="10" t="s">
        <v>1631</v>
      </c>
      <c r="F687" s="12"/>
      <c r="G687" s="12"/>
      <c r="H687" s="12"/>
      <c r="I687" s="12"/>
      <c r="J687" s="12"/>
    </row>
    <row r="688" spans="1:10" ht="24.75" customHeight="1" x14ac:dyDescent="0.2">
      <c r="A688" s="3">
        <v>10</v>
      </c>
      <c r="C688" s="13" t="s">
        <v>1630</v>
      </c>
      <c r="D688" s="10" t="s">
        <v>1629</v>
      </c>
      <c r="E688" s="10" t="s">
        <v>1628</v>
      </c>
      <c r="F688" s="12"/>
      <c r="G688" s="12"/>
      <c r="H688" s="12"/>
      <c r="I688" s="12"/>
      <c r="J688" s="12"/>
    </row>
    <row r="689" spans="1:10" ht="24.75" customHeight="1" x14ac:dyDescent="0.2">
      <c r="A689" s="3">
        <v>11</v>
      </c>
      <c r="C689" s="13" t="s">
        <v>1627</v>
      </c>
      <c r="D689" s="10" t="s">
        <v>129</v>
      </c>
      <c r="E689" s="10" t="s">
        <v>49</v>
      </c>
      <c r="F689" s="12"/>
      <c r="G689" s="12"/>
      <c r="H689" s="12"/>
      <c r="I689" s="12"/>
      <c r="J689" s="12"/>
    </row>
    <row r="690" spans="1:10" ht="24.75" customHeight="1" x14ac:dyDescent="0.2">
      <c r="A690" s="3">
        <v>12</v>
      </c>
      <c r="C690" s="13" t="s">
        <v>1626</v>
      </c>
      <c r="D690" s="10" t="s">
        <v>129</v>
      </c>
      <c r="E690" s="10" t="s">
        <v>1625</v>
      </c>
      <c r="F690" s="12"/>
      <c r="G690" s="12"/>
      <c r="H690" s="12"/>
      <c r="I690" s="12"/>
      <c r="J690" s="12"/>
    </row>
    <row r="691" spans="1:10" ht="24.75" customHeight="1" x14ac:dyDescent="0.2">
      <c r="A691" s="3">
        <v>13</v>
      </c>
      <c r="C691" s="13" t="s">
        <v>1624</v>
      </c>
      <c r="D691" s="10" t="s">
        <v>129</v>
      </c>
      <c r="E691" s="10" t="s">
        <v>1623</v>
      </c>
      <c r="F691" s="12"/>
      <c r="G691" s="12"/>
      <c r="H691" s="12"/>
      <c r="I691" s="12"/>
      <c r="J691" s="12"/>
    </row>
    <row r="692" spans="1:10" ht="24.75" customHeight="1" x14ac:dyDescent="0.2">
      <c r="A692" s="3">
        <v>14</v>
      </c>
      <c r="C692" s="13" t="s">
        <v>1622</v>
      </c>
      <c r="D692" s="10" t="s">
        <v>129</v>
      </c>
      <c r="E692" s="10" t="s">
        <v>1621</v>
      </c>
      <c r="F692" s="12"/>
      <c r="G692" s="12"/>
      <c r="H692" s="12"/>
      <c r="I692" s="12"/>
      <c r="J692" s="12"/>
    </row>
    <row r="693" spans="1:10" ht="24.75" customHeight="1" x14ac:dyDescent="0.2">
      <c r="A693" s="3">
        <v>15</v>
      </c>
      <c r="C693" s="13" t="s">
        <v>1620</v>
      </c>
      <c r="D693" s="10" t="s">
        <v>129</v>
      </c>
      <c r="E693" s="10" t="s">
        <v>1619</v>
      </c>
      <c r="F693" s="12"/>
      <c r="G693" s="12"/>
      <c r="H693" s="12"/>
      <c r="I693" s="12"/>
      <c r="J693" s="12"/>
    </row>
    <row r="694" spans="1:10" ht="24.75" customHeight="1" x14ac:dyDescent="0.2">
      <c r="A694" s="3">
        <v>16</v>
      </c>
      <c r="C694" s="13" t="s">
        <v>1618</v>
      </c>
      <c r="D694" s="10" t="s">
        <v>129</v>
      </c>
      <c r="E694" s="10" t="s">
        <v>1617</v>
      </c>
      <c r="F694" s="12"/>
      <c r="G694" s="12"/>
      <c r="H694" s="12"/>
      <c r="I694" s="12"/>
      <c r="J694" s="12"/>
    </row>
    <row r="695" spans="1:10" ht="24.75" customHeight="1" x14ac:dyDescent="0.2">
      <c r="A695" s="8">
        <v>17</v>
      </c>
      <c r="C695" s="13" t="s">
        <v>1654</v>
      </c>
      <c r="D695" s="10" t="s">
        <v>1653</v>
      </c>
      <c r="E695" s="10" t="s">
        <v>490</v>
      </c>
      <c r="F695" s="12"/>
      <c r="G695" s="12"/>
      <c r="H695" s="12"/>
      <c r="I695" s="12"/>
      <c r="J695" s="12"/>
    </row>
    <row r="696" spans="1:10" ht="24.75" customHeight="1" x14ac:dyDescent="0.2">
      <c r="F696" s="12"/>
      <c r="G696" s="12"/>
      <c r="H696" s="12"/>
      <c r="I696" s="12"/>
      <c r="J696" s="12"/>
    </row>
    <row r="697" spans="1:10" ht="24.75" customHeight="1" x14ac:dyDescent="0.2">
      <c r="F697" s="12"/>
      <c r="G697" s="12"/>
      <c r="H697" s="12"/>
      <c r="I697" s="12"/>
      <c r="J697" s="12"/>
    </row>
    <row r="698" spans="1:10" ht="24.75" customHeight="1" x14ac:dyDescent="0.2">
      <c r="F698" s="12"/>
      <c r="G698" s="12"/>
      <c r="H698" s="12"/>
      <c r="I698" s="12"/>
      <c r="J698" s="12"/>
    </row>
    <row r="699" spans="1:10" ht="24.75" customHeight="1" x14ac:dyDescent="0.2">
      <c r="F699" s="12"/>
      <c r="G699" s="12"/>
      <c r="H699" s="12"/>
      <c r="I699" s="12"/>
      <c r="J699" s="12"/>
    </row>
    <row r="700" spans="1:10" ht="24.75" customHeight="1" x14ac:dyDescent="0.2">
      <c r="F700" s="12"/>
      <c r="G700" s="12"/>
      <c r="H700" s="12"/>
      <c r="I700" s="12"/>
      <c r="J700" s="12"/>
    </row>
    <row r="701" spans="1:10" ht="24.75" customHeight="1" x14ac:dyDescent="0.2">
      <c r="F701" s="12"/>
      <c r="G701" s="12"/>
      <c r="H701" s="12"/>
      <c r="I701" s="12"/>
      <c r="J701" s="12"/>
    </row>
    <row r="702" spans="1:10" ht="24.75" customHeight="1" x14ac:dyDescent="0.2">
      <c r="F702" s="12"/>
      <c r="G702" s="12"/>
      <c r="H702" s="12"/>
      <c r="I702" s="12"/>
      <c r="J702" s="12"/>
    </row>
    <row r="703" spans="1:10" ht="24.75" customHeight="1" x14ac:dyDescent="0.2">
      <c r="F703" s="12"/>
      <c r="G703" s="12"/>
      <c r="H703" s="12"/>
      <c r="I703" s="12"/>
      <c r="J703" s="12"/>
    </row>
    <row r="704" spans="1:10" ht="24.75" customHeight="1" x14ac:dyDescent="0.2">
      <c r="F704" s="12"/>
      <c r="G704" s="12"/>
      <c r="H704" s="12"/>
      <c r="I704" s="12"/>
      <c r="J704" s="12"/>
    </row>
    <row r="705" spans="6:10" ht="24.75" customHeight="1" x14ac:dyDescent="0.2">
      <c r="F705" s="12"/>
      <c r="G705" s="12"/>
      <c r="H705" s="12"/>
      <c r="I705" s="12"/>
      <c r="J705" s="12"/>
    </row>
    <row r="706" spans="6:10" ht="24.75" customHeight="1" x14ac:dyDescent="0.2">
      <c r="F706" s="12"/>
      <c r="G706" s="12"/>
      <c r="H706" s="12"/>
      <c r="I706" s="12"/>
      <c r="J706" s="12"/>
    </row>
  </sheetData>
  <mergeCells count="735">
    <mergeCell ref="D639:E639"/>
    <mergeCell ref="D473:E473"/>
    <mergeCell ref="D491:E491"/>
    <mergeCell ref="D509:E509"/>
    <mergeCell ref="D527:E527"/>
    <mergeCell ref="D545:E545"/>
    <mergeCell ref="D563:E563"/>
    <mergeCell ref="D582:E582"/>
    <mergeCell ref="D601:E601"/>
    <mergeCell ref="D620:E620"/>
    <mergeCell ref="D309:E309"/>
    <mergeCell ref="D337:E337"/>
    <mergeCell ref="D365:E365"/>
    <mergeCell ref="D383:E383"/>
    <mergeCell ref="D401:E401"/>
    <mergeCell ref="D419:E419"/>
    <mergeCell ref="D197:E197"/>
    <mergeCell ref="D437:E437"/>
    <mergeCell ref="D455:E455"/>
    <mergeCell ref="D57:E57"/>
    <mergeCell ref="D85:E85"/>
    <mergeCell ref="D113:E113"/>
    <mergeCell ref="D141:E141"/>
    <mergeCell ref="D169:E169"/>
    <mergeCell ref="D225:E225"/>
    <mergeCell ref="D253:E253"/>
    <mergeCell ref="D281:E281"/>
    <mergeCell ref="F226:J226"/>
    <mergeCell ref="F227:J227"/>
    <mergeCell ref="F228:J228"/>
    <mergeCell ref="F229:J229"/>
    <mergeCell ref="F230:J230"/>
    <mergeCell ref="F189:J189"/>
    <mergeCell ref="F190:J190"/>
    <mergeCell ref="F191:J191"/>
    <mergeCell ref="H253:I253"/>
    <mergeCell ref="F86:J86"/>
    <mergeCell ref="F91:J91"/>
    <mergeCell ref="F59:J59"/>
    <mergeCell ref="F60:J60"/>
    <mergeCell ref="F123:J123"/>
    <mergeCell ref="F128:J128"/>
    <mergeCell ref="H85:I85"/>
    <mergeCell ref="F83:J83"/>
    <mergeCell ref="F84:J84"/>
    <mergeCell ref="F87:J87"/>
    <mergeCell ref="F88:J88"/>
    <mergeCell ref="H601:I601"/>
    <mergeCell ref="F328:J328"/>
    <mergeCell ref="F277:J277"/>
    <mergeCell ref="F278:J278"/>
    <mergeCell ref="F307:J307"/>
    <mergeCell ref="F312:J312"/>
    <mergeCell ref="F308:J308"/>
    <mergeCell ref="F285:J285"/>
    <mergeCell ref="F286:J286"/>
    <mergeCell ref="F287:J287"/>
    <mergeCell ref="F311:J311"/>
    <mergeCell ref="F275:J275"/>
    <mergeCell ref="F303:J303"/>
    <mergeCell ref="F304:J304"/>
    <mergeCell ref="F300:J300"/>
    <mergeCell ref="F301:J301"/>
    <mergeCell ref="H113:I113"/>
    <mergeCell ref="F116:J116"/>
    <mergeCell ref="F117:J117"/>
    <mergeCell ref="F171:J171"/>
    <mergeCell ref="F172:J172"/>
    <mergeCell ref="F192:J192"/>
    <mergeCell ref="F602:J602"/>
    <mergeCell ref="F603:J603"/>
    <mergeCell ref="F604:J604"/>
    <mergeCell ref="H309:I309"/>
    <mergeCell ref="F331:J331"/>
    <mergeCell ref="F314:J314"/>
    <mergeCell ref="F315:J315"/>
    <mergeCell ref="F271:J271"/>
    <mergeCell ref="F255:J255"/>
    <mergeCell ref="F260:J260"/>
    <mergeCell ref="F280:J280"/>
    <mergeCell ref="F276:J276"/>
    <mergeCell ref="F258:J258"/>
    <mergeCell ref="F259:J259"/>
    <mergeCell ref="F310:J310"/>
    <mergeCell ref="F330:J330"/>
    <mergeCell ref="F313:J313"/>
    <mergeCell ref="F272:J272"/>
    <mergeCell ref="F279:J279"/>
    <mergeCell ref="F89:J89"/>
    <mergeCell ref="F90:J90"/>
    <mergeCell ref="F92:J92"/>
    <mergeCell ref="F162:J162"/>
    <mergeCell ref="F163:J163"/>
    <mergeCell ref="F283:J283"/>
    <mergeCell ref="F164:J164"/>
    <mergeCell ref="F165:J165"/>
    <mergeCell ref="F166:J166"/>
    <mergeCell ref="F247:J247"/>
    <mergeCell ref="F254:J254"/>
    <mergeCell ref="F257:J257"/>
    <mergeCell ref="F274:J274"/>
    <mergeCell ref="F256:J256"/>
    <mergeCell ref="F107:J107"/>
    <mergeCell ref="F108:J108"/>
    <mergeCell ref="F111:J111"/>
    <mergeCell ref="F118:J118"/>
    <mergeCell ref="F121:J121"/>
    <mergeCell ref="F122:J122"/>
    <mergeCell ref="F115:J115"/>
    <mergeCell ref="F124:J124"/>
    <mergeCell ref="F195:J195"/>
    <mergeCell ref="F196:J196"/>
    <mergeCell ref="F273:J273"/>
    <mergeCell ref="F305:J305"/>
    <mergeCell ref="F306:J306"/>
    <mergeCell ref="F282:J282"/>
    <mergeCell ref="H281:I281"/>
    <mergeCell ref="F302:J302"/>
    <mergeCell ref="F355:J355"/>
    <mergeCell ref="F356:J356"/>
    <mergeCell ref="F357:J357"/>
    <mergeCell ref="F333:J333"/>
    <mergeCell ref="F338:J338"/>
    <mergeCell ref="H337:I337"/>
    <mergeCell ref="F344:J344"/>
    <mergeCell ref="F339:J339"/>
    <mergeCell ref="F340:J340"/>
    <mergeCell ref="F341:J341"/>
    <mergeCell ref="F342:J342"/>
    <mergeCell ref="F343:J343"/>
    <mergeCell ref="F329:J329"/>
    <mergeCell ref="F284:J284"/>
    <mergeCell ref="F288:J288"/>
    <mergeCell ref="F289:J289"/>
    <mergeCell ref="F316:J316"/>
    <mergeCell ref="F317:J317"/>
    <mergeCell ref="F367:J367"/>
    <mergeCell ref="F366:J366"/>
    <mergeCell ref="F377:J377"/>
    <mergeCell ref="F378:J378"/>
    <mergeCell ref="F379:J379"/>
    <mergeCell ref="F380:J380"/>
    <mergeCell ref="F381:J381"/>
    <mergeCell ref="F382:J382"/>
    <mergeCell ref="F358:J358"/>
    <mergeCell ref="F359:J359"/>
    <mergeCell ref="F360:J360"/>
    <mergeCell ref="F361:J361"/>
    <mergeCell ref="F362:J362"/>
    <mergeCell ref="F363:J363"/>
    <mergeCell ref="F364:J364"/>
    <mergeCell ref="H365:I365"/>
    <mergeCell ref="F368:J368"/>
    <mergeCell ref="F369:J369"/>
    <mergeCell ref="F370:J370"/>
    <mergeCell ref="F371:J371"/>
    <mergeCell ref="F372:J372"/>
    <mergeCell ref="F373:J373"/>
    <mergeCell ref="F374:J374"/>
    <mergeCell ref="F375:J375"/>
    <mergeCell ref="F376:J376"/>
    <mergeCell ref="F402:J402"/>
    <mergeCell ref="H401:I401"/>
    <mergeCell ref="F385:J385"/>
    <mergeCell ref="F386:J386"/>
    <mergeCell ref="F387:J387"/>
    <mergeCell ref="F388:J388"/>
    <mergeCell ref="H383:I383"/>
    <mergeCell ref="F389:J389"/>
    <mergeCell ref="F390:J390"/>
    <mergeCell ref="F391:J391"/>
    <mergeCell ref="F392:J392"/>
    <mergeCell ref="F393:J393"/>
    <mergeCell ref="F394:J394"/>
    <mergeCell ref="F395:J395"/>
    <mergeCell ref="F396:J396"/>
    <mergeCell ref="F397:J397"/>
    <mergeCell ref="F384:J384"/>
    <mergeCell ref="F398:J398"/>
    <mergeCell ref="F399:J399"/>
    <mergeCell ref="F400:J400"/>
    <mergeCell ref="F403:J403"/>
    <mergeCell ref="F404:J404"/>
    <mergeCell ref="F405:J405"/>
    <mergeCell ref="F406:J406"/>
    <mergeCell ref="F407:J407"/>
    <mergeCell ref="F421:J421"/>
    <mergeCell ref="F422:J422"/>
    <mergeCell ref="F423:J423"/>
    <mergeCell ref="F424:J424"/>
    <mergeCell ref="F408:J408"/>
    <mergeCell ref="F409:J409"/>
    <mergeCell ref="H419:I419"/>
    <mergeCell ref="F410:J410"/>
    <mergeCell ref="F411:J411"/>
    <mergeCell ref="F412:J412"/>
    <mergeCell ref="F417:J417"/>
    <mergeCell ref="F418:J418"/>
    <mergeCell ref="F420:J420"/>
    <mergeCell ref="F413:J413"/>
    <mergeCell ref="F414:J414"/>
    <mergeCell ref="F415:J415"/>
    <mergeCell ref="F416:J416"/>
    <mergeCell ref="F427:J427"/>
    <mergeCell ref="F428:J428"/>
    <mergeCell ref="F429:J429"/>
    <mergeCell ref="F430:J430"/>
    <mergeCell ref="F431:J431"/>
    <mergeCell ref="F425:J425"/>
    <mergeCell ref="F426:J426"/>
    <mergeCell ref="F432:J432"/>
    <mergeCell ref="F433:J433"/>
    <mergeCell ref="F434:J434"/>
    <mergeCell ref="F435:J435"/>
    <mergeCell ref="F440:J440"/>
    <mergeCell ref="F441:J441"/>
    <mergeCell ref="F442:J442"/>
    <mergeCell ref="F443:J443"/>
    <mergeCell ref="F444:J444"/>
    <mergeCell ref="F438:J438"/>
    <mergeCell ref="H437:I437"/>
    <mergeCell ref="F439:J439"/>
    <mergeCell ref="F436:J436"/>
    <mergeCell ref="F445:J445"/>
    <mergeCell ref="F446:J446"/>
    <mergeCell ref="F447:J447"/>
    <mergeCell ref="F448:J448"/>
    <mergeCell ref="F449:J449"/>
    <mergeCell ref="F450:J450"/>
    <mergeCell ref="F471:J471"/>
    <mergeCell ref="F472:J472"/>
    <mergeCell ref="F457:J457"/>
    <mergeCell ref="F458:J458"/>
    <mergeCell ref="F459:J459"/>
    <mergeCell ref="F460:J460"/>
    <mergeCell ref="F461:J461"/>
    <mergeCell ref="F462:J462"/>
    <mergeCell ref="F463:J463"/>
    <mergeCell ref="F464:J464"/>
    <mergeCell ref="H455:I455"/>
    <mergeCell ref="F465:J465"/>
    <mergeCell ref="F466:J466"/>
    <mergeCell ref="F467:J467"/>
    <mergeCell ref="F468:J468"/>
    <mergeCell ref="F469:J469"/>
    <mergeCell ref="F470:J470"/>
    <mergeCell ref="F456:J456"/>
    <mergeCell ref="F453:J453"/>
    <mergeCell ref="F454:J454"/>
    <mergeCell ref="F451:J451"/>
    <mergeCell ref="F452:J452"/>
    <mergeCell ref="F474:J474"/>
    <mergeCell ref="H473:I473"/>
    <mergeCell ref="F487:J487"/>
    <mergeCell ref="F488:J488"/>
    <mergeCell ref="F489:J489"/>
    <mergeCell ref="F475:J475"/>
    <mergeCell ref="F476:J476"/>
    <mergeCell ref="F477:J477"/>
    <mergeCell ref="F478:J478"/>
    <mergeCell ref="F479:J479"/>
    <mergeCell ref="F480:J480"/>
    <mergeCell ref="F481:J481"/>
    <mergeCell ref="F482:J482"/>
    <mergeCell ref="F484:J484"/>
    <mergeCell ref="F483:J483"/>
    <mergeCell ref="F492:J492"/>
    <mergeCell ref="F511:J511"/>
    <mergeCell ref="F510:J510"/>
    <mergeCell ref="H491:I491"/>
    <mergeCell ref="H509:I509"/>
    <mergeCell ref="F485:J485"/>
    <mergeCell ref="F486:J486"/>
    <mergeCell ref="F503:J503"/>
    <mergeCell ref="F504:J504"/>
    <mergeCell ref="F505:J505"/>
    <mergeCell ref="F506:J506"/>
    <mergeCell ref="F507:J507"/>
    <mergeCell ref="F508:J508"/>
    <mergeCell ref="F494:J494"/>
    <mergeCell ref="F495:J495"/>
    <mergeCell ref="F496:J496"/>
    <mergeCell ref="F497:J497"/>
    <mergeCell ref="F498:J498"/>
    <mergeCell ref="F499:J499"/>
    <mergeCell ref="F500:J500"/>
    <mergeCell ref="F501:J501"/>
    <mergeCell ref="F502:J502"/>
    <mergeCell ref="F490:J490"/>
    <mergeCell ref="F532:J532"/>
    <mergeCell ref="F540:J540"/>
    <mergeCell ref="F529:J529"/>
    <mergeCell ref="F530:J530"/>
    <mergeCell ref="F531:J531"/>
    <mergeCell ref="F541:J541"/>
    <mergeCell ref="F542:J542"/>
    <mergeCell ref="F528:J528"/>
    <mergeCell ref="F493:J493"/>
    <mergeCell ref="F533:J533"/>
    <mergeCell ref="F534:J534"/>
    <mergeCell ref="F535:J535"/>
    <mergeCell ref="F536:J536"/>
    <mergeCell ref="F537:J537"/>
    <mergeCell ref="F548:J548"/>
    <mergeCell ref="F559:J559"/>
    <mergeCell ref="F560:J560"/>
    <mergeCell ref="F512:J512"/>
    <mergeCell ref="F543:J543"/>
    <mergeCell ref="F522:J522"/>
    <mergeCell ref="F523:J523"/>
    <mergeCell ref="F524:J524"/>
    <mergeCell ref="F525:J525"/>
    <mergeCell ref="F526:J526"/>
    <mergeCell ref="F513:J513"/>
    <mergeCell ref="F514:J514"/>
    <mergeCell ref="F515:J515"/>
    <mergeCell ref="F516:J516"/>
    <mergeCell ref="F517:J517"/>
    <mergeCell ref="F518:J518"/>
    <mergeCell ref="F519:J519"/>
    <mergeCell ref="F520:J520"/>
    <mergeCell ref="F521:J521"/>
    <mergeCell ref="H527:I527"/>
    <mergeCell ref="F538:J538"/>
    <mergeCell ref="F539:J539"/>
    <mergeCell ref="F590:J590"/>
    <mergeCell ref="F591:J591"/>
    <mergeCell ref="F592:J592"/>
    <mergeCell ref="F544:J544"/>
    <mergeCell ref="H545:I545"/>
    <mergeCell ref="F549:J549"/>
    <mergeCell ref="F550:J550"/>
    <mergeCell ref="F551:J551"/>
    <mergeCell ref="F552:J552"/>
    <mergeCell ref="F553:J553"/>
    <mergeCell ref="F554:J554"/>
    <mergeCell ref="F555:J555"/>
    <mergeCell ref="F566:J566"/>
    <mergeCell ref="F567:J567"/>
    <mergeCell ref="F568:J568"/>
    <mergeCell ref="F569:J569"/>
    <mergeCell ref="H563:I563"/>
    <mergeCell ref="F556:J556"/>
    <mergeCell ref="F557:J557"/>
    <mergeCell ref="F546:J546"/>
    <mergeCell ref="F547:J547"/>
    <mergeCell ref="F577:J577"/>
    <mergeCell ref="F561:J561"/>
    <mergeCell ref="F562:J562"/>
    <mergeCell ref="F572:J572"/>
    <mergeCell ref="F573:J573"/>
    <mergeCell ref="F565:J565"/>
    <mergeCell ref="F564:J564"/>
    <mergeCell ref="F587:J587"/>
    <mergeCell ref="F581:J581"/>
    <mergeCell ref="F579:J579"/>
    <mergeCell ref="F574:J574"/>
    <mergeCell ref="F575:J575"/>
    <mergeCell ref="F576:J576"/>
    <mergeCell ref="F570:J570"/>
    <mergeCell ref="F571:J571"/>
    <mergeCell ref="F578:J578"/>
    <mergeCell ref="F657:J657"/>
    <mergeCell ref="F642:J642"/>
    <mergeCell ref="F643:J643"/>
    <mergeCell ref="F644:J644"/>
    <mergeCell ref="F634:J634"/>
    <mergeCell ref="F640:J640"/>
    <mergeCell ref="F628:J628"/>
    <mergeCell ref="F624:J624"/>
    <mergeCell ref="F619:J619"/>
    <mergeCell ref="F627:J627"/>
    <mergeCell ref="F629:J629"/>
    <mergeCell ref="F630:J630"/>
    <mergeCell ref="F631:J631"/>
    <mergeCell ref="F635:J635"/>
    <mergeCell ref="F636:J636"/>
    <mergeCell ref="F638:J638"/>
    <mergeCell ref="F622:J622"/>
    <mergeCell ref="F621:J621"/>
    <mergeCell ref="F623:J623"/>
    <mergeCell ref="F625:J625"/>
    <mergeCell ref="F645:J645"/>
    <mergeCell ref="F580:J580"/>
    <mergeCell ref="F646:J646"/>
    <mergeCell ref="F647:J647"/>
    <mergeCell ref="F648:J648"/>
    <mergeCell ref="F654:J654"/>
    <mergeCell ref="F655:J655"/>
    <mergeCell ref="F649:J649"/>
    <mergeCell ref="F650:J650"/>
    <mergeCell ref="F651:J651"/>
    <mergeCell ref="F652:J652"/>
    <mergeCell ref="F653:J653"/>
    <mergeCell ref="F594:J594"/>
    <mergeCell ref="F584:J584"/>
    <mergeCell ref="F585:J585"/>
    <mergeCell ref="F595:J595"/>
    <mergeCell ref="F596:J596"/>
    <mergeCell ref="F597:J597"/>
    <mergeCell ref="F600:J600"/>
    <mergeCell ref="H620:I620"/>
    <mergeCell ref="F614:J614"/>
    <mergeCell ref="F615:J615"/>
    <mergeCell ref="F616:J616"/>
    <mergeCell ref="F617:J617"/>
    <mergeCell ref="F612:J612"/>
    <mergeCell ref="F613:J613"/>
    <mergeCell ref="F598:J598"/>
    <mergeCell ref="F588:J588"/>
    <mergeCell ref="F589:J589"/>
    <mergeCell ref="F641:J641"/>
    <mergeCell ref="H639:I639"/>
    <mergeCell ref="F605:J605"/>
    <mergeCell ref="F216:J216"/>
    <mergeCell ref="F217:J217"/>
    <mergeCell ref="F250:J250"/>
    <mergeCell ref="F251:J251"/>
    <mergeCell ref="F252:J252"/>
    <mergeCell ref="F334:J334"/>
    <mergeCell ref="F335:J335"/>
    <mergeCell ref="F583:J583"/>
    <mergeCell ref="F606:J606"/>
    <mergeCell ref="F610:J610"/>
    <mergeCell ref="F611:J611"/>
    <mergeCell ref="F626:J626"/>
    <mergeCell ref="F632:J632"/>
    <mergeCell ref="F633:J633"/>
    <mergeCell ref="F607:J607"/>
    <mergeCell ref="F608:J608"/>
    <mergeCell ref="F609:J609"/>
    <mergeCell ref="H582:I582"/>
    <mergeCell ref="F586:J586"/>
    <mergeCell ref="F558:J558"/>
    <mergeCell ref="F593:J593"/>
    <mergeCell ref="F249:J249"/>
    <mergeCell ref="F244:J244"/>
    <mergeCell ref="F245:J245"/>
    <mergeCell ref="F246:J246"/>
    <mergeCell ref="F173:J173"/>
    <mergeCell ref="F220:J220"/>
    <mergeCell ref="F221:J221"/>
    <mergeCell ref="F222:J222"/>
    <mergeCell ref="F223:J223"/>
    <mergeCell ref="F224:J224"/>
    <mergeCell ref="F231:J231"/>
    <mergeCell ref="F243:J243"/>
    <mergeCell ref="F187:J187"/>
    <mergeCell ref="F232:J232"/>
    <mergeCell ref="F176:J176"/>
    <mergeCell ref="F188:J188"/>
    <mergeCell ref="F174:J174"/>
    <mergeCell ref="F175:J175"/>
    <mergeCell ref="H225:I225"/>
    <mergeCell ref="F204:J204"/>
    <mergeCell ref="F215:J215"/>
    <mergeCell ref="F167:J167"/>
    <mergeCell ref="F168:J168"/>
    <mergeCell ref="F145:J145"/>
    <mergeCell ref="F146:J146"/>
    <mergeCell ref="F147:J147"/>
    <mergeCell ref="F159:J159"/>
    <mergeCell ref="F160:J160"/>
    <mergeCell ref="F161:J161"/>
    <mergeCell ref="F153:J153"/>
    <mergeCell ref="F154:J154"/>
    <mergeCell ref="F155:J155"/>
    <mergeCell ref="F156:J156"/>
    <mergeCell ref="F157:J157"/>
    <mergeCell ref="F158:J158"/>
    <mergeCell ref="F35:J35"/>
    <mergeCell ref="F47:J47"/>
    <mergeCell ref="F48:J48"/>
    <mergeCell ref="H29:I29"/>
    <mergeCell ref="F30:J30"/>
    <mergeCell ref="H197:I197"/>
    <mergeCell ref="F198:J198"/>
    <mergeCell ref="F199:J199"/>
    <mergeCell ref="F200:J200"/>
    <mergeCell ref="F66:J66"/>
    <mergeCell ref="F75:J75"/>
    <mergeCell ref="F103:J103"/>
    <mergeCell ref="F104:J104"/>
    <mergeCell ref="F105:J105"/>
    <mergeCell ref="F109:J109"/>
    <mergeCell ref="F110:J110"/>
    <mergeCell ref="F125:J125"/>
    <mergeCell ref="F126:J126"/>
    <mergeCell ref="F127:J127"/>
    <mergeCell ref="F129:J129"/>
    <mergeCell ref="F142:J142"/>
    <mergeCell ref="F119:J119"/>
    <mergeCell ref="F120:J120"/>
    <mergeCell ref="F106:J106"/>
    <mergeCell ref="F10:J10"/>
    <mergeCell ref="F11:J11"/>
    <mergeCell ref="F12:J12"/>
    <mergeCell ref="F17:J17"/>
    <mergeCell ref="F18:J18"/>
    <mergeCell ref="F31:J31"/>
    <mergeCell ref="F32:J32"/>
    <mergeCell ref="F33:J33"/>
    <mergeCell ref="F34:J34"/>
    <mergeCell ref="F170:J170"/>
    <mergeCell ref="F114:J114"/>
    <mergeCell ref="H141:I141"/>
    <mergeCell ref="H169:I169"/>
    <mergeCell ref="F143:J143"/>
    <mergeCell ref="F26:J26"/>
    <mergeCell ref="F27:J27"/>
    <mergeCell ref="F28:J28"/>
    <mergeCell ref="H1:I1"/>
    <mergeCell ref="F2:J2"/>
    <mergeCell ref="F13:J13"/>
    <mergeCell ref="F14:J14"/>
    <mergeCell ref="F15:J15"/>
    <mergeCell ref="F16:J16"/>
    <mergeCell ref="F23:J23"/>
    <mergeCell ref="F24:J24"/>
    <mergeCell ref="F25:J25"/>
    <mergeCell ref="F3:J3"/>
    <mergeCell ref="F4:J4"/>
    <mergeCell ref="F5:J5"/>
    <mergeCell ref="F6:J6"/>
    <mergeCell ref="F7:J7"/>
    <mergeCell ref="F8:J8"/>
    <mergeCell ref="F9:J9"/>
    <mergeCell ref="F19:J19"/>
    <mergeCell ref="F20:J20"/>
    <mergeCell ref="F21:J21"/>
    <mergeCell ref="F22:J22"/>
    <mergeCell ref="F67:J67"/>
    <mergeCell ref="F68:J68"/>
    <mergeCell ref="F69:J69"/>
    <mergeCell ref="F70:J70"/>
    <mergeCell ref="F71:J71"/>
    <mergeCell ref="F54:J54"/>
    <mergeCell ref="F55:J55"/>
    <mergeCell ref="F56:J56"/>
    <mergeCell ref="F61:J61"/>
    <mergeCell ref="F62:J62"/>
    <mergeCell ref="F63:J63"/>
    <mergeCell ref="F64:J64"/>
    <mergeCell ref="F65:J65"/>
    <mergeCell ref="H57:I57"/>
    <mergeCell ref="F58:J58"/>
    <mergeCell ref="F49:J49"/>
    <mergeCell ref="F50:J50"/>
    <mergeCell ref="F51:J51"/>
    <mergeCell ref="F52:J52"/>
    <mergeCell ref="F53:J53"/>
    <mergeCell ref="F72:J72"/>
    <mergeCell ref="F73:J73"/>
    <mergeCell ref="F74:J74"/>
    <mergeCell ref="F81:J81"/>
    <mergeCell ref="F82:J82"/>
    <mergeCell ref="F36:J36"/>
    <mergeCell ref="F37:J37"/>
    <mergeCell ref="F38:J38"/>
    <mergeCell ref="F39:J39"/>
    <mergeCell ref="F40:J40"/>
    <mergeCell ref="F41:J41"/>
    <mergeCell ref="F42:J42"/>
    <mergeCell ref="F43:J43"/>
    <mergeCell ref="F44:J44"/>
    <mergeCell ref="F45:J45"/>
    <mergeCell ref="F46:J46"/>
    <mergeCell ref="F76:J76"/>
    <mergeCell ref="F77:J77"/>
    <mergeCell ref="F78:J78"/>
    <mergeCell ref="F79:J79"/>
    <mergeCell ref="F80:J80"/>
    <mergeCell ref="F93:J93"/>
    <mergeCell ref="F94:J94"/>
    <mergeCell ref="F95:J95"/>
    <mergeCell ref="F96:J96"/>
    <mergeCell ref="F97:J97"/>
    <mergeCell ref="F98:J98"/>
    <mergeCell ref="F99:J99"/>
    <mergeCell ref="F100:J100"/>
    <mergeCell ref="F101:J101"/>
    <mergeCell ref="F138:J138"/>
    <mergeCell ref="F139:J139"/>
    <mergeCell ref="F140:J140"/>
    <mergeCell ref="F148:J148"/>
    <mergeCell ref="F149:J149"/>
    <mergeCell ref="F150:J150"/>
    <mergeCell ref="F151:J151"/>
    <mergeCell ref="F152:J152"/>
    <mergeCell ref="F102:J102"/>
    <mergeCell ref="F130:J130"/>
    <mergeCell ref="F131:J131"/>
    <mergeCell ref="F132:J132"/>
    <mergeCell ref="F133:J133"/>
    <mergeCell ref="F134:J134"/>
    <mergeCell ref="F135:J135"/>
    <mergeCell ref="F136:J136"/>
    <mergeCell ref="F137:J137"/>
    <mergeCell ref="F144:J144"/>
    <mergeCell ref="F112:J112"/>
    <mergeCell ref="F347:J347"/>
    <mergeCell ref="F348:J348"/>
    <mergeCell ref="F349:J349"/>
    <mergeCell ref="F350:J350"/>
    <mergeCell ref="F351:J351"/>
    <mergeCell ref="F352:J352"/>
    <mergeCell ref="F318:J318"/>
    <mergeCell ref="F319:J319"/>
    <mergeCell ref="F320:J320"/>
    <mergeCell ref="F321:J321"/>
    <mergeCell ref="F322:J322"/>
    <mergeCell ref="F323:J323"/>
    <mergeCell ref="F324:J324"/>
    <mergeCell ref="F325:J325"/>
    <mergeCell ref="F326:J326"/>
    <mergeCell ref="F336:J336"/>
    <mergeCell ref="F332:J332"/>
    <mergeCell ref="F213:J213"/>
    <mergeCell ref="F270:J270"/>
    <mergeCell ref="F233:J233"/>
    <mergeCell ref="F234:J234"/>
    <mergeCell ref="F235:J235"/>
    <mergeCell ref="F236:J236"/>
    <mergeCell ref="F237:J237"/>
    <mergeCell ref="F238:J238"/>
    <mergeCell ref="F239:J239"/>
    <mergeCell ref="F240:J240"/>
    <mergeCell ref="F241:J241"/>
    <mergeCell ref="F242:J242"/>
    <mergeCell ref="F261:J261"/>
    <mergeCell ref="F262:J262"/>
    <mergeCell ref="F263:J263"/>
    <mergeCell ref="F264:J264"/>
    <mergeCell ref="F265:J265"/>
    <mergeCell ref="F266:J266"/>
    <mergeCell ref="F267:J267"/>
    <mergeCell ref="F268:J268"/>
    <mergeCell ref="F269:J269"/>
    <mergeCell ref="F218:J218"/>
    <mergeCell ref="F219:J219"/>
    <mergeCell ref="F248:J248"/>
    <mergeCell ref="F186:J186"/>
    <mergeCell ref="F205:J205"/>
    <mergeCell ref="F206:J206"/>
    <mergeCell ref="F207:J207"/>
    <mergeCell ref="F208:J208"/>
    <mergeCell ref="F209:J209"/>
    <mergeCell ref="F210:J210"/>
    <mergeCell ref="F211:J211"/>
    <mergeCell ref="F212:J212"/>
    <mergeCell ref="F201:J201"/>
    <mergeCell ref="F202:J202"/>
    <mergeCell ref="F203:J203"/>
    <mergeCell ref="F193:J193"/>
    <mergeCell ref="F194:J194"/>
    <mergeCell ref="F177:J177"/>
    <mergeCell ref="F178:J178"/>
    <mergeCell ref="F179:J179"/>
    <mergeCell ref="F180:J180"/>
    <mergeCell ref="F181:J181"/>
    <mergeCell ref="F182:J182"/>
    <mergeCell ref="F183:J183"/>
    <mergeCell ref="F184:J184"/>
    <mergeCell ref="F185:J185"/>
    <mergeCell ref="F659:J659"/>
    <mergeCell ref="F660:J660"/>
    <mergeCell ref="F661:J661"/>
    <mergeCell ref="F662:J662"/>
    <mergeCell ref="F663:J663"/>
    <mergeCell ref="F664:J664"/>
    <mergeCell ref="F665:J665"/>
    <mergeCell ref="F666:J666"/>
    <mergeCell ref="F214:J214"/>
    <mergeCell ref="F353:J353"/>
    <mergeCell ref="F354:J354"/>
    <mergeCell ref="F290:J290"/>
    <mergeCell ref="F291:J291"/>
    <mergeCell ref="F292:J292"/>
    <mergeCell ref="F293:J293"/>
    <mergeCell ref="F294:J294"/>
    <mergeCell ref="F295:J295"/>
    <mergeCell ref="F296:J296"/>
    <mergeCell ref="F297:J297"/>
    <mergeCell ref="F298:J298"/>
    <mergeCell ref="F299:J299"/>
    <mergeCell ref="F327:J327"/>
    <mergeCell ref="F345:J345"/>
    <mergeCell ref="F346:J346"/>
    <mergeCell ref="F667:J667"/>
    <mergeCell ref="F668:J668"/>
    <mergeCell ref="F669:J669"/>
    <mergeCell ref="F670:J670"/>
    <mergeCell ref="F671:J671"/>
    <mergeCell ref="F672:J672"/>
    <mergeCell ref="F673:J673"/>
    <mergeCell ref="F674:J674"/>
    <mergeCell ref="F676:J676"/>
    <mergeCell ref="F689:J689"/>
    <mergeCell ref="F690:J690"/>
    <mergeCell ref="F691:J691"/>
    <mergeCell ref="F692:J692"/>
    <mergeCell ref="F693:J693"/>
    <mergeCell ref="F694:J694"/>
    <mergeCell ref="F678:J678"/>
    <mergeCell ref="F679:J679"/>
    <mergeCell ref="F680:J680"/>
    <mergeCell ref="F681:J681"/>
    <mergeCell ref="F682:J682"/>
    <mergeCell ref="F683:J683"/>
    <mergeCell ref="F684:J684"/>
    <mergeCell ref="F685:J685"/>
    <mergeCell ref="F704:J704"/>
    <mergeCell ref="F705:J705"/>
    <mergeCell ref="F706:J706"/>
    <mergeCell ref="D658:E658"/>
    <mergeCell ref="H658:I658"/>
    <mergeCell ref="D677:E677"/>
    <mergeCell ref="H677:I677"/>
    <mergeCell ref="F599:J599"/>
    <mergeCell ref="F618:J618"/>
    <mergeCell ref="F637:J637"/>
    <mergeCell ref="F656:J656"/>
    <mergeCell ref="F675:J675"/>
    <mergeCell ref="F695:J695"/>
    <mergeCell ref="F696:J696"/>
    <mergeCell ref="F697:J697"/>
    <mergeCell ref="F698:J698"/>
    <mergeCell ref="F699:J699"/>
    <mergeCell ref="F700:J700"/>
    <mergeCell ref="F701:J701"/>
    <mergeCell ref="F702:J702"/>
    <mergeCell ref="F703:J703"/>
    <mergeCell ref="F686:J686"/>
    <mergeCell ref="F687:J687"/>
    <mergeCell ref="F688:J688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&amp;C&amp;"-,Kalın"AYBU ERASMUS&amp;RTARİH:........-............/......../ 2022</oddHeader>
    <oddFooter>&amp;C&amp;"-,Kalın"                                                                                                                             Okutman(lar):..................................................     İmza: .....................................</oddFooter>
  </headerFooter>
  <rowBreaks count="30" manualBreakCount="30">
    <brk id="28" max="9" man="1"/>
    <brk id="56" max="9" man="1"/>
    <brk id="84" max="9" man="1"/>
    <brk id="112" max="9" man="1"/>
    <brk id="140" max="9" man="1"/>
    <brk id="168" max="9" man="1"/>
    <brk id="196" max="9" man="1"/>
    <brk id="224" max="9" man="1"/>
    <brk id="252" max="9" man="1"/>
    <brk id="280" max="9" man="1"/>
    <brk id="308" max="9" man="1"/>
    <brk id="336" max="9" man="1"/>
    <brk id="364" max="9" man="1"/>
    <brk id="382" max="9" man="1"/>
    <brk id="400" max="9" man="1"/>
    <brk id="418" max="9" man="1"/>
    <brk id="436" max="9" man="1"/>
    <brk id="454" max="9" man="1"/>
    <brk id="472" max="9" man="1"/>
    <brk id="490" max="9" man="1"/>
    <brk id="508" max="9" man="1"/>
    <brk id="526" max="9" man="1"/>
    <brk id="544" max="9" man="1"/>
    <brk id="562" max="9" man="1"/>
    <brk id="581" max="9" man="1"/>
    <brk id="600" max="9" man="1"/>
    <brk id="619" max="9" man="1"/>
    <brk id="638" max="9" man="1"/>
    <brk id="657" max="9" man="1"/>
    <brk id="676" max="9" man="1"/>
  </rowBreaks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4"/>
  <dimension ref="A1:IV201"/>
  <sheetViews>
    <sheetView workbookViewId="0">
      <selection activeCell="A187" sqref="A187"/>
    </sheetView>
  </sheetViews>
  <sheetFormatPr baseColWidth="10" defaultColWidth="8.83203125" defaultRowHeight="15" x14ac:dyDescent="0.2"/>
  <sheetData>
    <row r="1" spans="1:256" x14ac:dyDescent="0.2">
      <c r="A1">
        <f>IF(Liste!1:1,"AAAAAD///QA=",0)</f>
        <v>0</v>
      </c>
      <c r="B1" t="e">
        <f>AND(Liste!A1,"AAAAAD///QE=")</f>
        <v>#VALUE!</v>
      </c>
      <c r="C1" t="e">
        <f>AND(Liste!C57,"AAAAAD///QI=")</f>
        <v>#VALUE!</v>
      </c>
      <c r="D1" t="e">
        <f>AND(Liste!D57,"AAAAAD///QM=")</f>
        <v>#VALUE!</v>
      </c>
      <c r="E1" t="e">
        <f>AND(Liste!E57,"AAAAAD///QQ=")</f>
        <v>#VALUE!</v>
      </c>
      <c r="F1" t="e">
        <f>AND(Liste!F57,"AAAAAD///QU=")</f>
        <v>#VALUE!</v>
      </c>
      <c r="G1" t="e">
        <f>AND(Liste!G57,"AAAAAD///QY=")</f>
        <v>#VALUE!</v>
      </c>
      <c r="H1" t="e">
        <f>AND(Liste!H57,"AAAAAD///Qc=")</f>
        <v>#VALUE!</v>
      </c>
      <c r="I1" t="e">
        <f>AND(Liste!I57,"AAAAAD///Qg=")</f>
        <v>#VALUE!</v>
      </c>
      <c r="J1" t="e">
        <f>AND(Liste!J57,"AAAAAD///Qk=")</f>
        <v>#VALUE!</v>
      </c>
      <c r="K1" t="e">
        <f>AND(Liste!#REF!,"AAAAAD///Qo=")</f>
        <v>#REF!</v>
      </c>
      <c r="L1" t="e">
        <f>AND(Liste!#REF!,"AAAAAD///Qs=")</f>
        <v>#REF!</v>
      </c>
      <c r="M1" t="e">
        <f>AND(Liste!#REF!,"AAAAAD///Qw=")</f>
        <v>#REF!</v>
      </c>
      <c r="N1" t="e">
        <f>AND(Liste!#REF!,"AAAAAD///Q0=")</f>
        <v>#REF!</v>
      </c>
      <c r="O1" t="e">
        <f>AND(Liste!#REF!,"AAAAAD///Q4=")</f>
        <v>#REF!</v>
      </c>
      <c r="P1" t="e">
        <f>AND(Liste!#REF!,"AAAAAD///Q8=")</f>
        <v>#REF!</v>
      </c>
      <c r="Q1" t="e">
        <f>AND(Liste!#REF!,"AAAAAD///RA=")</f>
        <v>#REF!</v>
      </c>
      <c r="R1" t="e">
        <f>AND(Liste!#REF!,"AAAAAD///RE=")</f>
        <v>#REF!</v>
      </c>
      <c r="S1" t="e">
        <f>AND(Liste!#REF!,"AAAAAD///RI=")</f>
        <v>#REF!</v>
      </c>
      <c r="T1" t="e">
        <f>AND(Liste!#REF!,"AAAAAD///RM=")</f>
        <v>#REF!</v>
      </c>
      <c r="U1" t="e">
        <f>AND(Liste!#REF!,"AAAAAD///RQ=")</f>
        <v>#REF!</v>
      </c>
      <c r="V1" t="e">
        <f>AND(Liste!#REF!,"AAAAAD///RU=")</f>
        <v>#REF!</v>
      </c>
      <c r="W1" t="e">
        <f>AND(Liste!#REF!,"AAAAAD///RY=")</f>
        <v>#REF!</v>
      </c>
      <c r="X1" t="e">
        <f>AND(Liste!#REF!,"AAAAAD///Rc=")</f>
        <v>#REF!</v>
      </c>
      <c r="Y1" t="e">
        <f>AND(Liste!#REF!,"AAAAAD///Rg=")</f>
        <v>#REF!</v>
      </c>
      <c r="Z1" t="e">
        <f>AND(Liste!#REF!,"AAAAAD///Rk=")</f>
        <v>#REF!</v>
      </c>
      <c r="AA1" t="e">
        <f>AND(Liste!#REF!,"AAAAAD///Ro=")</f>
        <v>#REF!</v>
      </c>
      <c r="AB1" t="e">
        <f>AND(Liste!#REF!,"AAAAAD///Rs=")</f>
        <v>#REF!</v>
      </c>
      <c r="AC1" t="e">
        <f>AND(Liste!#REF!,"AAAAAD///Rw=")</f>
        <v>#REF!</v>
      </c>
      <c r="AD1" t="e">
        <f>AND(Liste!#REF!,"AAAAAD///R0=")</f>
        <v>#REF!</v>
      </c>
      <c r="AE1" t="e">
        <f>AND(Liste!#REF!,"AAAAAD///R4=")</f>
        <v>#REF!</v>
      </c>
      <c r="AF1">
        <f>IF(Liste!2:2,"AAAAAD///R8=",0)</f>
        <v>0</v>
      </c>
      <c r="AG1" t="e">
        <f>AND(Liste!A2,"AAAAAD///SA=")</f>
        <v>#VALUE!</v>
      </c>
      <c r="AH1" t="e">
        <f>AND(Liste!C58,"AAAAAD///SE=")</f>
        <v>#VALUE!</v>
      </c>
      <c r="AI1" t="e">
        <f>AND(Liste!D58,"AAAAAD///SI=")</f>
        <v>#VALUE!</v>
      </c>
      <c r="AJ1" t="e">
        <f>AND(Liste!E58,"AAAAAD///SM=")</f>
        <v>#VALUE!</v>
      </c>
      <c r="AK1" t="e">
        <f>AND(Liste!F58,"AAAAAD///SQ=")</f>
        <v>#VALUE!</v>
      </c>
      <c r="AL1" t="e">
        <f>AND(Liste!G58,"AAAAAD///SU=")</f>
        <v>#VALUE!</v>
      </c>
      <c r="AM1" t="e">
        <f>AND(Liste!H58,"AAAAAD///SY=")</f>
        <v>#VALUE!</v>
      </c>
      <c r="AN1" t="e">
        <f>AND(Liste!I58,"AAAAAD///Sc=")</f>
        <v>#VALUE!</v>
      </c>
      <c r="AO1" t="e">
        <f>AND(Liste!J58,"AAAAAD///Sg=")</f>
        <v>#VALUE!</v>
      </c>
      <c r="AP1" t="e">
        <f>AND(Liste!#REF!,"AAAAAD///Sk=")</f>
        <v>#REF!</v>
      </c>
      <c r="AQ1" t="e">
        <f>AND(Liste!#REF!,"AAAAAD///So=")</f>
        <v>#REF!</v>
      </c>
      <c r="AR1" t="e">
        <f>AND(Liste!#REF!,"AAAAAD///Ss=")</f>
        <v>#REF!</v>
      </c>
      <c r="AS1" t="e">
        <f>AND(Liste!#REF!,"AAAAAD///Sw=")</f>
        <v>#REF!</v>
      </c>
      <c r="AT1" t="e">
        <f>AND(Liste!#REF!,"AAAAAD///S0=")</f>
        <v>#REF!</v>
      </c>
      <c r="AU1" t="e">
        <f>AND(Liste!#REF!,"AAAAAD///S4=")</f>
        <v>#REF!</v>
      </c>
      <c r="AV1" t="e">
        <f>AND(Liste!#REF!,"AAAAAD///S8=")</f>
        <v>#REF!</v>
      </c>
      <c r="AW1" t="e">
        <f>AND(Liste!#REF!,"AAAAAD///TA=")</f>
        <v>#REF!</v>
      </c>
      <c r="AX1" t="e">
        <f>AND(Liste!#REF!,"AAAAAD///TE=")</f>
        <v>#REF!</v>
      </c>
      <c r="AY1" t="e">
        <f>AND(Liste!#REF!,"AAAAAD///TI=")</f>
        <v>#REF!</v>
      </c>
      <c r="AZ1" t="e">
        <f>AND(Liste!#REF!,"AAAAAD///TM=")</f>
        <v>#REF!</v>
      </c>
      <c r="BA1" t="e">
        <f>AND(Liste!#REF!,"AAAAAD///TQ=")</f>
        <v>#REF!</v>
      </c>
      <c r="BB1" t="e">
        <f>AND(Liste!#REF!,"AAAAAD///TU=")</f>
        <v>#REF!</v>
      </c>
      <c r="BC1" t="e">
        <f>AND(Liste!#REF!,"AAAAAD///TY=")</f>
        <v>#REF!</v>
      </c>
      <c r="BD1" t="e">
        <f>AND(Liste!#REF!,"AAAAAD///Tc=")</f>
        <v>#REF!</v>
      </c>
      <c r="BE1" t="e">
        <f>AND(Liste!#REF!,"AAAAAD///Tg=")</f>
        <v>#REF!</v>
      </c>
      <c r="BF1" t="e">
        <f>AND(Liste!#REF!,"AAAAAD///Tk=")</f>
        <v>#REF!</v>
      </c>
      <c r="BG1" t="e">
        <f>AND(Liste!#REF!,"AAAAAD///To=")</f>
        <v>#REF!</v>
      </c>
      <c r="BH1" t="e">
        <f>AND(Liste!#REF!,"AAAAAD///Ts=")</f>
        <v>#REF!</v>
      </c>
      <c r="BI1" t="e">
        <f>AND(Liste!#REF!,"AAAAAD///Tw=")</f>
        <v>#REF!</v>
      </c>
      <c r="BJ1" t="e">
        <f>AND(Liste!#REF!,"AAAAAD///T0=")</f>
        <v>#REF!</v>
      </c>
      <c r="BK1">
        <f>IF(Liste!13:13,"AAAAAD///T4=",0)</f>
        <v>0</v>
      </c>
      <c r="BL1" t="b">
        <f>AND(Liste!A13,"AAAAAD///T8=")</f>
        <v>1</v>
      </c>
      <c r="BM1" t="e">
        <f>AND(Liste!#REF!,"AAAAAD///UA=")</f>
        <v>#REF!</v>
      </c>
      <c r="BN1" t="e">
        <f>AND(Liste!#REF!,"AAAAAD///UE=")</f>
        <v>#REF!</v>
      </c>
      <c r="BO1" t="e">
        <f>AND(Liste!#REF!,"AAAAAD///UI=")</f>
        <v>#REF!</v>
      </c>
      <c r="BP1" t="e">
        <f>AND(Liste!F59,"AAAAAD///UM=")</f>
        <v>#VALUE!</v>
      </c>
      <c r="BQ1" t="e">
        <f>AND(Liste!G59,"AAAAAD///UQ=")</f>
        <v>#VALUE!</v>
      </c>
      <c r="BR1" t="e">
        <f>AND(Liste!H59,"AAAAAD///UU=")</f>
        <v>#VALUE!</v>
      </c>
      <c r="BS1" t="e">
        <f>AND(Liste!I59,"AAAAAD///UY=")</f>
        <v>#VALUE!</v>
      </c>
      <c r="BT1" t="e">
        <f>AND(Liste!J59,"AAAAAD///Uc=")</f>
        <v>#VALUE!</v>
      </c>
      <c r="BU1" t="e">
        <f>AND(Liste!#REF!,"AAAAAD///Ug=")</f>
        <v>#REF!</v>
      </c>
      <c r="BV1" t="e">
        <f>AND(Liste!#REF!,"AAAAAD///Uk=")</f>
        <v>#REF!</v>
      </c>
      <c r="BW1" t="e">
        <f>AND(Liste!#REF!,"AAAAAD///Uo=")</f>
        <v>#REF!</v>
      </c>
      <c r="BX1" t="e">
        <f>AND(Liste!#REF!,"AAAAAD///Us=")</f>
        <v>#REF!</v>
      </c>
      <c r="BY1" t="e">
        <f>AND(Liste!#REF!,"AAAAAD///Uw=")</f>
        <v>#REF!</v>
      </c>
      <c r="BZ1" t="e">
        <f>AND(Liste!#REF!,"AAAAAD///U0=")</f>
        <v>#REF!</v>
      </c>
      <c r="CA1" t="e">
        <f>AND(Liste!#REF!,"AAAAAD///U4=")</f>
        <v>#REF!</v>
      </c>
      <c r="CB1" t="e">
        <f>AND(Liste!#REF!,"AAAAAD///U8=")</f>
        <v>#REF!</v>
      </c>
      <c r="CC1" t="e">
        <f>AND(Liste!#REF!,"AAAAAD///VA=")</f>
        <v>#REF!</v>
      </c>
      <c r="CD1" t="e">
        <f>AND(Liste!#REF!,"AAAAAD///VE=")</f>
        <v>#REF!</v>
      </c>
      <c r="CE1" t="e">
        <f>AND(Liste!#REF!,"AAAAAD///VI=")</f>
        <v>#REF!</v>
      </c>
      <c r="CF1" t="e">
        <f>AND(Liste!#REF!,"AAAAAD///VM=")</f>
        <v>#REF!</v>
      </c>
      <c r="CG1" t="e">
        <f>AND(Liste!#REF!,"AAAAAD///VQ=")</f>
        <v>#REF!</v>
      </c>
      <c r="CH1" t="e">
        <f>AND(Liste!#REF!,"AAAAAD///VU=")</f>
        <v>#REF!</v>
      </c>
      <c r="CI1" t="e">
        <f>AND(Liste!#REF!,"AAAAAD///VY=")</f>
        <v>#REF!</v>
      </c>
      <c r="CJ1" t="e">
        <f>AND(Liste!#REF!,"AAAAAD///Vc=")</f>
        <v>#REF!</v>
      </c>
      <c r="CK1" t="e">
        <f>AND(Liste!#REF!,"AAAAAD///Vg=")</f>
        <v>#REF!</v>
      </c>
      <c r="CL1" t="e">
        <f>AND(Liste!#REF!,"AAAAAD///Vk=")</f>
        <v>#REF!</v>
      </c>
      <c r="CM1" t="e">
        <f>AND(Liste!#REF!,"AAAAAD///Vo=")</f>
        <v>#REF!</v>
      </c>
      <c r="CN1" t="e">
        <f>AND(Liste!#REF!,"AAAAAD///Vs=")</f>
        <v>#REF!</v>
      </c>
      <c r="CO1" t="e">
        <f>AND(Liste!#REF!,"AAAAAD///Vw=")</f>
        <v>#REF!</v>
      </c>
      <c r="CP1">
        <f>IF(Liste!14:14,"AAAAAD///V0=",0)</f>
        <v>0</v>
      </c>
      <c r="CQ1" t="b">
        <f>AND(Liste!A14,"AAAAAD///V4=")</f>
        <v>1</v>
      </c>
      <c r="CR1" t="e">
        <f>AND(Liste!#REF!,"AAAAAD///V8=")</f>
        <v>#REF!</v>
      </c>
      <c r="CS1" t="e">
        <f>AND(Liste!#REF!,"AAAAAD///WA=")</f>
        <v>#REF!</v>
      </c>
      <c r="CT1" t="e">
        <f>AND(Liste!#REF!,"AAAAAD///WE=")</f>
        <v>#REF!</v>
      </c>
      <c r="CU1" t="e">
        <f>AND(Liste!F60,"AAAAAD///WI=")</f>
        <v>#VALUE!</v>
      </c>
      <c r="CV1" t="e">
        <f>AND(Liste!G60,"AAAAAD///WM=")</f>
        <v>#VALUE!</v>
      </c>
      <c r="CW1" t="e">
        <f>AND(Liste!H60,"AAAAAD///WQ=")</f>
        <v>#VALUE!</v>
      </c>
      <c r="CX1" t="e">
        <f>AND(Liste!I60,"AAAAAD///WU=")</f>
        <v>#VALUE!</v>
      </c>
      <c r="CY1" t="e">
        <f>AND(Liste!J60,"AAAAAD///WY=")</f>
        <v>#VALUE!</v>
      </c>
      <c r="CZ1" t="e">
        <f>AND(Liste!#REF!,"AAAAAD///Wc=")</f>
        <v>#REF!</v>
      </c>
      <c r="DA1" t="e">
        <f>AND(Liste!#REF!,"AAAAAD///Wg=")</f>
        <v>#REF!</v>
      </c>
      <c r="DB1" t="e">
        <f>AND(Liste!#REF!,"AAAAAD///Wk=")</f>
        <v>#REF!</v>
      </c>
      <c r="DC1" t="e">
        <f>AND(Liste!#REF!,"AAAAAD///Wo=")</f>
        <v>#REF!</v>
      </c>
      <c r="DD1" t="e">
        <f>AND(Liste!#REF!,"AAAAAD///Ws=")</f>
        <v>#REF!</v>
      </c>
      <c r="DE1" t="e">
        <f>AND(Liste!#REF!,"AAAAAD///Ww=")</f>
        <v>#REF!</v>
      </c>
      <c r="DF1" t="e">
        <f>AND(Liste!#REF!,"AAAAAD///W0=")</f>
        <v>#REF!</v>
      </c>
      <c r="DG1" t="e">
        <f>AND(Liste!#REF!,"AAAAAD///W4=")</f>
        <v>#REF!</v>
      </c>
      <c r="DH1" t="e">
        <f>AND(Liste!#REF!,"AAAAAD///W8=")</f>
        <v>#REF!</v>
      </c>
      <c r="DI1" t="e">
        <f>AND(Liste!#REF!,"AAAAAD///XA=")</f>
        <v>#REF!</v>
      </c>
      <c r="DJ1" t="e">
        <f>AND(Liste!#REF!,"AAAAAD///XE=")</f>
        <v>#REF!</v>
      </c>
      <c r="DK1" t="e">
        <f>AND(Liste!#REF!,"AAAAAD///XI=")</f>
        <v>#REF!</v>
      </c>
      <c r="DL1" t="e">
        <f>AND(Liste!#REF!,"AAAAAD///XM=")</f>
        <v>#REF!</v>
      </c>
      <c r="DM1" t="e">
        <f>AND(Liste!#REF!,"AAAAAD///XQ=")</f>
        <v>#REF!</v>
      </c>
      <c r="DN1" t="e">
        <f>AND(Liste!#REF!,"AAAAAD///XU=")</f>
        <v>#REF!</v>
      </c>
      <c r="DO1" t="e">
        <f>AND(Liste!#REF!,"AAAAAD///XY=")</f>
        <v>#REF!</v>
      </c>
      <c r="DP1" t="e">
        <f>AND(Liste!#REF!,"AAAAAD///Xc=")</f>
        <v>#REF!</v>
      </c>
      <c r="DQ1" t="e">
        <f>AND(Liste!#REF!,"AAAAAD///Xg=")</f>
        <v>#REF!</v>
      </c>
      <c r="DR1" t="e">
        <f>AND(Liste!#REF!,"AAAAAD///Xk=")</f>
        <v>#REF!</v>
      </c>
      <c r="DS1" t="e">
        <f>AND(Liste!#REF!,"AAAAAD///Xo=")</f>
        <v>#REF!</v>
      </c>
      <c r="DT1" t="e">
        <f>AND(Liste!#REF!,"AAAAAD///Xs=")</f>
        <v>#REF!</v>
      </c>
      <c r="DU1">
        <f>IF(Liste!15:15,"AAAAAD///Xw=",0)</f>
        <v>0</v>
      </c>
      <c r="DV1" t="b">
        <f>AND(Liste!A15,"AAAAAD///X0=")</f>
        <v>1</v>
      </c>
      <c r="DW1" t="e">
        <f>AND(Liste!#REF!,"AAAAAD///X4=")</f>
        <v>#REF!</v>
      </c>
      <c r="DX1" t="e">
        <f>AND(Liste!#REF!,"AAAAAD///X8=")</f>
        <v>#REF!</v>
      </c>
      <c r="DY1" t="e">
        <f>AND(Liste!#REF!,"AAAAAD///YA=")</f>
        <v>#REF!</v>
      </c>
      <c r="DZ1" t="e">
        <f>AND(Liste!F61,"AAAAAD///YE=")</f>
        <v>#VALUE!</v>
      </c>
      <c r="EA1" t="e">
        <f>AND(Liste!G61,"AAAAAD///YI=")</f>
        <v>#VALUE!</v>
      </c>
      <c r="EB1" t="e">
        <f>AND(Liste!H61,"AAAAAD///YM=")</f>
        <v>#VALUE!</v>
      </c>
      <c r="EC1" t="e">
        <f>AND(Liste!I61,"AAAAAD///YQ=")</f>
        <v>#VALUE!</v>
      </c>
      <c r="ED1" t="e">
        <f>AND(Liste!J61,"AAAAAD///YU=")</f>
        <v>#VALUE!</v>
      </c>
      <c r="EE1" t="e">
        <f>AND(Liste!#REF!,"AAAAAD///YY=")</f>
        <v>#REF!</v>
      </c>
      <c r="EF1" t="e">
        <f>AND(Liste!#REF!,"AAAAAD///Yc=")</f>
        <v>#REF!</v>
      </c>
      <c r="EG1" t="e">
        <f>AND(Liste!#REF!,"AAAAAD///Yg=")</f>
        <v>#REF!</v>
      </c>
      <c r="EH1" t="e">
        <f>AND(Liste!#REF!,"AAAAAD///Yk=")</f>
        <v>#REF!</v>
      </c>
      <c r="EI1" t="e">
        <f>AND(Liste!#REF!,"AAAAAD///Yo=")</f>
        <v>#REF!</v>
      </c>
      <c r="EJ1" t="e">
        <f>AND(Liste!#REF!,"AAAAAD///Ys=")</f>
        <v>#REF!</v>
      </c>
      <c r="EK1" t="e">
        <f>AND(Liste!#REF!,"AAAAAD///Yw=")</f>
        <v>#REF!</v>
      </c>
      <c r="EL1" t="e">
        <f>AND(Liste!#REF!,"AAAAAD///Y0=")</f>
        <v>#REF!</v>
      </c>
      <c r="EM1" t="e">
        <f>AND(Liste!#REF!,"AAAAAD///Y4=")</f>
        <v>#REF!</v>
      </c>
      <c r="EN1" t="e">
        <f>AND(Liste!#REF!,"AAAAAD///Y8=")</f>
        <v>#REF!</v>
      </c>
      <c r="EO1" t="e">
        <f>AND(Liste!#REF!,"AAAAAD///ZA=")</f>
        <v>#REF!</v>
      </c>
      <c r="EP1" t="e">
        <f>AND(Liste!#REF!,"AAAAAD///ZE=")</f>
        <v>#REF!</v>
      </c>
      <c r="EQ1" t="e">
        <f>AND(Liste!#REF!,"AAAAAD///ZI=")</f>
        <v>#REF!</v>
      </c>
      <c r="ER1" t="e">
        <f>AND(Liste!#REF!,"AAAAAD///ZM=")</f>
        <v>#REF!</v>
      </c>
      <c r="ES1" t="e">
        <f>AND(Liste!#REF!,"AAAAAD///ZQ=")</f>
        <v>#REF!</v>
      </c>
      <c r="ET1" t="e">
        <f>AND(Liste!#REF!,"AAAAAD///ZU=")</f>
        <v>#REF!</v>
      </c>
      <c r="EU1" t="e">
        <f>AND(Liste!#REF!,"AAAAAD///ZY=")</f>
        <v>#REF!</v>
      </c>
      <c r="EV1" t="e">
        <f>AND(Liste!#REF!,"AAAAAD///Zc=")</f>
        <v>#REF!</v>
      </c>
      <c r="EW1" t="e">
        <f>AND(Liste!#REF!,"AAAAAD///Zg=")</f>
        <v>#REF!</v>
      </c>
      <c r="EX1" t="e">
        <f>AND(Liste!#REF!,"AAAAAD///Zk=")</f>
        <v>#REF!</v>
      </c>
      <c r="EY1" t="e">
        <f>AND(Liste!#REF!,"AAAAAD///Zo=")</f>
        <v>#REF!</v>
      </c>
      <c r="EZ1">
        <f>IF(Liste!16:16,"AAAAAD///Zs=",0)</f>
        <v>0</v>
      </c>
      <c r="FA1" t="b">
        <f>AND(Liste!A16,"AAAAAD///Zw=")</f>
        <v>1</v>
      </c>
      <c r="FB1" t="e">
        <f>AND(Liste!#REF!,"AAAAAD///Z0=")</f>
        <v>#REF!</v>
      </c>
      <c r="FC1" t="e">
        <f>AND(Liste!#REF!,"AAAAAD///Z4=")</f>
        <v>#REF!</v>
      </c>
      <c r="FD1" t="e">
        <f>AND(Liste!#REF!,"AAAAAD///Z8=")</f>
        <v>#REF!</v>
      </c>
      <c r="FE1" t="e">
        <f>AND(Liste!F62,"AAAAAD///aA=")</f>
        <v>#VALUE!</v>
      </c>
      <c r="FF1" t="e">
        <f>AND(Liste!G62,"AAAAAD///aE=")</f>
        <v>#VALUE!</v>
      </c>
      <c r="FG1" t="e">
        <f>AND(Liste!H62,"AAAAAD///aI=")</f>
        <v>#VALUE!</v>
      </c>
      <c r="FH1" t="e">
        <f>AND(Liste!I62,"AAAAAD///aM=")</f>
        <v>#VALUE!</v>
      </c>
      <c r="FI1" t="e">
        <f>AND(Liste!J62,"AAAAAD///aQ=")</f>
        <v>#VALUE!</v>
      </c>
      <c r="FJ1" t="e">
        <f>AND(Liste!#REF!,"AAAAAD///aU=")</f>
        <v>#REF!</v>
      </c>
      <c r="FK1" t="e">
        <f>AND(Liste!#REF!,"AAAAAD///aY=")</f>
        <v>#REF!</v>
      </c>
      <c r="FL1" t="e">
        <f>AND(Liste!#REF!,"AAAAAD///ac=")</f>
        <v>#REF!</v>
      </c>
      <c r="FM1" t="e">
        <f>AND(Liste!#REF!,"AAAAAD///ag=")</f>
        <v>#REF!</v>
      </c>
      <c r="FN1" t="e">
        <f>AND(Liste!#REF!,"AAAAAD///ak=")</f>
        <v>#REF!</v>
      </c>
      <c r="FO1" t="e">
        <f>AND(Liste!#REF!,"AAAAAD///ao=")</f>
        <v>#REF!</v>
      </c>
      <c r="FP1" t="e">
        <f>AND(Liste!#REF!,"AAAAAD///as=")</f>
        <v>#REF!</v>
      </c>
      <c r="FQ1" t="e">
        <f>AND(Liste!#REF!,"AAAAAD///aw=")</f>
        <v>#REF!</v>
      </c>
      <c r="FR1" t="e">
        <f>AND(Liste!#REF!,"AAAAAD///a0=")</f>
        <v>#REF!</v>
      </c>
      <c r="FS1" t="e">
        <f>AND(Liste!#REF!,"AAAAAD///a4=")</f>
        <v>#REF!</v>
      </c>
      <c r="FT1" t="e">
        <f>AND(Liste!#REF!,"AAAAAD///a8=")</f>
        <v>#REF!</v>
      </c>
      <c r="FU1" t="e">
        <f>AND(Liste!#REF!,"AAAAAD///bA=")</f>
        <v>#REF!</v>
      </c>
      <c r="FV1" t="e">
        <f>AND(Liste!#REF!,"AAAAAD///bE=")</f>
        <v>#REF!</v>
      </c>
      <c r="FW1" t="e">
        <f>AND(Liste!#REF!,"AAAAAD///bI=")</f>
        <v>#REF!</v>
      </c>
      <c r="FX1" t="e">
        <f>AND(Liste!#REF!,"AAAAAD///bM=")</f>
        <v>#REF!</v>
      </c>
      <c r="FY1" t="e">
        <f>AND(Liste!#REF!,"AAAAAD///bQ=")</f>
        <v>#REF!</v>
      </c>
      <c r="FZ1" t="e">
        <f>AND(Liste!#REF!,"AAAAAD///bU=")</f>
        <v>#REF!</v>
      </c>
      <c r="GA1" t="e">
        <f>AND(Liste!#REF!,"AAAAAD///bY=")</f>
        <v>#REF!</v>
      </c>
      <c r="GB1" t="e">
        <f>AND(Liste!#REF!,"AAAAAD///bc=")</f>
        <v>#REF!</v>
      </c>
      <c r="GC1" t="e">
        <f>AND(Liste!#REF!,"AAAAAD///bg=")</f>
        <v>#REF!</v>
      </c>
      <c r="GD1" t="e">
        <f>AND(Liste!#REF!,"AAAAAD///bk=")</f>
        <v>#REF!</v>
      </c>
      <c r="GE1">
        <f>IF(Liste!23:23,"AAAAAD///bo=",0)</f>
        <v>0</v>
      </c>
      <c r="GF1" t="b">
        <f>AND(Liste!A23,"AAAAAD///bs=")</f>
        <v>1</v>
      </c>
      <c r="GG1" t="e">
        <f>AND(Liste!#REF!,"AAAAAD///bw=")</f>
        <v>#REF!</v>
      </c>
      <c r="GH1" t="e">
        <f>AND(Liste!#REF!,"AAAAAD///b0=")</f>
        <v>#REF!</v>
      </c>
      <c r="GI1" t="e">
        <f>AND(Liste!#REF!,"AAAAAD///b4=")</f>
        <v>#REF!</v>
      </c>
      <c r="GJ1" t="e">
        <f>AND(Liste!F63,"AAAAAD///b8=")</f>
        <v>#VALUE!</v>
      </c>
      <c r="GK1" t="e">
        <f>AND(Liste!G63,"AAAAAD///cA=")</f>
        <v>#VALUE!</v>
      </c>
      <c r="GL1" t="e">
        <f>AND(Liste!H63,"AAAAAD///cE=")</f>
        <v>#VALUE!</v>
      </c>
      <c r="GM1" t="e">
        <f>AND(Liste!I63,"AAAAAD///cI=")</f>
        <v>#VALUE!</v>
      </c>
      <c r="GN1" t="e">
        <f>AND(Liste!J63,"AAAAAD///cM=")</f>
        <v>#VALUE!</v>
      </c>
      <c r="GO1" t="e">
        <f>AND(Liste!#REF!,"AAAAAD///cQ=")</f>
        <v>#REF!</v>
      </c>
      <c r="GP1" t="e">
        <f>AND(Liste!#REF!,"AAAAAD///cU=")</f>
        <v>#REF!</v>
      </c>
      <c r="GQ1" t="e">
        <f>AND(Liste!#REF!,"AAAAAD///cY=")</f>
        <v>#REF!</v>
      </c>
      <c r="GR1" t="e">
        <f>AND(Liste!#REF!,"AAAAAD///cc=")</f>
        <v>#REF!</v>
      </c>
      <c r="GS1" t="e">
        <f>AND(Liste!#REF!,"AAAAAD///cg=")</f>
        <v>#REF!</v>
      </c>
      <c r="GT1" t="e">
        <f>AND(Liste!#REF!,"AAAAAD///ck=")</f>
        <v>#REF!</v>
      </c>
      <c r="GU1" t="e">
        <f>AND(Liste!#REF!,"AAAAAD///co=")</f>
        <v>#REF!</v>
      </c>
      <c r="GV1" t="e">
        <f>AND(Liste!#REF!,"AAAAAD///cs=")</f>
        <v>#REF!</v>
      </c>
      <c r="GW1" t="e">
        <f>AND(Liste!#REF!,"AAAAAD///cw=")</f>
        <v>#REF!</v>
      </c>
      <c r="GX1" t="e">
        <f>AND(Liste!#REF!,"AAAAAD///c0=")</f>
        <v>#REF!</v>
      </c>
      <c r="GY1" t="e">
        <f>AND(Liste!#REF!,"AAAAAD///c4=")</f>
        <v>#REF!</v>
      </c>
      <c r="GZ1" t="e">
        <f>AND(Liste!#REF!,"AAAAAD///c8=")</f>
        <v>#REF!</v>
      </c>
      <c r="HA1" t="e">
        <f>AND(Liste!#REF!,"AAAAAD///dA=")</f>
        <v>#REF!</v>
      </c>
      <c r="HB1" t="e">
        <f>AND(Liste!#REF!,"AAAAAD///dE=")</f>
        <v>#REF!</v>
      </c>
      <c r="HC1" t="e">
        <f>AND(Liste!#REF!,"AAAAAD///dI=")</f>
        <v>#REF!</v>
      </c>
      <c r="HD1" t="e">
        <f>AND(Liste!#REF!,"AAAAAD///dM=")</f>
        <v>#REF!</v>
      </c>
      <c r="HE1" t="e">
        <f>AND(Liste!#REF!,"AAAAAD///dQ=")</f>
        <v>#REF!</v>
      </c>
      <c r="HF1" t="e">
        <f>AND(Liste!#REF!,"AAAAAD///dU=")</f>
        <v>#REF!</v>
      </c>
      <c r="HG1" t="e">
        <f>AND(Liste!#REF!,"AAAAAD///dY=")</f>
        <v>#REF!</v>
      </c>
      <c r="HH1" t="e">
        <f>AND(Liste!#REF!,"AAAAAD///dc=")</f>
        <v>#REF!</v>
      </c>
      <c r="HI1" t="e">
        <f>AND(Liste!#REF!,"AAAAAD///dg=")</f>
        <v>#REF!</v>
      </c>
      <c r="HJ1">
        <f>IF(Liste!24:24,"AAAAAD///dk=",0)</f>
        <v>0</v>
      </c>
      <c r="HK1" t="b">
        <f>AND(Liste!A24,"AAAAAD///do=")</f>
        <v>1</v>
      </c>
      <c r="HL1" t="e">
        <f>AND(Liste!#REF!,"AAAAAD///ds=")</f>
        <v>#REF!</v>
      </c>
      <c r="HM1" t="e">
        <f>AND(Liste!#REF!,"AAAAAD///dw=")</f>
        <v>#REF!</v>
      </c>
      <c r="HN1" t="e">
        <f>AND(Liste!#REF!,"AAAAAD///d0=")</f>
        <v>#REF!</v>
      </c>
      <c r="HO1" t="e">
        <f>AND(Liste!F64,"AAAAAD///d4=")</f>
        <v>#VALUE!</v>
      </c>
      <c r="HP1" t="e">
        <f>AND(Liste!G64,"AAAAAD///d8=")</f>
        <v>#VALUE!</v>
      </c>
      <c r="HQ1" t="e">
        <f>AND(Liste!H64,"AAAAAD///eA=")</f>
        <v>#VALUE!</v>
      </c>
      <c r="HR1" t="e">
        <f>AND(Liste!I64,"AAAAAD///eE=")</f>
        <v>#VALUE!</v>
      </c>
      <c r="HS1" t="e">
        <f>AND(Liste!J64,"AAAAAD///eI=")</f>
        <v>#VALUE!</v>
      </c>
      <c r="HT1" t="e">
        <f>AND(Liste!#REF!,"AAAAAD///eM=")</f>
        <v>#REF!</v>
      </c>
      <c r="HU1" t="e">
        <f>AND(Liste!#REF!,"AAAAAD///eQ=")</f>
        <v>#REF!</v>
      </c>
      <c r="HV1" t="e">
        <f>AND(Liste!#REF!,"AAAAAD///eU=")</f>
        <v>#REF!</v>
      </c>
      <c r="HW1" t="e">
        <f>AND(Liste!#REF!,"AAAAAD///eY=")</f>
        <v>#REF!</v>
      </c>
      <c r="HX1" t="e">
        <f>AND(Liste!#REF!,"AAAAAD///ec=")</f>
        <v>#REF!</v>
      </c>
      <c r="HY1" t="e">
        <f>AND(Liste!#REF!,"AAAAAD///eg=")</f>
        <v>#REF!</v>
      </c>
      <c r="HZ1" t="e">
        <f>AND(Liste!#REF!,"AAAAAD///ek=")</f>
        <v>#REF!</v>
      </c>
      <c r="IA1" t="e">
        <f>AND(Liste!#REF!,"AAAAAD///eo=")</f>
        <v>#REF!</v>
      </c>
      <c r="IB1" t="e">
        <f>AND(Liste!#REF!,"AAAAAD///es=")</f>
        <v>#REF!</v>
      </c>
      <c r="IC1" t="e">
        <f>AND(Liste!#REF!,"AAAAAD///ew=")</f>
        <v>#REF!</v>
      </c>
      <c r="ID1" t="e">
        <f>AND(Liste!#REF!,"AAAAAD///e0=")</f>
        <v>#REF!</v>
      </c>
      <c r="IE1" t="e">
        <f>AND(Liste!#REF!,"AAAAAD///e4=")</f>
        <v>#REF!</v>
      </c>
      <c r="IF1" t="e">
        <f>AND(Liste!#REF!,"AAAAAD///e8=")</f>
        <v>#REF!</v>
      </c>
      <c r="IG1" t="e">
        <f>AND(Liste!#REF!,"AAAAAD///fA=")</f>
        <v>#REF!</v>
      </c>
      <c r="IH1" t="e">
        <f>AND(Liste!#REF!,"AAAAAD///fE=")</f>
        <v>#REF!</v>
      </c>
      <c r="II1" t="e">
        <f>AND(Liste!#REF!,"AAAAAD///fI=")</f>
        <v>#REF!</v>
      </c>
      <c r="IJ1" t="e">
        <f>AND(Liste!#REF!,"AAAAAD///fM=")</f>
        <v>#REF!</v>
      </c>
      <c r="IK1" t="e">
        <f>AND(Liste!#REF!,"AAAAAD///fQ=")</f>
        <v>#REF!</v>
      </c>
      <c r="IL1" t="e">
        <f>AND(Liste!#REF!,"AAAAAD///fU=")</f>
        <v>#REF!</v>
      </c>
      <c r="IM1" t="e">
        <f>AND(Liste!#REF!,"AAAAAD///fY=")</f>
        <v>#REF!</v>
      </c>
      <c r="IN1" t="e">
        <f>AND(Liste!#REF!,"AAAAAD///fc=")</f>
        <v>#REF!</v>
      </c>
      <c r="IO1">
        <f>IF(Liste!25:25,"AAAAAD///fg=",0)</f>
        <v>0</v>
      </c>
      <c r="IP1" t="b">
        <f>AND(Liste!A25,"AAAAAD///fk=")</f>
        <v>1</v>
      </c>
      <c r="IQ1" t="e">
        <f>AND(Liste!#REF!,"AAAAAD///fo=")</f>
        <v>#REF!</v>
      </c>
      <c r="IR1" t="e">
        <f>AND(Liste!#REF!,"AAAAAD///fs=")</f>
        <v>#REF!</v>
      </c>
      <c r="IS1" t="e">
        <f>AND(Liste!#REF!,"AAAAAD///fw=")</f>
        <v>#REF!</v>
      </c>
      <c r="IT1" t="e">
        <f>AND(Liste!F65,"AAAAAD///f0=")</f>
        <v>#VALUE!</v>
      </c>
      <c r="IU1" t="e">
        <f>AND(Liste!G65,"AAAAAD///f4=")</f>
        <v>#VALUE!</v>
      </c>
      <c r="IV1" t="e">
        <f>AND(Liste!H65,"AAAAAD///f8=")</f>
        <v>#VALUE!</v>
      </c>
    </row>
    <row r="2" spans="1:256" x14ac:dyDescent="0.2">
      <c r="A2" t="e">
        <f>AND(Liste!I65,"AAAAAB/3vwA=")</f>
        <v>#VALUE!</v>
      </c>
      <c r="B2" t="e">
        <f>AND(Liste!J65,"AAAAAB/3vwE=")</f>
        <v>#VALUE!</v>
      </c>
      <c r="C2" t="e">
        <f>AND(Liste!#REF!,"AAAAAB/3vwI=")</f>
        <v>#REF!</v>
      </c>
      <c r="D2" t="e">
        <f>AND(Liste!#REF!,"AAAAAB/3vwM=")</f>
        <v>#REF!</v>
      </c>
      <c r="E2" t="e">
        <f>AND(Liste!#REF!,"AAAAAB/3vwQ=")</f>
        <v>#REF!</v>
      </c>
      <c r="F2" t="e">
        <f>AND(Liste!#REF!,"AAAAAB/3vwU=")</f>
        <v>#REF!</v>
      </c>
      <c r="G2" t="e">
        <f>AND(Liste!#REF!,"AAAAAB/3vwY=")</f>
        <v>#REF!</v>
      </c>
      <c r="H2" t="e">
        <f>AND(Liste!#REF!,"AAAAAB/3vwc=")</f>
        <v>#REF!</v>
      </c>
      <c r="I2" t="e">
        <f>AND(Liste!#REF!,"AAAAAB/3vwg=")</f>
        <v>#REF!</v>
      </c>
      <c r="J2" t="e">
        <f>AND(Liste!#REF!,"AAAAAB/3vwk=")</f>
        <v>#REF!</v>
      </c>
      <c r="K2" t="e">
        <f>AND(Liste!#REF!,"AAAAAB/3vwo=")</f>
        <v>#REF!</v>
      </c>
      <c r="L2" t="e">
        <f>AND(Liste!#REF!,"AAAAAB/3vws=")</f>
        <v>#REF!</v>
      </c>
      <c r="M2" t="e">
        <f>AND(Liste!#REF!,"AAAAAB/3vww=")</f>
        <v>#REF!</v>
      </c>
      <c r="N2" t="e">
        <f>AND(Liste!#REF!,"AAAAAB/3vw0=")</f>
        <v>#REF!</v>
      </c>
      <c r="O2" t="e">
        <f>AND(Liste!#REF!,"AAAAAB/3vw4=")</f>
        <v>#REF!</v>
      </c>
      <c r="P2" t="e">
        <f>AND(Liste!#REF!,"AAAAAB/3vw8=")</f>
        <v>#REF!</v>
      </c>
      <c r="Q2" t="e">
        <f>AND(Liste!#REF!,"AAAAAB/3vxA=")</f>
        <v>#REF!</v>
      </c>
      <c r="R2" t="e">
        <f>AND(Liste!#REF!,"AAAAAB/3vxE=")</f>
        <v>#REF!</v>
      </c>
      <c r="S2" t="e">
        <f>AND(Liste!#REF!,"AAAAAB/3vxI=")</f>
        <v>#REF!</v>
      </c>
      <c r="T2" t="e">
        <f>AND(Liste!#REF!,"AAAAAB/3vxM=")</f>
        <v>#REF!</v>
      </c>
      <c r="U2" t="e">
        <f>AND(Liste!#REF!,"AAAAAB/3vxQ=")</f>
        <v>#REF!</v>
      </c>
      <c r="V2" t="e">
        <f>AND(Liste!#REF!,"AAAAAB/3vxU=")</f>
        <v>#REF!</v>
      </c>
      <c r="W2" t="e">
        <f>AND(Liste!#REF!,"AAAAAB/3vxY=")</f>
        <v>#REF!</v>
      </c>
      <c r="X2">
        <f>IF(Liste!26:26,"AAAAAB/3vxc=",0)</f>
        <v>0</v>
      </c>
      <c r="Y2" t="b">
        <f>AND(Liste!A26,"AAAAAB/3vxg=")</f>
        <v>1</v>
      </c>
      <c r="Z2" t="e">
        <f>AND(Liste!#REF!,"AAAAAB/3vxk=")</f>
        <v>#REF!</v>
      </c>
      <c r="AA2" t="e">
        <f>AND(Liste!#REF!,"AAAAAB/3vxo=")</f>
        <v>#REF!</v>
      </c>
      <c r="AB2" t="e">
        <f>AND(Liste!#REF!,"AAAAAB/3vxs=")</f>
        <v>#REF!</v>
      </c>
      <c r="AC2" t="e">
        <f>AND(Liste!F66,"AAAAAB/3vxw=")</f>
        <v>#VALUE!</v>
      </c>
      <c r="AD2" t="e">
        <f>AND(Liste!G66,"AAAAAB/3vx0=")</f>
        <v>#VALUE!</v>
      </c>
      <c r="AE2" t="e">
        <f>AND(Liste!H66,"AAAAAB/3vx4=")</f>
        <v>#VALUE!</v>
      </c>
      <c r="AF2" t="e">
        <f>AND(Liste!I66,"AAAAAB/3vx8=")</f>
        <v>#VALUE!</v>
      </c>
      <c r="AG2" t="e">
        <f>AND(Liste!J66,"AAAAAB/3vyA=")</f>
        <v>#VALUE!</v>
      </c>
      <c r="AH2" t="e">
        <f>AND(Liste!#REF!,"AAAAAB/3vyE=")</f>
        <v>#REF!</v>
      </c>
      <c r="AI2" t="e">
        <f>AND(Liste!#REF!,"AAAAAB/3vyI=")</f>
        <v>#REF!</v>
      </c>
      <c r="AJ2" t="e">
        <f>AND(Liste!#REF!,"AAAAAB/3vyM=")</f>
        <v>#REF!</v>
      </c>
      <c r="AK2" t="e">
        <f>AND(Liste!#REF!,"AAAAAB/3vyQ=")</f>
        <v>#REF!</v>
      </c>
      <c r="AL2" t="e">
        <f>AND(Liste!#REF!,"AAAAAB/3vyU=")</f>
        <v>#REF!</v>
      </c>
      <c r="AM2" t="e">
        <f>AND(Liste!#REF!,"AAAAAB/3vyY=")</f>
        <v>#REF!</v>
      </c>
      <c r="AN2" t="e">
        <f>AND(Liste!#REF!,"AAAAAB/3vyc=")</f>
        <v>#REF!</v>
      </c>
      <c r="AO2" t="e">
        <f>AND(Liste!#REF!,"AAAAAB/3vyg=")</f>
        <v>#REF!</v>
      </c>
      <c r="AP2" t="e">
        <f>AND(Liste!#REF!,"AAAAAB/3vyk=")</f>
        <v>#REF!</v>
      </c>
      <c r="AQ2" t="e">
        <f>AND(Liste!#REF!,"AAAAAB/3vyo=")</f>
        <v>#REF!</v>
      </c>
      <c r="AR2" t="e">
        <f>AND(Liste!#REF!,"AAAAAB/3vys=")</f>
        <v>#REF!</v>
      </c>
      <c r="AS2" t="e">
        <f>AND(Liste!#REF!,"AAAAAB/3vyw=")</f>
        <v>#REF!</v>
      </c>
      <c r="AT2" t="e">
        <f>AND(Liste!#REF!,"AAAAAB/3vy0=")</f>
        <v>#REF!</v>
      </c>
      <c r="AU2" t="e">
        <f>AND(Liste!#REF!,"AAAAAB/3vy4=")</f>
        <v>#REF!</v>
      </c>
      <c r="AV2" t="e">
        <f>AND(Liste!#REF!,"AAAAAB/3vy8=")</f>
        <v>#REF!</v>
      </c>
      <c r="AW2" t="e">
        <f>AND(Liste!#REF!,"AAAAAB/3vzA=")</f>
        <v>#REF!</v>
      </c>
      <c r="AX2" t="e">
        <f>AND(Liste!#REF!,"AAAAAB/3vzE=")</f>
        <v>#REF!</v>
      </c>
      <c r="AY2" t="e">
        <f>AND(Liste!#REF!,"AAAAAB/3vzI=")</f>
        <v>#REF!</v>
      </c>
      <c r="AZ2" t="e">
        <f>AND(Liste!#REF!,"AAAAAB/3vzM=")</f>
        <v>#REF!</v>
      </c>
      <c r="BA2" t="e">
        <f>AND(Liste!#REF!,"AAAAAB/3vzQ=")</f>
        <v>#REF!</v>
      </c>
      <c r="BB2" t="e">
        <f>AND(Liste!#REF!,"AAAAAB/3vzU=")</f>
        <v>#REF!</v>
      </c>
      <c r="BC2">
        <f>IF(Liste!27:27,"AAAAAB/3vzY=",0)</f>
        <v>0</v>
      </c>
      <c r="BD2" t="b">
        <f>AND(Liste!A27,"AAAAAB/3vzc=")</f>
        <v>1</v>
      </c>
      <c r="BE2" t="e">
        <f>AND(Liste!#REF!,"AAAAAB/3vzg=")</f>
        <v>#REF!</v>
      </c>
      <c r="BF2" t="e">
        <f>AND(Liste!#REF!,"AAAAAB/3vzk=")</f>
        <v>#REF!</v>
      </c>
      <c r="BG2" t="e">
        <f>AND(Liste!#REF!,"AAAAAB/3vzo=")</f>
        <v>#REF!</v>
      </c>
      <c r="BH2" t="e">
        <f>AND(Liste!F75,"AAAAAB/3vzs=")</f>
        <v>#VALUE!</v>
      </c>
      <c r="BI2" t="e">
        <f>AND(Liste!G75,"AAAAAB/3vzw=")</f>
        <v>#VALUE!</v>
      </c>
      <c r="BJ2" t="e">
        <f>AND(Liste!H75,"AAAAAB/3vz0=")</f>
        <v>#VALUE!</v>
      </c>
      <c r="BK2" t="e">
        <f>AND(Liste!I75,"AAAAAB/3vz4=")</f>
        <v>#VALUE!</v>
      </c>
      <c r="BL2" t="e">
        <f>AND(Liste!J75,"AAAAAB/3vz8=")</f>
        <v>#VALUE!</v>
      </c>
      <c r="BM2" t="e">
        <f>AND(Liste!#REF!,"AAAAAB/3v0A=")</f>
        <v>#REF!</v>
      </c>
      <c r="BN2" t="e">
        <f>AND(Liste!#REF!,"AAAAAB/3v0E=")</f>
        <v>#REF!</v>
      </c>
      <c r="BO2" t="e">
        <f>AND(Liste!#REF!,"AAAAAB/3v0I=")</f>
        <v>#REF!</v>
      </c>
      <c r="BP2" t="e">
        <f>AND(Liste!#REF!,"AAAAAB/3v0M=")</f>
        <v>#REF!</v>
      </c>
      <c r="BQ2" t="e">
        <f>AND(Liste!#REF!,"AAAAAB/3v0Q=")</f>
        <v>#REF!</v>
      </c>
      <c r="BR2" t="e">
        <f>AND(Liste!#REF!,"AAAAAB/3v0U=")</f>
        <v>#REF!</v>
      </c>
      <c r="BS2" t="e">
        <f>AND(Liste!#REF!,"AAAAAB/3v0Y=")</f>
        <v>#REF!</v>
      </c>
      <c r="BT2" t="e">
        <f>AND(Liste!#REF!,"AAAAAB/3v0c=")</f>
        <v>#REF!</v>
      </c>
      <c r="BU2" t="e">
        <f>AND(Liste!#REF!,"AAAAAB/3v0g=")</f>
        <v>#REF!</v>
      </c>
      <c r="BV2" t="e">
        <f>AND(Liste!#REF!,"AAAAAB/3v0k=")</f>
        <v>#REF!</v>
      </c>
      <c r="BW2" t="e">
        <f>AND(Liste!#REF!,"AAAAAB/3v0o=")</f>
        <v>#REF!</v>
      </c>
      <c r="BX2" t="e">
        <f>AND(Liste!#REF!,"AAAAAB/3v0s=")</f>
        <v>#REF!</v>
      </c>
      <c r="BY2" t="e">
        <f>AND(Liste!#REF!,"AAAAAB/3v0w=")</f>
        <v>#REF!</v>
      </c>
      <c r="BZ2" t="e">
        <f>AND(Liste!#REF!,"AAAAAB/3v00=")</f>
        <v>#REF!</v>
      </c>
      <c r="CA2" t="e">
        <f>AND(Liste!#REF!,"AAAAAB/3v04=")</f>
        <v>#REF!</v>
      </c>
      <c r="CB2" t="e">
        <f>AND(Liste!#REF!,"AAAAAB/3v08=")</f>
        <v>#REF!</v>
      </c>
      <c r="CC2" t="e">
        <f>AND(Liste!#REF!,"AAAAAB/3v1A=")</f>
        <v>#REF!</v>
      </c>
      <c r="CD2" t="e">
        <f>AND(Liste!#REF!,"AAAAAB/3v1E=")</f>
        <v>#REF!</v>
      </c>
      <c r="CE2" t="e">
        <f>AND(Liste!#REF!,"AAAAAB/3v1I=")</f>
        <v>#REF!</v>
      </c>
      <c r="CF2" t="e">
        <f>AND(Liste!#REF!,"AAAAAB/3v1M=")</f>
        <v>#REF!</v>
      </c>
      <c r="CG2" t="e">
        <f>AND(Liste!#REF!,"AAAAAB/3v1Q=")</f>
        <v>#REF!</v>
      </c>
      <c r="CH2">
        <f>IF(Liste!28:28,"AAAAAB/3v1U=",0)</f>
        <v>0</v>
      </c>
      <c r="CI2" t="b">
        <f>AND(Liste!A28,"AAAAAB/3v1Y=")</f>
        <v>1</v>
      </c>
      <c r="CJ2" t="e">
        <f>AND(Liste!#REF!,"AAAAAB/3v1c=")</f>
        <v>#REF!</v>
      </c>
      <c r="CK2" t="e">
        <f>AND(Liste!#REF!,"AAAAAB/3v1g=")</f>
        <v>#REF!</v>
      </c>
      <c r="CL2" t="e">
        <f>AND(Liste!#REF!,"AAAAAB/3v1k=")</f>
        <v>#REF!</v>
      </c>
      <c r="CM2" t="e">
        <f>AND(Liste!F76,"AAAAAB/3v1o=")</f>
        <v>#VALUE!</v>
      </c>
      <c r="CN2" t="e">
        <f>AND(Liste!G76,"AAAAAB/3v1s=")</f>
        <v>#VALUE!</v>
      </c>
      <c r="CO2" t="e">
        <f>AND(Liste!H76,"AAAAAB/3v1w=")</f>
        <v>#VALUE!</v>
      </c>
      <c r="CP2" t="e">
        <f>AND(Liste!I76,"AAAAAB/3v10=")</f>
        <v>#VALUE!</v>
      </c>
      <c r="CQ2" t="e">
        <f>AND(Liste!J76,"AAAAAB/3v14=")</f>
        <v>#VALUE!</v>
      </c>
      <c r="CR2" t="e">
        <f>AND(Liste!#REF!,"AAAAAB/3v18=")</f>
        <v>#REF!</v>
      </c>
      <c r="CS2" t="e">
        <f>AND(Liste!#REF!,"AAAAAB/3v2A=")</f>
        <v>#REF!</v>
      </c>
      <c r="CT2" t="e">
        <f>AND(Liste!#REF!,"AAAAAB/3v2E=")</f>
        <v>#REF!</v>
      </c>
      <c r="CU2" t="e">
        <f>AND(Liste!#REF!,"AAAAAB/3v2I=")</f>
        <v>#REF!</v>
      </c>
      <c r="CV2" t="e">
        <f>AND(Liste!#REF!,"AAAAAB/3v2M=")</f>
        <v>#REF!</v>
      </c>
      <c r="CW2" t="e">
        <f>AND(Liste!#REF!,"AAAAAB/3v2Q=")</f>
        <v>#REF!</v>
      </c>
      <c r="CX2" t="e">
        <f>AND(Liste!#REF!,"AAAAAB/3v2U=")</f>
        <v>#REF!</v>
      </c>
      <c r="CY2" t="e">
        <f>AND(Liste!#REF!,"AAAAAB/3v2Y=")</f>
        <v>#REF!</v>
      </c>
      <c r="CZ2" t="e">
        <f>AND(Liste!#REF!,"AAAAAB/3v2c=")</f>
        <v>#REF!</v>
      </c>
      <c r="DA2" t="e">
        <f>AND(Liste!#REF!,"AAAAAB/3v2g=")</f>
        <v>#REF!</v>
      </c>
      <c r="DB2" t="e">
        <f>AND(Liste!#REF!,"AAAAAB/3v2k=")</f>
        <v>#REF!</v>
      </c>
      <c r="DC2" t="e">
        <f>AND(Liste!#REF!,"AAAAAB/3v2o=")</f>
        <v>#REF!</v>
      </c>
      <c r="DD2" t="e">
        <f>AND(Liste!#REF!,"AAAAAB/3v2s=")</f>
        <v>#REF!</v>
      </c>
      <c r="DE2" t="e">
        <f>AND(Liste!#REF!,"AAAAAB/3v2w=")</f>
        <v>#REF!</v>
      </c>
      <c r="DF2" t="e">
        <f>AND(Liste!#REF!,"AAAAAB/3v20=")</f>
        <v>#REF!</v>
      </c>
      <c r="DG2" t="e">
        <f>AND(Liste!#REF!,"AAAAAB/3v24=")</f>
        <v>#REF!</v>
      </c>
      <c r="DH2" t="e">
        <f>AND(Liste!#REF!,"AAAAAB/3v28=")</f>
        <v>#REF!</v>
      </c>
      <c r="DI2" t="e">
        <f>AND(Liste!#REF!,"AAAAAB/3v3A=")</f>
        <v>#REF!</v>
      </c>
      <c r="DJ2" t="e">
        <f>AND(Liste!#REF!,"AAAAAB/3v3E=")</f>
        <v>#REF!</v>
      </c>
      <c r="DK2" t="e">
        <f>AND(Liste!#REF!,"AAAAAB/3v3I=")</f>
        <v>#REF!</v>
      </c>
      <c r="DL2" t="e">
        <f>AND(Liste!#REF!,"AAAAAB/3v3M=")</f>
        <v>#REF!</v>
      </c>
      <c r="DM2" t="e">
        <f>IF(Liste!#REF!,"AAAAAB/3v3Q=",0)</f>
        <v>#REF!</v>
      </c>
      <c r="DN2" t="e">
        <f>AND(Liste!#REF!,"AAAAAB/3v3U=")</f>
        <v>#REF!</v>
      </c>
      <c r="DO2" t="e">
        <f>AND(Liste!#REF!,"AAAAAB/3v3Y=")</f>
        <v>#REF!</v>
      </c>
      <c r="DP2" t="e">
        <f>AND(Liste!#REF!,"AAAAAB/3v3c=")</f>
        <v>#REF!</v>
      </c>
      <c r="DQ2" t="e">
        <f>AND(Liste!#REF!,"AAAAAB/3v3g=")</f>
        <v>#REF!</v>
      </c>
      <c r="DR2" t="e">
        <f>AND(Liste!F77,"AAAAAB/3v3k=")</f>
        <v>#VALUE!</v>
      </c>
      <c r="DS2" t="e">
        <f>AND(Liste!G77,"AAAAAB/3v3o=")</f>
        <v>#VALUE!</v>
      </c>
      <c r="DT2" t="e">
        <f>AND(Liste!H77,"AAAAAB/3v3s=")</f>
        <v>#VALUE!</v>
      </c>
      <c r="DU2" t="e">
        <f>AND(Liste!I77,"AAAAAB/3v3w=")</f>
        <v>#VALUE!</v>
      </c>
      <c r="DV2" t="e">
        <f>AND(Liste!J77,"AAAAAB/3v30=")</f>
        <v>#VALUE!</v>
      </c>
      <c r="DW2" t="e">
        <f>AND(Liste!#REF!,"AAAAAB/3v34=")</f>
        <v>#REF!</v>
      </c>
      <c r="DX2" t="e">
        <f>AND(Liste!#REF!,"AAAAAB/3v38=")</f>
        <v>#REF!</v>
      </c>
      <c r="DY2" t="e">
        <f>AND(Liste!#REF!,"AAAAAB/3v4A=")</f>
        <v>#REF!</v>
      </c>
      <c r="DZ2" t="e">
        <f>AND(Liste!#REF!,"AAAAAB/3v4E=")</f>
        <v>#REF!</v>
      </c>
      <c r="EA2" t="e">
        <f>AND(Liste!#REF!,"AAAAAB/3v4I=")</f>
        <v>#REF!</v>
      </c>
      <c r="EB2" t="e">
        <f>AND(Liste!#REF!,"AAAAAB/3v4M=")</f>
        <v>#REF!</v>
      </c>
      <c r="EC2" t="e">
        <f>AND(Liste!#REF!,"AAAAAB/3v4Q=")</f>
        <v>#REF!</v>
      </c>
      <c r="ED2" t="e">
        <f>AND(Liste!#REF!,"AAAAAB/3v4U=")</f>
        <v>#REF!</v>
      </c>
      <c r="EE2" t="e">
        <f>AND(Liste!#REF!,"AAAAAB/3v4Y=")</f>
        <v>#REF!</v>
      </c>
      <c r="EF2" t="e">
        <f>AND(Liste!#REF!,"AAAAAB/3v4c=")</f>
        <v>#REF!</v>
      </c>
      <c r="EG2" t="e">
        <f>AND(Liste!#REF!,"AAAAAB/3v4g=")</f>
        <v>#REF!</v>
      </c>
      <c r="EH2" t="e">
        <f>AND(Liste!#REF!,"AAAAAB/3v4k=")</f>
        <v>#REF!</v>
      </c>
      <c r="EI2" t="e">
        <f>AND(Liste!#REF!,"AAAAAB/3v4o=")</f>
        <v>#REF!</v>
      </c>
      <c r="EJ2" t="e">
        <f>AND(Liste!#REF!,"AAAAAB/3v4s=")</f>
        <v>#REF!</v>
      </c>
      <c r="EK2" t="e">
        <f>AND(Liste!#REF!,"AAAAAB/3v4w=")</f>
        <v>#REF!</v>
      </c>
      <c r="EL2" t="e">
        <f>AND(Liste!#REF!,"AAAAAB/3v40=")</f>
        <v>#REF!</v>
      </c>
      <c r="EM2" t="e">
        <f>AND(Liste!#REF!,"AAAAAB/3v44=")</f>
        <v>#REF!</v>
      </c>
      <c r="EN2" t="e">
        <f>AND(Liste!#REF!,"AAAAAB/3v48=")</f>
        <v>#REF!</v>
      </c>
      <c r="EO2" t="e">
        <f>AND(Liste!#REF!,"AAAAAB/3v5A=")</f>
        <v>#REF!</v>
      </c>
      <c r="EP2" t="e">
        <f>AND(Liste!#REF!,"AAAAAB/3v5E=")</f>
        <v>#REF!</v>
      </c>
      <c r="EQ2" t="e">
        <f>AND(Liste!#REF!,"AAAAAB/3v5I=")</f>
        <v>#REF!</v>
      </c>
      <c r="ER2" t="e">
        <f>IF(Liste!#REF!,"AAAAAB/3v5M=",0)</f>
        <v>#REF!</v>
      </c>
      <c r="ES2" t="e">
        <f>AND(Liste!#REF!,"AAAAAB/3v5Q=")</f>
        <v>#REF!</v>
      </c>
      <c r="ET2" t="e">
        <f>AND(Liste!#REF!,"AAAAAB/3v5U=")</f>
        <v>#REF!</v>
      </c>
      <c r="EU2" t="e">
        <f>AND(Liste!#REF!,"AAAAAB/3v5Y=")</f>
        <v>#REF!</v>
      </c>
      <c r="EV2" t="e">
        <f>AND(Liste!#REF!,"AAAAAB/3v5c=")</f>
        <v>#REF!</v>
      </c>
      <c r="EW2" t="e">
        <f>AND(Liste!F78,"AAAAAB/3v5g=")</f>
        <v>#VALUE!</v>
      </c>
      <c r="EX2" t="e">
        <f>AND(Liste!G78,"AAAAAB/3v5k=")</f>
        <v>#VALUE!</v>
      </c>
      <c r="EY2" t="e">
        <f>AND(Liste!H78,"AAAAAB/3v5o=")</f>
        <v>#VALUE!</v>
      </c>
      <c r="EZ2" t="e">
        <f>AND(Liste!I78,"AAAAAB/3v5s=")</f>
        <v>#VALUE!</v>
      </c>
      <c r="FA2" t="e">
        <f>AND(Liste!J78,"AAAAAB/3v5w=")</f>
        <v>#VALUE!</v>
      </c>
      <c r="FB2" t="e">
        <f>AND(Liste!#REF!,"AAAAAB/3v50=")</f>
        <v>#REF!</v>
      </c>
      <c r="FC2" t="e">
        <f>AND(Liste!#REF!,"AAAAAB/3v54=")</f>
        <v>#REF!</v>
      </c>
      <c r="FD2" t="e">
        <f>AND(Liste!#REF!,"AAAAAB/3v58=")</f>
        <v>#REF!</v>
      </c>
      <c r="FE2" t="e">
        <f>AND(Liste!#REF!,"AAAAAB/3v6A=")</f>
        <v>#REF!</v>
      </c>
      <c r="FF2" t="e">
        <f>AND(Liste!#REF!,"AAAAAB/3v6E=")</f>
        <v>#REF!</v>
      </c>
      <c r="FG2" t="e">
        <f>AND(Liste!#REF!,"AAAAAB/3v6I=")</f>
        <v>#REF!</v>
      </c>
      <c r="FH2" t="e">
        <f>AND(Liste!#REF!,"AAAAAB/3v6M=")</f>
        <v>#REF!</v>
      </c>
      <c r="FI2" t="e">
        <f>AND(Liste!#REF!,"AAAAAB/3v6Q=")</f>
        <v>#REF!</v>
      </c>
      <c r="FJ2" t="e">
        <f>AND(Liste!#REF!,"AAAAAB/3v6U=")</f>
        <v>#REF!</v>
      </c>
      <c r="FK2" t="e">
        <f>AND(Liste!#REF!,"AAAAAB/3v6Y=")</f>
        <v>#REF!</v>
      </c>
      <c r="FL2" t="e">
        <f>AND(Liste!#REF!,"AAAAAB/3v6c=")</f>
        <v>#REF!</v>
      </c>
      <c r="FM2" t="e">
        <f>AND(Liste!#REF!,"AAAAAB/3v6g=")</f>
        <v>#REF!</v>
      </c>
      <c r="FN2" t="e">
        <f>AND(Liste!#REF!,"AAAAAB/3v6k=")</f>
        <v>#REF!</v>
      </c>
      <c r="FO2" t="e">
        <f>AND(Liste!#REF!,"AAAAAB/3v6o=")</f>
        <v>#REF!</v>
      </c>
      <c r="FP2" t="e">
        <f>AND(Liste!#REF!,"AAAAAB/3v6s=")</f>
        <v>#REF!</v>
      </c>
      <c r="FQ2" t="e">
        <f>AND(Liste!#REF!,"AAAAAB/3v6w=")</f>
        <v>#REF!</v>
      </c>
      <c r="FR2" t="e">
        <f>AND(Liste!#REF!,"AAAAAB/3v60=")</f>
        <v>#REF!</v>
      </c>
      <c r="FS2" t="e">
        <f>AND(Liste!#REF!,"AAAAAB/3v64=")</f>
        <v>#REF!</v>
      </c>
      <c r="FT2" t="e">
        <f>AND(Liste!#REF!,"AAAAAB/3v68=")</f>
        <v>#REF!</v>
      </c>
      <c r="FU2" t="e">
        <f>AND(Liste!#REF!,"AAAAAB/3v7A=")</f>
        <v>#REF!</v>
      </c>
      <c r="FV2" t="e">
        <f>AND(Liste!#REF!,"AAAAAB/3v7E=")</f>
        <v>#REF!</v>
      </c>
      <c r="FW2" t="e">
        <f>IF(Liste!#REF!,"AAAAAB/3v7I=",0)</f>
        <v>#REF!</v>
      </c>
      <c r="FX2" t="e">
        <f>AND(Liste!#REF!,"AAAAAB/3v7M=")</f>
        <v>#REF!</v>
      </c>
      <c r="FY2" t="e">
        <f>AND(Liste!#REF!,"AAAAAB/3v7Q=")</f>
        <v>#REF!</v>
      </c>
      <c r="FZ2" t="e">
        <f>AND(Liste!#REF!,"AAAAAB/3v7U=")</f>
        <v>#REF!</v>
      </c>
      <c r="GA2" t="e">
        <f>AND(Liste!#REF!,"AAAAAB/3v7Y=")</f>
        <v>#REF!</v>
      </c>
      <c r="GB2" t="e">
        <f>AND(Liste!F79,"AAAAAB/3v7c=")</f>
        <v>#VALUE!</v>
      </c>
      <c r="GC2" t="e">
        <f>AND(Liste!G79,"AAAAAB/3v7g=")</f>
        <v>#VALUE!</v>
      </c>
      <c r="GD2" t="e">
        <f>AND(Liste!H79,"AAAAAB/3v7k=")</f>
        <v>#VALUE!</v>
      </c>
      <c r="GE2" t="e">
        <f>AND(Liste!I79,"AAAAAB/3v7o=")</f>
        <v>#VALUE!</v>
      </c>
      <c r="GF2" t="e">
        <f>AND(Liste!J79,"AAAAAB/3v7s=")</f>
        <v>#VALUE!</v>
      </c>
      <c r="GG2" t="e">
        <f>AND(Liste!#REF!,"AAAAAB/3v7w=")</f>
        <v>#REF!</v>
      </c>
      <c r="GH2" t="e">
        <f>AND(Liste!#REF!,"AAAAAB/3v70=")</f>
        <v>#REF!</v>
      </c>
      <c r="GI2" t="e">
        <f>AND(Liste!#REF!,"AAAAAB/3v74=")</f>
        <v>#REF!</v>
      </c>
      <c r="GJ2" t="e">
        <f>AND(Liste!#REF!,"AAAAAB/3v78=")</f>
        <v>#REF!</v>
      </c>
      <c r="GK2" t="e">
        <f>AND(Liste!#REF!,"AAAAAB/3v8A=")</f>
        <v>#REF!</v>
      </c>
      <c r="GL2" t="e">
        <f>AND(Liste!#REF!,"AAAAAB/3v8E=")</f>
        <v>#REF!</v>
      </c>
      <c r="GM2" t="e">
        <f>AND(Liste!#REF!,"AAAAAB/3v8I=")</f>
        <v>#REF!</v>
      </c>
      <c r="GN2" t="e">
        <f>AND(Liste!#REF!,"AAAAAB/3v8M=")</f>
        <v>#REF!</v>
      </c>
      <c r="GO2" t="e">
        <f>AND(Liste!#REF!,"AAAAAB/3v8Q=")</f>
        <v>#REF!</v>
      </c>
      <c r="GP2" t="e">
        <f>AND(Liste!#REF!,"AAAAAB/3v8U=")</f>
        <v>#REF!</v>
      </c>
      <c r="GQ2" t="e">
        <f>AND(Liste!#REF!,"AAAAAB/3v8Y=")</f>
        <v>#REF!</v>
      </c>
      <c r="GR2" t="e">
        <f>AND(Liste!#REF!,"AAAAAB/3v8c=")</f>
        <v>#REF!</v>
      </c>
      <c r="GS2" t="e">
        <f>AND(Liste!#REF!,"AAAAAB/3v8g=")</f>
        <v>#REF!</v>
      </c>
      <c r="GT2" t="e">
        <f>AND(Liste!#REF!,"AAAAAB/3v8k=")</f>
        <v>#REF!</v>
      </c>
      <c r="GU2" t="e">
        <f>AND(Liste!#REF!,"AAAAAB/3v8o=")</f>
        <v>#REF!</v>
      </c>
      <c r="GV2" t="e">
        <f>AND(Liste!#REF!,"AAAAAB/3v8s=")</f>
        <v>#REF!</v>
      </c>
      <c r="GW2" t="e">
        <f>AND(Liste!#REF!,"AAAAAB/3v8w=")</f>
        <v>#REF!</v>
      </c>
      <c r="GX2" t="e">
        <f>AND(Liste!#REF!,"AAAAAB/3v80=")</f>
        <v>#REF!</v>
      </c>
      <c r="GY2" t="e">
        <f>AND(Liste!#REF!,"AAAAAB/3v84=")</f>
        <v>#REF!</v>
      </c>
      <c r="GZ2" t="e">
        <f>AND(Liste!#REF!,"AAAAAB/3v88=")</f>
        <v>#REF!</v>
      </c>
      <c r="HA2" t="e">
        <f>AND(Liste!#REF!,"AAAAAB/3v9A=")</f>
        <v>#REF!</v>
      </c>
      <c r="HB2" t="e">
        <f>IF(Liste!#REF!,"AAAAAB/3v9E=",0)</f>
        <v>#REF!</v>
      </c>
      <c r="HC2" t="e">
        <f>AND(Liste!#REF!,"AAAAAB/3v9I=")</f>
        <v>#REF!</v>
      </c>
      <c r="HD2" t="e">
        <f>AND(Liste!#REF!,"AAAAAB/3v9M=")</f>
        <v>#REF!</v>
      </c>
      <c r="HE2" t="e">
        <f>AND(Liste!#REF!,"AAAAAB/3v9Q=")</f>
        <v>#REF!</v>
      </c>
      <c r="HF2" t="e">
        <f>AND(Liste!#REF!,"AAAAAB/3v9U=")</f>
        <v>#REF!</v>
      </c>
      <c r="HG2" t="e">
        <f>AND(Liste!F80,"AAAAAB/3v9Y=")</f>
        <v>#VALUE!</v>
      </c>
      <c r="HH2" t="e">
        <f>AND(Liste!G80,"AAAAAB/3v9c=")</f>
        <v>#VALUE!</v>
      </c>
      <c r="HI2" t="e">
        <f>AND(Liste!H80,"AAAAAB/3v9g=")</f>
        <v>#VALUE!</v>
      </c>
      <c r="HJ2" t="e">
        <f>AND(Liste!I80,"AAAAAB/3v9k=")</f>
        <v>#VALUE!</v>
      </c>
      <c r="HK2" t="e">
        <f>AND(Liste!J80,"AAAAAB/3v9o=")</f>
        <v>#VALUE!</v>
      </c>
      <c r="HL2" t="e">
        <f>AND(Liste!#REF!,"AAAAAB/3v9s=")</f>
        <v>#REF!</v>
      </c>
      <c r="HM2" t="e">
        <f>AND(Liste!#REF!,"AAAAAB/3v9w=")</f>
        <v>#REF!</v>
      </c>
      <c r="HN2" t="e">
        <f>AND(Liste!#REF!,"AAAAAB/3v90=")</f>
        <v>#REF!</v>
      </c>
      <c r="HO2" t="e">
        <f>AND(Liste!#REF!,"AAAAAB/3v94=")</f>
        <v>#REF!</v>
      </c>
      <c r="HP2" t="e">
        <f>AND(Liste!#REF!,"AAAAAB/3v98=")</f>
        <v>#REF!</v>
      </c>
      <c r="HQ2" t="e">
        <f>AND(Liste!#REF!,"AAAAAB/3v+A=")</f>
        <v>#REF!</v>
      </c>
      <c r="HR2" t="e">
        <f>AND(Liste!#REF!,"AAAAAB/3v+E=")</f>
        <v>#REF!</v>
      </c>
      <c r="HS2" t="e">
        <f>AND(Liste!#REF!,"AAAAAB/3v+I=")</f>
        <v>#REF!</v>
      </c>
      <c r="HT2" t="e">
        <f>AND(Liste!#REF!,"AAAAAB/3v+M=")</f>
        <v>#REF!</v>
      </c>
      <c r="HU2" t="e">
        <f>AND(Liste!#REF!,"AAAAAB/3v+Q=")</f>
        <v>#REF!</v>
      </c>
      <c r="HV2" t="e">
        <f>AND(Liste!#REF!,"AAAAAB/3v+U=")</f>
        <v>#REF!</v>
      </c>
      <c r="HW2" t="e">
        <f>AND(Liste!#REF!,"AAAAAB/3v+Y=")</f>
        <v>#REF!</v>
      </c>
      <c r="HX2" t="e">
        <f>AND(Liste!#REF!,"AAAAAB/3v+c=")</f>
        <v>#REF!</v>
      </c>
      <c r="HY2" t="e">
        <f>AND(Liste!#REF!,"AAAAAB/3v+g=")</f>
        <v>#REF!</v>
      </c>
      <c r="HZ2" t="e">
        <f>AND(Liste!#REF!,"AAAAAB/3v+k=")</f>
        <v>#REF!</v>
      </c>
      <c r="IA2" t="e">
        <f>AND(Liste!#REF!,"AAAAAB/3v+o=")</f>
        <v>#REF!</v>
      </c>
      <c r="IB2" t="e">
        <f>AND(Liste!#REF!,"AAAAAB/3v+s=")</f>
        <v>#REF!</v>
      </c>
      <c r="IC2" t="e">
        <f>AND(Liste!#REF!,"AAAAAB/3v+w=")</f>
        <v>#REF!</v>
      </c>
      <c r="ID2" t="e">
        <f>AND(Liste!#REF!,"AAAAAB/3v+0=")</f>
        <v>#REF!</v>
      </c>
      <c r="IE2" t="e">
        <f>AND(Liste!#REF!,"AAAAAB/3v+4=")</f>
        <v>#REF!</v>
      </c>
      <c r="IF2" t="e">
        <f>AND(Liste!#REF!,"AAAAAB/3v+8=")</f>
        <v>#REF!</v>
      </c>
      <c r="IG2" t="e">
        <f>IF(Liste!#REF!,"AAAAAB/3v/A=",0)</f>
        <v>#REF!</v>
      </c>
      <c r="IH2" t="e">
        <f>AND(Liste!#REF!,"AAAAAB/3v/E=")</f>
        <v>#REF!</v>
      </c>
      <c r="II2" t="e">
        <f>AND(Liste!#REF!,"AAAAAB/3v/I=")</f>
        <v>#REF!</v>
      </c>
      <c r="IJ2" t="e">
        <f>AND(Liste!#REF!,"AAAAAB/3v/M=")</f>
        <v>#REF!</v>
      </c>
      <c r="IK2" t="e">
        <f>AND(Liste!#REF!,"AAAAAB/3v/Q=")</f>
        <v>#REF!</v>
      </c>
      <c r="IL2" t="e">
        <f>AND(Liste!F83,"AAAAAB/3v/U=")</f>
        <v>#VALUE!</v>
      </c>
      <c r="IM2" t="e">
        <f>AND(Liste!G83,"AAAAAB/3v/Y=")</f>
        <v>#VALUE!</v>
      </c>
      <c r="IN2" t="e">
        <f>AND(Liste!H83,"AAAAAB/3v/c=")</f>
        <v>#VALUE!</v>
      </c>
      <c r="IO2" t="e">
        <f>AND(Liste!I83,"AAAAAB/3v/g=")</f>
        <v>#VALUE!</v>
      </c>
      <c r="IP2" t="e">
        <f>AND(Liste!J83,"AAAAAB/3v/k=")</f>
        <v>#VALUE!</v>
      </c>
      <c r="IQ2" t="e">
        <f>AND(Liste!#REF!,"AAAAAB/3v/o=")</f>
        <v>#REF!</v>
      </c>
      <c r="IR2" t="e">
        <f>AND(Liste!#REF!,"AAAAAB/3v/s=")</f>
        <v>#REF!</v>
      </c>
      <c r="IS2" t="e">
        <f>AND(Liste!#REF!,"AAAAAB/3v/w=")</f>
        <v>#REF!</v>
      </c>
      <c r="IT2" t="e">
        <f>AND(Liste!#REF!,"AAAAAB/3v/0=")</f>
        <v>#REF!</v>
      </c>
      <c r="IU2" t="e">
        <f>AND(Liste!#REF!,"AAAAAB/3v/4=")</f>
        <v>#REF!</v>
      </c>
      <c r="IV2" t="e">
        <f>AND(Liste!#REF!,"AAAAAB/3v/8=")</f>
        <v>#REF!</v>
      </c>
    </row>
    <row r="3" spans="1:256" x14ac:dyDescent="0.2">
      <c r="A3" t="e">
        <f>AND(Liste!#REF!,"AAAAAD+87wA=")</f>
        <v>#REF!</v>
      </c>
      <c r="B3" t="e">
        <f>AND(Liste!#REF!,"AAAAAD+87wE=")</f>
        <v>#REF!</v>
      </c>
      <c r="C3" t="e">
        <f>AND(Liste!#REF!,"AAAAAD+87wI=")</f>
        <v>#REF!</v>
      </c>
      <c r="D3" t="e">
        <f>AND(Liste!#REF!,"AAAAAD+87wM=")</f>
        <v>#REF!</v>
      </c>
      <c r="E3" t="e">
        <f>AND(Liste!#REF!,"AAAAAD+87wQ=")</f>
        <v>#REF!</v>
      </c>
      <c r="F3" t="e">
        <f>AND(Liste!#REF!,"AAAAAD+87wU=")</f>
        <v>#REF!</v>
      </c>
      <c r="G3" t="e">
        <f>AND(Liste!#REF!,"AAAAAD+87wY=")</f>
        <v>#REF!</v>
      </c>
      <c r="H3" t="e">
        <f>AND(Liste!#REF!,"AAAAAD+87wc=")</f>
        <v>#REF!</v>
      </c>
      <c r="I3" t="e">
        <f>AND(Liste!#REF!,"AAAAAD+87wg=")</f>
        <v>#REF!</v>
      </c>
      <c r="J3" t="e">
        <f>AND(Liste!#REF!,"AAAAAD+87wk=")</f>
        <v>#REF!</v>
      </c>
      <c r="K3" t="e">
        <f>AND(Liste!#REF!,"AAAAAD+87wo=")</f>
        <v>#REF!</v>
      </c>
      <c r="L3" t="e">
        <f>AND(Liste!#REF!,"AAAAAD+87ws=")</f>
        <v>#REF!</v>
      </c>
      <c r="M3" t="e">
        <f>AND(Liste!#REF!,"AAAAAD+87ww=")</f>
        <v>#REF!</v>
      </c>
      <c r="N3" t="e">
        <f>AND(Liste!#REF!,"AAAAAD+87w0=")</f>
        <v>#REF!</v>
      </c>
      <c r="O3" t="e">
        <f>AND(Liste!#REF!,"AAAAAD+87w4=")</f>
        <v>#REF!</v>
      </c>
      <c r="P3" t="e">
        <f>IF(Liste!#REF!,"AAAAAD+87w8=",0)</f>
        <v>#REF!</v>
      </c>
      <c r="Q3" t="e">
        <f>AND(Liste!#REF!,"AAAAAD+87xA=")</f>
        <v>#REF!</v>
      </c>
      <c r="R3" t="e">
        <f>AND(Liste!#REF!,"AAAAAD+87xE=")</f>
        <v>#REF!</v>
      </c>
      <c r="S3" t="e">
        <f>AND(Liste!#REF!,"AAAAAD+87xI=")</f>
        <v>#REF!</v>
      </c>
      <c r="T3" t="e">
        <f>AND(Liste!#REF!,"AAAAAD+87xM=")</f>
        <v>#REF!</v>
      </c>
      <c r="U3" t="e">
        <f>AND(Liste!F84,"AAAAAD+87xQ=")</f>
        <v>#VALUE!</v>
      </c>
      <c r="V3" t="e">
        <f>AND(Liste!G84,"AAAAAD+87xU=")</f>
        <v>#VALUE!</v>
      </c>
      <c r="W3" t="e">
        <f>AND(Liste!H84,"AAAAAD+87xY=")</f>
        <v>#VALUE!</v>
      </c>
      <c r="X3" t="e">
        <f>AND(Liste!I84,"AAAAAD+87xc=")</f>
        <v>#VALUE!</v>
      </c>
      <c r="Y3" t="e">
        <f>AND(Liste!J84,"AAAAAD+87xg=")</f>
        <v>#VALUE!</v>
      </c>
      <c r="Z3" t="e">
        <f>AND(Liste!#REF!,"AAAAAD+87xk=")</f>
        <v>#REF!</v>
      </c>
      <c r="AA3" t="e">
        <f>AND(Liste!#REF!,"AAAAAD+87xo=")</f>
        <v>#REF!</v>
      </c>
      <c r="AB3" t="e">
        <f>AND(Liste!#REF!,"AAAAAD+87xs=")</f>
        <v>#REF!</v>
      </c>
      <c r="AC3" t="e">
        <f>AND(Liste!#REF!,"AAAAAD+87xw=")</f>
        <v>#REF!</v>
      </c>
      <c r="AD3" t="e">
        <f>AND(Liste!#REF!,"AAAAAD+87x0=")</f>
        <v>#REF!</v>
      </c>
      <c r="AE3" t="e">
        <f>AND(Liste!#REF!,"AAAAAD+87x4=")</f>
        <v>#REF!</v>
      </c>
      <c r="AF3" t="e">
        <f>AND(Liste!#REF!,"AAAAAD+87x8=")</f>
        <v>#REF!</v>
      </c>
      <c r="AG3" t="e">
        <f>AND(Liste!#REF!,"AAAAAD+87yA=")</f>
        <v>#REF!</v>
      </c>
      <c r="AH3" t="e">
        <f>AND(Liste!#REF!,"AAAAAD+87yE=")</f>
        <v>#REF!</v>
      </c>
      <c r="AI3" t="e">
        <f>AND(Liste!#REF!,"AAAAAD+87yI=")</f>
        <v>#REF!</v>
      </c>
      <c r="AJ3" t="e">
        <f>AND(Liste!#REF!,"AAAAAD+87yM=")</f>
        <v>#REF!</v>
      </c>
      <c r="AK3" t="e">
        <f>AND(Liste!#REF!,"AAAAAD+87yQ=")</f>
        <v>#REF!</v>
      </c>
      <c r="AL3" t="e">
        <f>AND(Liste!#REF!,"AAAAAD+87yU=")</f>
        <v>#REF!</v>
      </c>
      <c r="AM3" t="e">
        <f>AND(Liste!#REF!,"AAAAAD+87yY=")</f>
        <v>#REF!</v>
      </c>
      <c r="AN3" t="e">
        <f>AND(Liste!#REF!,"AAAAAD+87yc=")</f>
        <v>#REF!</v>
      </c>
      <c r="AO3" t="e">
        <f>AND(Liste!#REF!,"AAAAAD+87yg=")</f>
        <v>#REF!</v>
      </c>
      <c r="AP3" t="e">
        <f>AND(Liste!#REF!,"AAAAAD+87yk=")</f>
        <v>#REF!</v>
      </c>
      <c r="AQ3" t="e">
        <f>AND(Liste!#REF!,"AAAAAD+87yo=")</f>
        <v>#REF!</v>
      </c>
      <c r="AR3" t="e">
        <f>AND(Liste!#REF!,"AAAAAD+87ys=")</f>
        <v>#REF!</v>
      </c>
      <c r="AS3" t="e">
        <f>AND(Liste!#REF!,"AAAAAD+87yw=")</f>
        <v>#REF!</v>
      </c>
      <c r="AT3" t="e">
        <f>AND(Liste!#REF!,"AAAAAD+87y0=")</f>
        <v>#REF!</v>
      </c>
      <c r="AU3" t="e">
        <f>IF(Liste!#REF!,"AAAAAD+87y4=",0)</f>
        <v>#REF!</v>
      </c>
      <c r="AV3" t="e">
        <f>AND(Liste!#REF!,"AAAAAD+87y8=")</f>
        <v>#REF!</v>
      </c>
      <c r="AW3" t="e">
        <f>AND(Liste!#REF!,"AAAAAD+87zA=")</f>
        <v>#REF!</v>
      </c>
      <c r="AX3" t="e">
        <f>AND(Liste!#REF!,"AAAAAD+87zE=")</f>
        <v>#REF!</v>
      </c>
      <c r="AY3" t="e">
        <f>AND(Liste!#REF!,"AAAAAD+87zI=")</f>
        <v>#REF!</v>
      </c>
      <c r="AZ3" t="e">
        <f>AND(Liste!#REF!,"AAAAAD+87zM=")</f>
        <v>#REF!</v>
      </c>
      <c r="BA3" t="e">
        <f>AND(Liste!#REF!,"AAAAAD+87zQ=")</f>
        <v>#REF!</v>
      </c>
      <c r="BB3" t="e">
        <f>AND(Liste!#REF!,"AAAAAD+87zU=")</f>
        <v>#REF!</v>
      </c>
      <c r="BC3" t="e">
        <f>AND(Liste!#REF!,"AAAAAD+87zY=")</f>
        <v>#REF!</v>
      </c>
      <c r="BD3" t="e">
        <f>AND(Liste!#REF!,"AAAAAD+87zc=")</f>
        <v>#REF!</v>
      </c>
      <c r="BE3" t="e">
        <f>AND(Liste!#REF!,"AAAAAD+87zg=")</f>
        <v>#REF!</v>
      </c>
      <c r="BF3" t="e">
        <f>AND(Liste!#REF!,"AAAAAD+87zk=")</f>
        <v>#REF!</v>
      </c>
      <c r="BG3" t="e">
        <f>AND(Liste!#REF!,"AAAAAD+87zo=")</f>
        <v>#REF!</v>
      </c>
      <c r="BH3" t="e">
        <f>AND(Liste!#REF!,"AAAAAD+87zs=")</f>
        <v>#REF!</v>
      </c>
      <c r="BI3" t="e">
        <f>AND(Liste!#REF!,"AAAAAD+87zw=")</f>
        <v>#REF!</v>
      </c>
      <c r="BJ3" t="e">
        <f>AND(Liste!#REF!,"AAAAAD+87z0=")</f>
        <v>#REF!</v>
      </c>
      <c r="BK3" t="e">
        <f>AND(Liste!#REF!,"AAAAAD+87z4=")</f>
        <v>#REF!</v>
      </c>
      <c r="BL3" t="e">
        <f>AND(Liste!#REF!,"AAAAAD+87z8=")</f>
        <v>#REF!</v>
      </c>
      <c r="BM3" t="e">
        <f>AND(Liste!#REF!,"AAAAAD+870A=")</f>
        <v>#REF!</v>
      </c>
      <c r="BN3" t="e">
        <f>AND(Liste!#REF!,"AAAAAD+870E=")</f>
        <v>#REF!</v>
      </c>
      <c r="BO3" t="e">
        <f>AND(Liste!#REF!,"AAAAAD+870I=")</f>
        <v>#REF!</v>
      </c>
      <c r="BP3" t="e">
        <f>AND(Liste!#REF!,"AAAAAD+870M=")</f>
        <v>#REF!</v>
      </c>
      <c r="BQ3" t="e">
        <f>AND(Liste!#REF!,"AAAAAD+870Q=")</f>
        <v>#REF!</v>
      </c>
      <c r="BR3" t="e">
        <f>AND(Liste!#REF!,"AAAAAD+870U=")</f>
        <v>#REF!</v>
      </c>
      <c r="BS3" t="e">
        <f>AND(Liste!#REF!,"AAAAAD+870Y=")</f>
        <v>#REF!</v>
      </c>
      <c r="BT3" t="e">
        <f>AND(Liste!#REF!,"AAAAAD+870c=")</f>
        <v>#REF!</v>
      </c>
      <c r="BU3" t="e">
        <f>AND(Liste!#REF!,"AAAAAD+870g=")</f>
        <v>#REF!</v>
      </c>
      <c r="BV3" t="e">
        <f>AND(Liste!#REF!,"AAAAAD+870k=")</f>
        <v>#REF!</v>
      </c>
      <c r="BW3" t="e">
        <f>AND(Liste!#REF!,"AAAAAD+870o=")</f>
        <v>#REF!</v>
      </c>
      <c r="BX3" t="e">
        <f>AND(Liste!#REF!,"AAAAAD+870s=")</f>
        <v>#REF!</v>
      </c>
      <c r="BY3" t="e">
        <f>AND(Liste!#REF!,"AAAAAD+870w=")</f>
        <v>#REF!</v>
      </c>
      <c r="BZ3" t="e">
        <f>IF(Liste!#REF!,"AAAAAD+8700=",0)</f>
        <v>#REF!</v>
      </c>
      <c r="CA3" t="e">
        <f>AND(Liste!#REF!,"AAAAAD+8704=")</f>
        <v>#REF!</v>
      </c>
      <c r="CB3" t="e">
        <f>AND(Liste!#REF!,"AAAAAD+8708=")</f>
        <v>#REF!</v>
      </c>
      <c r="CC3" t="e">
        <f>AND(Liste!#REF!,"AAAAAD+871A=")</f>
        <v>#REF!</v>
      </c>
      <c r="CD3" t="e">
        <f>AND(Liste!#REF!,"AAAAAD+871E=")</f>
        <v>#REF!</v>
      </c>
      <c r="CE3" t="e">
        <f>AND(Liste!#REF!,"AAAAAD+871I=")</f>
        <v>#REF!</v>
      </c>
      <c r="CF3" t="e">
        <f>AND(Liste!#REF!,"AAAAAD+871M=")</f>
        <v>#REF!</v>
      </c>
      <c r="CG3" t="e">
        <f>AND(Liste!#REF!,"AAAAAD+871Q=")</f>
        <v>#REF!</v>
      </c>
      <c r="CH3" t="e">
        <f>AND(Liste!#REF!,"AAAAAD+871U=")</f>
        <v>#REF!</v>
      </c>
      <c r="CI3" t="e">
        <f>AND(Liste!#REF!,"AAAAAD+871Y=")</f>
        <v>#REF!</v>
      </c>
      <c r="CJ3" t="e">
        <f>AND(Liste!#REF!,"AAAAAD+871c=")</f>
        <v>#REF!</v>
      </c>
      <c r="CK3" t="e">
        <f>AND(Liste!#REF!,"AAAAAD+871g=")</f>
        <v>#REF!</v>
      </c>
      <c r="CL3" t="e">
        <f>AND(Liste!#REF!,"AAAAAD+871k=")</f>
        <v>#REF!</v>
      </c>
      <c r="CM3" t="e">
        <f>AND(Liste!#REF!,"AAAAAD+871o=")</f>
        <v>#REF!</v>
      </c>
      <c r="CN3" t="e">
        <f>AND(Liste!#REF!,"AAAAAD+871s=")</f>
        <v>#REF!</v>
      </c>
      <c r="CO3" t="e">
        <f>AND(Liste!#REF!,"AAAAAD+871w=")</f>
        <v>#REF!</v>
      </c>
      <c r="CP3" t="e">
        <f>AND(Liste!#REF!,"AAAAAD+8710=")</f>
        <v>#REF!</v>
      </c>
      <c r="CQ3" t="e">
        <f>AND(Liste!#REF!,"AAAAAD+8714=")</f>
        <v>#REF!</v>
      </c>
      <c r="CR3" t="e">
        <f>AND(Liste!#REF!,"AAAAAD+8718=")</f>
        <v>#REF!</v>
      </c>
      <c r="CS3" t="e">
        <f>AND(Liste!#REF!,"AAAAAD+872A=")</f>
        <v>#REF!</v>
      </c>
      <c r="CT3" t="e">
        <f>AND(Liste!#REF!,"AAAAAD+872E=")</f>
        <v>#REF!</v>
      </c>
      <c r="CU3" t="e">
        <f>AND(Liste!#REF!,"AAAAAD+872I=")</f>
        <v>#REF!</v>
      </c>
      <c r="CV3" t="e">
        <f>AND(Liste!#REF!,"AAAAAD+872M=")</f>
        <v>#REF!</v>
      </c>
      <c r="CW3" t="e">
        <f>AND(Liste!#REF!,"AAAAAD+872Q=")</f>
        <v>#REF!</v>
      </c>
      <c r="CX3" t="e">
        <f>AND(Liste!#REF!,"AAAAAD+872U=")</f>
        <v>#REF!</v>
      </c>
      <c r="CY3" t="e">
        <f>AND(Liste!#REF!,"AAAAAD+872Y=")</f>
        <v>#REF!</v>
      </c>
      <c r="CZ3" t="e">
        <f>AND(Liste!#REF!,"AAAAAD+872c=")</f>
        <v>#REF!</v>
      </c>
      <c r="DA3" t="e">
        <f>AND(Liste!#REF!,"AAAAAD+872g=")</f>
        <v>#REF!</v>
      </c>
      <c r="DB3" t="e">
        <f>AND(Liste!#REF!,"AAAAAD+872k=")</f>
        <v>#REF!</v>
      </c>
      <c r="DC3" t="e">
        <f>AND(Liste!#REF!,"AAAAAD+872o=")</f>
        <v>#REF!</v>
      </c>
      <c r="DD3" t="e">
        <f>AND(Liste!#REF!,"AAAAAD+872s=")</f>
        <v>#REF!</v>
      </c>
      <c r="DE3" t="e">
        <f>IF(Liste!#REF!,"AAAAAD+872w=",0)</f>
        <v>#REF!</v>
      </c>
      <c r="DF3" t="e">
        <f>AND(Liste!#REF!,"AAAAAD+8720=")</f>
        <v>#REF!</v>
      </c>
      <c r="DG3" t="e">
        <f>AND(Liste!#REF!,"AAAAAD+8724=")</f>
        <v>#REF!</v>
      </c>
      <c r="DH3" t="e">
        <f>AND(Liste!#REF!,"AAAAAD+8728=")</f>
        <v>#REF!</v>
      </c>
      <c r="DI3" t="e">
        <f>AND(Liste!#REF!,"AAAAAD+873A=")</f>
        <v>#REF!</v>
      </c>
      <c r="DJ3" t="e">
        <f>AND(Liste!#REF!,"AAAAAD+873E=")</f>
        <v>#REF!</v>
      </c>
      <c r="DK3" t="e">
        <f>AND(Liste!#REF!,"AAAAAD+873I=")</f>
        <v>#REF!</v>
      </c>
      <c r="DL3" t="e">
        <f>AND(Liste!#REF!,"AAAAAD+873M=")</f>
        <v>#REF!</v>
      </c>
      <c r="DM3" t="e">
        <f>AND(Liste!#REF!,"AAAAAD+873Q=")</f>
        <v>#REF!</v>
      </c>
      <c r="DN3" t="e">
        <f>AND(Liste!#REF!,"AAAAAD+873U=")</f>
        <v>#REF!</v>
      </c>
      <c r="DO3" t="e">
        <f>AND(Liste!#REF!,"AAAAAD+873Y=")</f>
        <v>#REF!</v>
      </c>
      <c r="DP3" t="e">
        <f>AND(Liste!#REF!,"AAAAAD+873c=")</f>
        <v>#REF!</v>
      </c>
      <c r="DQ3" t="e">
        <f>AND(Liste!#REF!,"AAAAAD+873g=")</f>
        <v>#REF!</v>
      </c>
      <c r="DR3" t="e">
        <f>AND(Liste!#REF!,"AAAAAD+873k=")</f>
        <v>#REF!</v>
      </c>
      <c r="DS3" t="e">
        <f>AND(Liste!#REF!,"AAAAAD+873o=")</f>
        <v>#REF!</v>
      </c>
      <c r="DT3" t="e">
        <f>AND(Liste!#REF!,"AAAAAD+873s=")</f>
        <v>#REF!</v>
      </c>
      <c r="DU3" t="e">
        <f>AND(Liste!#REF!,"AAAAAD+873w=")</f>
        <v>#REF!</v>
      </c>
      <c r="DV3" t="e">
        <f>AND(Liste!#REF!,"AAAAAD+8730=")</f>
        <v>#REF!</v>
      </c>
      <c r="DW3" t="e">
        <f>AND(Liste!#REF!,"AAAAAD+8734=")</f>
        <v>#REF!</v>
      </c>
      <c r="DX3" t="e">
        <f>AND(Liste!#REF!,"AAAAAD+8738=")</f>
        <v>#REF!</v>
      </c>
      <c r="DY3" t="e">
        <f>AND(Liste!#REF!,"AAAAAD+874A=")</f>
        <v>#REF!</v>
      </c>
      <c r="DZ3" t="e">
        <f>AND(Liste!#REF!,"AAAAAD+874E=")</f>
        <v>#REF!</v>
      </c>
      <c r="EA3" t="e">
        <f>AND(Liste!#REF!,"AAAAAD+874I=")</f>
        <v>#REF!</v>
      </c>
      <c r="EB3" t="e">
        <f>AND(Liste!#REF!,"AAAAAD+874M=")</f>
        <v>#REF!</v>
      </c>
      <c r="EC3" t="e">
        <f>AND(Liste!#REF!,"AAAAAD+874Q=")</f>
        <v>#REF!</v>
      </c>
      <c r="ED3" t="e">
        <f>AND(Liste!#REF!,"AAAAAD+874U=")</f>
        <v>#REF!</v>
      </c>
      <c r="EE3" t="e">
        <f>AND(Liste!#REF!,"AAAAAD+874Y=")</f>
        <v>#REF!</v>
      </c>
      <c r="EF3" t="e">
        <f>AND(Liste!#REF!,"AAAAAD+874c=")</f>
        <v>#REF!</v>
      </c>
      <c r="EG3" t="e">
        <f>AND(Liste!#REF!,"AAAAAD+874g=")</f>
        <v>#REF!</v>
      </c>
      <c r="EH3" t="e">
        <f>AND(Liste!#REF!,"AAAAAD+874k=")</f>
        <v>#REF!</v>
      </c>
      <c r="EI3" t="e">
        <f>AND(Liste!#REF!,"AAAAAD+874o=")</f>
        <v>#REF!</v>
      </c>
      <c r="EJ3" t="e">
        <f>IF(Liste!#REF!,"AAAAAD+874s=",0)</f>
        <v>#REF!</v>
      </c>
      <c r="EK3" t="e">
        <f>AND(Liste!#REF!,"AAAAAD+874w=")</f>
        <v>#REF!</v>
      </c>
      <c r="EL3" t="e">
        <f>AND(Liste!#REF!,"AAAAAD+8740=")</f>
        <v>#REF!</v>
      </c>
      <c r="EM3" t="e">
        <f>AND(Liste!#REF!,"AAAAAD+8744=")</f>
        <v>#REF!</v>
      </c>
      <c r="EN3" t="e">
        <f>AND(Liste!#REF!,"AAAAAD+8748=")</f>
        <v>#REF!</v>
      </c>
      <c r="EO3" t="e">
        <f>AND(Liste!#REF!,"AAAAAD+875A=")</f>
        <v>#REF!</v>
      </c>
      <c r="EP3" t="e">
        <f>AND(Liste!#REF!,"AAAAAD+875E=")</f>
        <v>#REF!</v>
      </c>
      <c r="EQ3" t="e">
        <f>AND(Liste!#REF!,"AAAAAD+875I=")</f>
        <v>#REF!</v>
      </c>
      <c r="ER3" t="e">
        <f>AND(Liste!#REF!,"AAAAAD+875M=")</f>
        <v>#REF!</v>
      </c>
      <c r="ES3" t="e">
        <f>AND(Liste!#REF!,"AAAAAD+875Q=")</f>
        <v>#REF!</v>
      </c>
      <c r="ET3" t="e">
        <f>AND(Liste!#REF!,"AAAAAD+875U=")</f>
        <v>#REF!</v>
      </c>
      <c r="EU3" t="e">
        <f>AND(Liste!#REF!,"AAAAAD+875Y=")</f>
        <v>#REF!</v>
      </c>
      <c r="EV3" t="e">
        <f>AND(Liste!#REF!,"AAAAAD+875c=")</f>
        <v>#REF!</v>
      </c>
      <c r="EW3" t="e">
        <f>AND(Liste!#REF!,"AAAAAD+875g=")</f>
        <v>#REF!</v>
      </c>
      <c r="EX3" t="e">
        <f>AND(Liste!#REF!,"AAAAAD+875k=")</f>
        <v>#REF!</v>
      </c>
      <c r="EY3" t="e">
        <f>AND(Liste!#REF!,"AAAAAD+875o=")</f>
        <v>#REF!</v>
      </c>
      <c r="EZ3" t="e">
        <f>AND(Liste!#REF!,"AAAAAD+875s=")</f>
        <v>#REF!</v>
      </c>
      <c r="FA3" t="e">
        <f>AND(Liste!#REF!,"AAAAAD+875w=")</f>
        <v>#REF!</v>
      </c>
      <c r="FB3" t="e">
        <f>AND(Liste!#REF!,"AAAAAD+8750=")</f>
        <v>#REF!</v>
      </c>
      <c r="FC3" t="e">
        <f>AND(Liste!#REF!,"AAAAAD+8754=")</f>
        <v>#REF!</v>
      </c>
      <c r="FD3" t="e">
        <f>AND(Liste!#REF!,"AAAAAD+8758=")</f>
        <v>#REF!</v>
      </c>
      <c r="FE3" t="e">
        <f>AND(Liste!#REF!,"AAAAAD+876A=")</f>
        <v>#REF!</v>
      </c>
      <c r="FF3" t="e">
        <f>AND(Liste!#REF!,"AAAAAD+876E=")</f>
        <v>#REF!</v>
      </c>
      <c r="FG3" t="e">
        <f>AND(Liste!#REF!,"AAAAAD+876I=")</f>
        <v>#REF!</v>
      </c>
      <c r="FH3" t="e">
        <f>AND(Liste!#REF!,"AAAAAD+876M=")</f>
        <v>#REF!</v>
      </c>
      <c r="FI3" t="e">
        <f>AND(Liste!#REF!,"AAAAAD+876Q=")</f>
        <v>#REF!</v>
      </c>
      <c r="FJ3" t="e">
        <f>AND(Liste!#REF!,"AAAAAD+876U=")</f>
        <v>#REF!</v>
      </c>
      <c r="FK3" t="e">
        <f>AND(Liste!#REF!,"AAAAAD+876Y=")</f>
        <v>#REF!</v>
      </c>
      <c r="FL3" t="e">
        <f>AND(Liste!#REF!,"AAAAAD+876c=")</f>
        <v>#REF!</v>
      </c>
      <c r="FM3" t="e">
        <f>AND(Liste!#REF!,"AAAAAD+876g=")</f>
        <v>#REF!</v>
      </c>
      <c r="FN3" t="e">
        <f>AND(Liste!#REF!,"AAAAAD+876k=")</f>
        <v>#REF!</v>
      </c>
      <c r="FO3" t="e">
        <f>IF(Liste!#REF!,"AAAAAD+876o=",0)</f>
        <v>#REF!</v>
      </c>
      <c r="FP3" t="e">
        <f>AND(Liste!#REF!,"AAAAAD+876s=")</f>
        <v>#REF!</v>
      </c>
      <c r="FQ3" t="e">
        <f>AND(Liste!#REF!,"AAAAAD+876w=")</f>
        <v>#REF!</v>
      </c>
      <c r="FR3" t="e">
        <f>AND(Liste!#REF!,"AAAAAD+8760=")</f>
        <v>#REF!</v>
      </c>
      <c r="FS3" t="e">
        <f>AND(Liste!#REF!,"AAAAAD+8764=")</f>
        <v>#REF!</v>
      </c>
      <c r="FT3" t="e">
        <f>AND(Liste!#REF!,"AAAAAD+8768=")</f>
        <v>#REF!</v>
      </c>
      <c r="FU3" t="e">
        <f>AND(Liste!#REF!,"AAAAAD+877A=")</f>
        <v>#REF!</v>
      </c>
      <c r="FV3" t="e">
        <f>AND(Liste!#REF!,"AAAAAD+877E=")</f>
        <v>#REF!</v>
      </c>
      <c r="FW3" t="e">
        <f>AND(Liste!#REF!,"AAAAAD+877I=")</f>
        <v>#REF!</v>
      </c>
      <c r="FX3" t="e">
        <f>AND(Liste!#REF!,"AAAAAD+877M=")</f>
        <v>#REF!</v>
      </c>
      <c r="FY3" t="e">
        <f>AND(Liste!#REF!,"AAAAAD+877Q=")</f>
        <v>#REF!</v>
      </c>
      <c r="FZ3" t="e">
        <f>AND(Liste!#REF!,"AAAAAD+877U=")</f>
        <v>#REF!</v>
      </c>
      <c r="GA3" t="e">
        <f>AND(Liste!#REF!,"AAAAAD+877Y=")</f>
        <v>#REF!</v>
      </c>
      <c r="GB3" t="e">
        <f>AND(Liste!#REF!,"AAAAAD+877c=")</f>
        <v>#REF!</v>
      </c>
      <c r="GC3" t="e">
        <f>AND(Liste!#REF!,"AAAAAD+877g=")</f>
        <v>#REF!</v>
      </c>
      <c r="GD3" t="e">
        <f>AND(Liste!#REF!,"AAAAAD+877k=")</f>
        <v>#REF!</v>
      </c>
      <c r="GE3" t="e">
        <f>AND(Liste!#REF!,"AAAAAD+877o=")</f>
        <v>#REF!</v>
      </c>
      <c r="GF3" t="e">
        <f>AND(Liste!#REF!,"AAAAAD+877s=")</f>
        <v>#REF!</v>
      </c>
      <c r="GG3" t="e">
        <f>AND(Liste!#REF!,"AAAAAD+877w=")</f>
        <v>#REF!</v>
      </c>
      <c r="GH3" t="e">
        <f>AND(Liste!#REF!,"AAAAAD+8770=")</f>
        <v>#REF!</v>
      </c>
      <c r="GI3" t="e">
        <f>AND(Liste!#REF!,"AAAAAD+8774=")</f>
        <v>#REF!</v>
      </c>
      <c r="GJ3" t="e">
        <f>AND(Liste!#REF!,"AAAAAD+8778=")</f>
        <v>#REF!</v>
      </c>
      <c r="GK3" t="e">
        <f>AND(Liste!#REF!,"AAAAAD+878A=")</f>
        <v>#REF!</v>
      </c>
      <c r="GL3" t="e">
        <f>AND(Liste!#REF!,"AAAAAD+878E=")</f>
        <v>#REF!</v>
      </c>
      <c r="GM3" t="e">
        <f>AND(Liste!#REF!,"AAAAAD+878I=")</f>
        <v>#REF!</v>
      </c>
      <c r="GN3" t="e">
        <f>AND(Liste!#REF!,"AAAAAD+878M=")</f>
        <v>#REF!</v>
      </c>
      <c r="GO3" t="e">
        <f>AND(Liste!#REF!,"AAAAAD+878Q=")</f>
        <v>#REF!</v>
      </c>
      <c r="GP3" t="e">
        <f>AND(Liste!#REF!,"AAAAAD+878U=")</f>
        <v>#REF!</v>
      </c>
      <c r="GQ3" t="e">
        <f>AND(Liste!#REF!,"AAAAAD+878Y=")</f>
        <v>#REF!</v>
      </c>
      <c r="GR3" t="e">
        <f>AND(Liste!#REF!,"AAAAAD+878c=")</f>
        <v>#REF!</v>
      </c>
      <c r="GS3" t="e">
        <f>AND(Liste!#REF!,"AAAAAD+878g=")</f>
        <v>#REF!</v>
      </c>
      <c r="GT3" t="e">
        <f>IF(Liste!#REF!,"AAAAAD+878k=",0)</f>
        <v>#REF!</v>
      </c>
      <c r="GU3" t="e">
        <f>AND(Liste!#REF!,"AAAAAD+878o=")</f>
        <v>#REF!</v>
      </c>
      <c r="GV3" t="e">
        <f>AND(Liste!#REF!,"AAAAAD+878s=")</f>
        <v>#REF!</v>
      </c>
      <c r="GW3" t="e">
        <f>AND(Liste!#REF!,"AAAAAD+878w=")</f>
        <v>#REF!</v>
      </c>
      <c r="GX3" t="e">
        <f>AND(Liste!#REF!,"AAAAAD+8780=")</f>
        <v>#REF!</v>
      </c>
      <c r="GY3" t="e">
        <f>AND(Liste!#REF!,"AAAAAD+8784=")</f>
        <v>#REF!</v>
      </c>
      <c r="GZ3" t="e">
        <f>AND(Liste!#REF!,"AAAAAD+8788=")</f>
        <v>#REF!</v>
      </c>
      <c r="HA3" t="e">
        <f>AND(Liste!#REF!,"AAAAAD+879A=")</f>
        <v>#REF!</v>
      </c>
      <c r="HB3" t="e">
        <f>AND(Liste!#REF!,"AAAAAD+879E=")</f>
        <v>#REF!</v>
      </c>
      <c r="HC3" t="e">
        <f>AND(Liste!#REF!,"AAAAAD+879I=")</f>
        <v>#REF!</v>
      </c>
      <c r="HD3" t="e">
        <f>AND(Liste!#REF!,"AAAAAD+879M=")</f>
        <v>#REF!</v>
      </c>
      <c r="HE3" t="e">
        <f>AND(Liste!#REF!,"AAAAAD+879Q=")</f>
        <v>#REF!</v>
      </c>
      <c r="HF3" t="e">
        <f>AND(Liste!#REF!,"AAAAAD+879U=")</f>
        <v>#REF!</v>
      </c>
      <c r="HG3" t="e">
        <f>AND(Liste!#REF!,"AAAAAD+879Y=")</f>
        <v>#REF!</v>
      </c>
      <c r="HH3" t="e">
        <f>AND(Liste!#REF!,"AAAAAD+879c=")</f>
        <v>#REF!</v>
      </c>
      <c r="HI3" t="e">
        <f>AND(Liste!#REF!,"AAAAAD+879g=")</f>
        <v>#REF!</v>
      </c>
      <c r="HJ3" t="e">
        <f>AND(Liste!#REF!,"AAAAAD+879k=")</f>
        <v>#REF!</v>
      </c>
      <c r="HK3" t="e">
        <f>AND(Liste!#REF!,"AAAAAD+879o=")</f>
        <v>#REF!</v>
      </c>
      <c r="HL3" t="e">
        <f>AND(Liste!#REF!,"AAAAAD+879s=")</f>
        <v>#REF!</v>
      </c>
      <c r="HM3" t="e">
        <f>AND(Liste!#REF!,"AAAAAD+879w=")</f>
        <v>#REF!</v>
      </c>
      <c r="HN3" t="e">
        <f>AND(Liste!#REF!,"AAAAAD+8790=")</f>
        <v>#REF!</v>
      </c>
      <c r="HO3" t="e">
        <f>AND(Liste!#REF!,"AAAAAD+8794=")</f>
        <v>#REF!</v>
      </c>
      <c r="HP3" t="e">
        <f>AND(Liste!#REF!,"AAAAAD+8798=")</f>
        <v>#REF!</v>
      </c>
      <c r="HQ3" t="e">
        <f>AND(Liste!#REF!,"AAAAAD+87+A=")</f>
        <v>#REF!</v>
      </c>
      <c r="HR3" t="e">
        <f>AND(Liste!#REF!,"AAAAAD+87+E=")</f>
        <v>#REF!</v>
      </c>
      <c r="HS3" t="e">
        <f>AND(Liste!#REF!,"AAAAAD+87+I=")</f>
        <v>#REF!</v>
      </c>
      <c r="HT3" t="e">
        <f>AND(Liste!#REF!,"AAAAAD+87+M=")</f>
        <v>#REF!</v>
      </c>
      <c r="HU3" t="e">
        <f>AND(Liste!#REF!,"AAAAAD+87+Q=")</f>
        <v>#REF!</v>
      </c>
      <c r="HV3" t="e">
        <f>AND(Liste!#REF!,"AAAAAD+87+U=")</f>
        <v>#REF!</v>
      </c>
      <c r="HW3" t="e">
        <f>AND(Liste!#REF!,"AAAAAD+87+Y=")</f>
        <v>#REF!</v>
      </c>
      <c r="HX3" t="e">
        <f>AND(Liste!#REF!,"AAAAAD+87+c=")</f>
        <v>#REF!</v>
      </c>
      <c r="HY3" t="e">
        <f>IF(Liste!#REF!,"AAAAAD+87+g=",0)</f>
        <v>#REF!</v>
      </c>
      <c r="HZ3" t="e">
        <f>AND(Liste!#REF!,"AAAAAD+87+k=")</f>
        <v>#REF!</v>
      </c>
      <c r="IA3" t="e">
        <f>AND(Liste!#REF!,"AAAAAD+87+o=")</f>
        <v>#REF!</v>
      </c>
      <c r="IB3" t="e">
        <f>AND(Liste!#REF!,"AAAAAD+87+s=")</f>
        <v>#REF!</v>
      </c>
      <c r="IC3" t="e">
        <f>AND(Liste!#REF!,"AAAAAD+87+w=")</f>
        <v>#REF!</v>
      </c>
      <c r="ID3" t="e">
        <f>AND(Liste!#REF!,"AAAAAD+87+0=")</f>
        <v>#REF!</v>
      </c>
      <c r="IE3" t="e">
        <f>AND(Liste!#REF!,"AAAAAD+87+4=")</f>
        <v>#REF!</v>
      </c>
      <c r="IF3" t="e">
        <f>AND(Liste!#REF!,"AAAAAD+87+8=")</f>
        <v>#REF!</v>
      </c>
      <c r="IG3" t="e">
        <f>AND(Liste!#REF!,"AAAAAD+87/A=")</f>
        <v>#REF!</v>
      </c>
      <c r="IH3" t="e">
        <f>AND(Liste!#REF!,"AAAAAD+87/E=")</f>
        <v>#REF!</v>
      </c>
      <c r="II3" t="e">
        <f>AND(Liste!#REF!,"AAAAAD+87/I=")</f>
        <v>#REF!</v>
      </c>
      <c r="IJ3" t="e">
        <f>AND(Liste!#REF!,"AAAAAD+87/M=")</f>
        <v>#REF!</v>
      </c>
      <c r="IK3" t="e">
        <f>AND(Liste!#REF!,"AAAAAD+87/Q=")</f>
        <v>#REF!</v>
      </c>
      <c r="IL3" t="e">
        <f>AND(Liste!#REF!,"AAAAAD+87/U=")</f>
        <v>#REF!</v>
      </c>
      <c r="IM3" t="e">
        <f>AND(Liste!#REF!,"AAAAAD+87/Y=")</f>
        <v>#REF!</v>
      </c>
      <c r="IN3" t="e">
        <f>AND(Liste!#REF!,"AAAAAD+87/c=")</f>
        <v>#REF!</v>
      </c>
      <c r="IO3" t="e">
        <f>AND(Liste!#REF!,"AAAAAD+87/g=")</f>
        <v>#REF!</v>
      </c>
      <c r="IP3" t="e">
        <f>AND(Liste!#REF!,"AAAAAD+87/k=")</f>
        <v>#REF!</v>
      </c>
      <c r="IQ3" t="e">
        <f>AND(Liste!#REF!,"AAAAAD+87/o=")</f>
        <v>#REF!</v>
      </c>
      <c r="IR3" t="e">
        <f>AND(Liste!#REF!,"AAAAAD+87/s=")</f>
        <v>#REF!</v>
      </c>
      <c r="IS3" t="e">
        <f>AND(Liste!#REF!,"AAAAAD+87/w=")</f>
        <v>#REF!</v>
      </c>
      <c r="IT3" t="e">
        <f>AND(Liste!#REF!,"AAAAAD+87/0=")</f>
        <v>#REF!</v>
      </c>
      <c r="IU3" t="e">
        <f>AND(Liste!#REF!,"AAAAAD+87/4=")</f>
        <v>#REF!</v>
      </c>
      <c r="IV3" t="e">
        <f>AND(Liste!#REF!,"AAAAAD+87/8=")</f>
        <v>#REF!</v>
      </c>
    </row>
    <row r="4" spans="1:256" x14ac:dyDescent="0.2">
      <c r="A4" t="e">
        <f>AND(Liste!#REF!,"AAAAAG/9nwA=")</f>
        <v>#REF!</v>
      </c>
      <c r="B4" t="e">
        <f>AND(Liste!#REF!,"AAAAAG/9nwE=")</f>
        <v>#REF!</v>
      </c>
      <c r="C4" t="e">
        <f>AND(Liste!#REF!,"AAAAAG/9nwI=")</f>
        <v>#REF!</v>
      </c>
      <c r="D4" t="e">
        <f>AND(Liste!#REF!,"AAAAAG/9nwM=")</f>
        <v>#REF!</v>
      </c>
      <c r="E4" t="e">
        <f>AND(Liste!#REF!,"AAAAAG/9nwQ=")</f>
        <v>#REF!</v>
      </c>
      <c r="F4" t="e">
        <f>AND(Liste!#REF!,"AAAAAG/9nwU=")</f>
        <v>#REF!</v>
      </c>
      <c r="G4" t="e">
        <f>AND(Liste!#REF!,"AAAAAG/9nwY=")</f>
        <v>#REF!</v>
      </c>
      <c r="H4" t="e">
        <f>IF(Liste!#REF!,"AAAAAG/9nwc=",0)</f>
        <v>#REF!</v>
      </c>
      <c r="I4" t="e">
        <f>AND(Liste!#REF!,"AAAAAG/9nwg=")</f>
        <v>#REF!</v>
      </c>
      <c r="J4" t="e">
        <f>AND(Liste!#REF!,"AAAAAG/9nwk=")</f>
        <v>#REF!</v>
      </c>
      <c r="K4" t="e">
        <f>AND(Liste!#REF!,"AAAAAG/9nwo=")</f>
        <v>#REF!</v>
      </c>
      <c r="L4" t="e">
        <f>AND(Liste!#REF!,"AAAAAG/9nws=")</f>
        <v>#REF!</v>
      </c>
      <c r="M4" t="e">
        <f>AND(Liste!#REF!,"AAAAAG/9nww=")</f>
        <v>#REF!</v>
      </c>
      <c r="N4" t="e">
        <f>AND(Liste!#REF!,"AAAAAG/9nw0=")</f>
        <v>#REF!</v>
      </c>
      <c r="O4" t="e">
        <f>AND(Liste!#REF!,"AAAAAG/9nw4=")</f>
        <v>#REF!</v>
      </c>
      <c r="P4" t="e">
        <f>AND(Liste!#REF!,"AAAAAG/9nw8=")</f>
        <v>#REF!</v>
      </c>
      <c r="Q4" t="e">
        <f>AND(Liste!#REF!,"AAAAAG/9nxA=")</f>
        <v>#REF!</v>
      </c>
      <c r="R4" t="e">
        <f>AND(Liste!#REF!,"AAAAAG/9nxE=")</f>
        <v>#REF!</v>
      </c>
      <c r="S4" t="e">
        <f>AND(Liste!#REF!,"AAAAAG/9nxI=")</f>
        <v>#REF!</v>
      </c>
      <c r="T4" t="e">
        <f>AND(Liste!#REF!,"AAAAAG/9nxM=")</f>
        <v>#REF!</v>
      </c>
      <c r="U4" t="e">
        <f>AND(Liste!#REF!,"AAAAAG/9nxQ=")</f>
        <v>#REF!</v>
      </c>
      <c r="V4" t="e">
        <f>AND(Liste!#REF!,"AAAAAG/9nxU=")</f>
        <v>#REF!</v>
      </c>
      <c r="W4" t="e">
        <f>AND(Liste!#REF!,"AAAAAG/9nxY=")</f>
        <v>#REF!</v>
      </c>
      <c r="X4" t="e">
        <f>AND(Liste!#REF!,"AAAAAG/9nxc=")</f>
        <v>#REF!</v>
      </c>
      <c r="Y4" t="e">
        <f>AND(Liste!#REF!,"AAAAAG/9nxg=")</f>
        <v>#REF!</v>
      </c>
      <c r="Z4" t="e">
        <f>AND(Liste!#REF!,"AAAAAG/9nxk=")</f>
        <v>#REF!</v>
      </c>
      <c r="AA4" t="e">
        <f>AND(Liste!#REF!,"AAAAAG/9nxo=")</f>
        <v>#REF!</v>
      </c>
      <c r="AB4" t="e">
        <f>AND(Liste!#REF!,"AAAAAG/9nxs=")</f>
        <v>#REF!</v>
      </c>
      <c r="AC4" t="e">
        <f>AND(Liste!#REF!,"AAAAAG/9nxw=")</f>
        <v>#REF!</v>
      </c>
      <c r="AD4" t="e">
        <f>AND(Liste!#REF!,"AAAAAG/9nx0=")</f>
        <v>#REF!</v>
      </c>
      <c r="AE4" t="e">
        <f>AND(Liste!#REF!,"AAAAAG/9nx4=")</f>
        <v>#REF!</v>
      </c>
      <c r="AF4" t="e">
        <f>AND(Liste!#REF!,"AAAAAG/9nx8=")</f>
        <v>#REF!</v>
      </c>
      <c r="AG4" t="e">
        <f>AND(Liste!#REF!,"AAAAAG/9nyA=")</f>
        <v>#REF!</v>
      </c>
      <c r="AH4" t="e">
        <f>AND(Liste!#REF!,"AAAAAG/9nyE=")</f>
        <v>#REF!</v>
      </c>
      <c r="AI4" t="e">
        <f>AND(Liste!#REF!,"AAAAAG/9nyI=")</f>
        <v>#REF!</v>
      </c>
      <c r="AJ4" t="e">
        <f>AND(Liste!#REF!,"AAAAAG/9nyM=")</f>
        <v>#REF!</v>
      </c>
      <c r="AK4" t="e">
        <f>AND(Liste!#REF!,"AAAAAG/9nyQ=")</f>
        <v>#REF!</v>
      </c>
      <c r="AL4" t="e">
        <f>AND(Liste!#REF!,"AAAAAG/9nyU=")</f>
        <v>#REF!</v>
      </c>
      <c r="AM4" t="e">
        <f>IF(Liste!#REF!,"AAAAAG/9nyY=",0)</f>
        <v>#REF!</v>
      </c>
      <c r="AN4" t="e">
        <f>AND(Liste!#REF!,"AAAAAG/9nyc=")</f>
        <v>#REF!</v>
      </c>
      <c r="AO4" t="e">
        <f>AND(Liste!#REF!,"AAAAAG/9nyg=")</f>
        <v>#REF!</v>
      </c>
      <c r="AP4" t="e">
        <f>AND(Liste!#REF!,"AAAAAG/9nyk=")</f>
        <v>#REF!</v>
      </c>
      <c r="AQ4" t="e">
        <f>AND(Liste!#REF!,"AAAAAG/9nyo=")</f>
        <v>#REF!</v>
      </c>
      <c r="AR4" t="e">
        <f>AND(Liste!#REF!,"AAAAAG/9nys=")</f>
        <v>#REF!</v>
      </c>
      <c r="AS4" t="e">
        <f>AND(Liste!#REF!,"AAAAAG/9nyw=")</f>
        <v>#REF!</v>
      </c>
      <c r="AT4" t="e">
        <f>AND(Liste!#REF!,"AAAAAG/9ny0=")</f>
        <v>#REF!</v>
      </c>
      <c r="AU4" t="e">
        <f>AND(Liste!#REF!,"AAAAAG/9ny4=")</f>
        <v>#REF!</v>
      </c>
      <c r="AV4" t="e">
        <f>AND(Liste!#REF!,"AAAAAG/9ny8=")</f>
        <v>#REF!</v>
      </c>
      <c r="AW4" t="e">
        <f>AND(Liste!#REF!,"AAAAAG/9nzA=")</f>
        <v>#REF!</v>
      </c>
      <c r="AX4" t="e">
        <f>AND(Liste!#REF!,"AAAAAG/9nzE=")</f>
        <v>#REF!</v>
      </c>
      <c r="AY4" t="e">
        <f>AND(Liste!#REF!,"AAAAAG/9nzI=")</f>
        <v>#REF!</v>
      </c>
      <c r="AZ4" t="e">
        <f>AND(Liste!#REF!,"AAAAAG/9nzM=")</f>
        <v>#REF!</v>
      </c>
      <c r="BA4" t="e">
        <f>AND(Liste!#REF!,"AAAAAG/9nzQ=")</f>
        <v>#REF!</v>
      </c>
      <c r="BB4" t="e">
        <f>AND(Liste!#REF!,"AAAAAG/9nzU=")</f>
        <v>#REF!</v>
      </c>
      <c r="BC4" t="e">
        <f>AND(Liste!#REF!,"AAAAAG/9nzY=")</f>
        <v>#REF!</v>
      </c>
      <c r="BD4" t="e">
        <f>AND(Liste!#REF!,"AAAAAG/9nzc=")</f>
        <v>#REF!</v>
      </c>
      <c r="BE4" t="e">
        <f>AND(Liste!#REF!,"AAAAAG/9nzg=")</f>
        <v>#REF!</v>
      </c>
      <c r="BF4" t="e">
        <f>AND(Liste!#REF!,"AAAAAG/9nzk=")</f>
        <v>#REF!</v>
      </c>
      <c r="BG4" t="e">
        <f>AND(Liste!#REF!,"AAAAAG/9nzo=")</f>
        <v>#REF!</v>
      </c>
      <c r="BH4" t="e">
        <f>AND(Liste!#REF!,"AAAAAG/9nzs=")</f>
        <v>#REF!</v>
      </c>
      <c r="BI4" t="e">
        <f>AND(Liste!#REF!,"AAAAAG/9nzw=")</f>
        <v>#REF!</v>
      </c>
      <c r="BJ4" t="e">
        <f>AND(Liste!#REF!,"AAAAAG/9nz0=")</f>
        <v>#REF!</v>
      </c>
      <c r="BK4" t="e">
        <f>AND(Liste!#REF!,"AAAAAG/9nz4=")</f>
        <v>#REF!</v>
      </c>
      <c r="BL4" t="e">
        <f>AND(Liste!#REF!,"AAAAAG/9nz8=")</f>
        <v>#REF!</v>
      </c>
      <c r="BM4" t="e">
        <f>AND(Liste!#REF!,"AAAAAG/9n0A=")</f>
        <v>#REF!</v>
      </c>
      <c r="BN4" t="e">
        <f>AND(Liste!#REF!,"AAAAAG/9n0E=")</f>
        <v>#REF!</v>
      </c>
      <c r="BO4" t="e">
        <f>AND(Liste!#REF!,"AAAAAG/9n0I=")</f>
        <v>#REF!</v>
      </c>
      <c r="BP4" t="e">
        <f>AND(Liste!#REF!,"AAAAAG/9n0M=")</f>
        <v>#REF!</v>
      </c>
      <c r="BQ4" t="e">
        <f>AND(Liste!#REF!,"AAAAAG/9n0Q=")</f>
        <v>#REF!</v>
      </c>
      <c r="BR4" t="e">
        <f>IF(Liste!#REF!,"AAAAAG/9n0U=",0)</f>
        <v>#REF!</v>
      </c>
      <c r="BS4" t="e">
        <f>AND(Liste!#REF!,"AAAAAG/9n0Y=")</f>
        <v>#REF!</v>
      </c>
      <c r="BT4" t="e">
        <f>AND(Liste!#REF!,"AAAAAG/9n0c=")</f>
        <v>#REF!</v>
      </c>
      <c r="BU4" t="e">
        <f>AND(Liste!#REF!,"AAAAAG/9n0g=")</f>
        <v>#REF!</v>
      </c>
      <c r="BV4" t="e">
        <f>AND(Liste!#REF!,"AAAAAG/9n0k=")</f>
        <v>#REF!</v>
      </c>
      <c r="BW4" t="e">
        <f>AND(Liste!F85,"AAAAAG/9n0o=")</f>
        <v>#VALUE!</v>
      </c>
      <c r="BX4" t="e">
        <f>AND(Liste!G85,"AAAAAG/9n0s=")</f>
        <v>#VALUE!</v>
      </c>
      <c r="BY4" t="e">
        <f>AND(Liste!H85,"AAAAAG/9n0w=")</f>
        <v>#VALUE!</v>
      </c>
      <c r="BZ4" t="e">
        <f>AND(Liste!#REF!,"AAAAAG/9n00=")</f>
        <v>#REF!</v>
      </c>
      <c r="CA4" t="e">
        <f>AND(Liste!#REF!,"AAAAAG/9n04=")</f>
        <v>#REF!</v>
      </c>
      <c r="CB4" t="e">
        <f>AND(Liste!#REF!,"AAAAAG/9n08=")</f>
        <v>#REF!</v>
      </c>
      <c r="CC4" t="e">
        <f>AND(Liste!#REF!,"AAAAAG/9n1A=")</f>
        <v>#REF!</v>
      </c>
      <c r="CD4" t="e">
        <f>AND(Liste!#REF!,"AAAAAG/9n1E=")</f>
        <v>#REF!</v>
      </c>
      <c r="CE4" t="e">
        <f>AND(Liste!#REF!,"AAAAAG/9n1I=")</f>
        <v>#REF!</v>
      </c>
      <c r="CF4" t="e">
        <f>AND(Liste!#REF!,"AAAAAG/9n1M=")</f>
        <v>#REF!</v>
      </c>
      <c r="CG4" t="e">
        <f>AND(Liste!#REF!,"AAAAAG/9n1Q=")</f>
        <v>#REF!</v>
      </c>
      <c r="CH4" t="e">
        <f>AND(Liste!#REF!,"AAAAAG/9n1U=")</f>
        <v>#REF!</v>
      </c>
      <c r="CI4" t="e">
        <f>AND(Liste!#REF!,"AAAAAG/9n1Y=")</f>
        <v>#REF!</v>
      </c>
      <c r="CJ4" t="e">
        <f>AND(Liste!#REF!,"AAAAAG/9n1c=")</f>
        <v>#REF!</v>
      </c>
      <c r="CK4" t="e">
        <f>AND(Liste!#REF!,"AAAAAG/9n1g=")</f>
        <v>#REF!</v>
      </c>
      <c r="CL4" t="e">
        <f>AND(Liste!#REF!,"AAAAAG/9n1k=")</f>
        <v>#REF!</v>
      </c>
      <c r="CM4" t="e">
        <f>AND(Liste!#REF!,"AAAAAG/9n1o=")</f>
        <v>#REF!</v>
      </c>
      <c r="CN4" t="e">
        <f>AND(Liste!#REF!,"AAAAAG/9n1s=")</f>
        <v>#REF!</v>
      </c>
      <c r="CO4" t="e">
        <f>AND(Liste!#REF!,"AAAAAG/9n1w=")</f>
        <v>#REF!</v>
      </c>
      <c r="CP4" t="e">
        <f>AND(Liste!#REF!,"AAAAAG/9n10=")</f>
        <v>#REF!</v>
      </c>
      <c r="CQ4" t="e">
        <f>AND(Liste!#REF!,"AAAAAG/9n14=")</f>
        <v>#REF!</v>
      </c>
      <c r="CR4" t="e">
        <f>AND(Liste!#REF!,"AAAAAG/9n18=")</f>
        <v>#REF!</v>
      </c>
      <c r="CS4" t="e">
        <f>AND(Liste!#REF!,"AAAAAG/9n2A=")</f>
        <v>#REF!</v>
      </c>
      <c r="CT4" t="e">
        <f>AND(Liste!#REF!,"AAAAAG/9n2E=")</f>
        <v>#REF!</v>
      </c>
      <c r="CU4" t="e">
        <f>AND(Liste!#REF!,"AAAAAG/9n2I=")</f>
        <v>#REF!</v>
      </c>
      <c r="CV4" t="e">
        <f>AND(Liste!#REF!,"AAAAAG/9n2M=")</f>
        <v>#REF!</v>
      </c>
      <c r="CW4">
        <f>IF(Liste!30:30,"AAAAAG/9n2Q=",0)</f>
        <v>0</v>
      </c>
      <c r="CX4" t="e">
        <f>AND(Liste!A30,"AAAAAG/9n2U=")</f>
        <v>#VALUE!</v>
      </c>
      <c r="CY4" t="e">
        <f>AND(Liste!C86,"AAAAAG/9n2Y=")</f>
        <v>#VALUE!</v>
      </c>
      <c r="CZ4" t="e">
        <f>AND(Liste!D86,"AAAAAG/9n2c=")</f>
        <v>#VALUE!</v>
      </c>
      <c r="DA4" t="e">
        <f>AND(Liste!E86,"AAAAAG/9n2g=")</f>
        <v>#VALUE!</v>
      </c>
      <c r="DB4" t="e">
        <f>AND(Liste!F86,"AAAAAG/9n2k=")</f>
        <v>#VALUE!</v>
      </c>
      <c r="DC4" t="e">
        <f>AND(Liste!G86,"AAAAAG/9n2o=")</f>
        <v>#VALUE!</v>
      </c>
      <c r="DD4" t="e">
        <f>AND(Liste!H86,"AAAAAG/9n2s=")</f>
        <v>#VALUE!</v>
      </c>
      <c r="DE4" t="e">
        <f>AND(Liste!I86,"AAAAAG/9n2w=")</f>
        <v>#VALUE!</v>
      </c>
      <c r="DF4" t="e">
        <f>AND(Liste!J86,"AAAAAG/9n20=")</f>
        <v>#VALUE!</v>
      </c>
      <c r="DG4" t="e">
        <f>AND(Liste!#REF!,"AAAAAG/9n24=")</f>
        <v>#REF!</v>
      </c>
      <c r="DH4" t="e">
        <f>AND(Liste!#REF!,"AAAAAG/9n28=")</f>
        <v>#REF!</v>
      </c>
      <c r="DI4" t="e">
        <f>AND(Liste!#REF!,"AAAAAG/9n3A=")</f>
        <v>#REF!</v>
      </c>
      <c r="DJ4" t="e">
        <f>AND(Liste!#REF!,"AAAAAG/9n3E=")</f>
        <v>#REF!</v>
      </c>
      <c r="DK4" t="e">
        <f>AND(Liste!#REF!,"AAAAAG/9n3I=")</f>
        <v>#REF!</v>
      </c>
      <c r="DL4" t="e">
        <f>AND(Liste!#REF!,"AAAAAG/9n3M=")</f>
        <v>#REF!</v>
      </c>
      <c r="DM4" t="e">
        <f>AND(Liste!#REF!,"AAAAAG/9n3Q=")</f>
        <v>#REF!</v>
      </c>
      <c r="DN4" t="e">
        <f>AND(Liste!#REF!,"AAAAAG/9n3U=")</f>
        <v>#REF!</v>
      </c>
      <c r="DO4" t="e">
        <f>AND(Liste!#REF!,"AAAAAG/9n3Y=")</f>
        <v>#REF!</v>
      </c>
      <c r="DP4" t="e">
        <f>AND(Liste!#REF!,"AAAAAG/9n3c=")</f>
        <v>#REF!</v>
      </c>
      <c r="DQ4" t="e">
        <f>AND(Liste!#REF!,"AAAAAG/9n3g=")</f>
        <v>#REF!</v>
      </c>
      <c r="DR4" t="e">
        <f>AND(Liste!#REF!,"AAAAAG/9n3k=")</f>
        <v>#REF!</v>
      </c>
      <c r="DS4" t="e">
        <f>AND(Liste!#REF!,"AAAAAG/9n3o=")</f>
        <v>#REF!</v>
      </c>
      <c r="DT4" t="e">
        <f>AND(Liste!#REF!,"AAAAAG/9n3s=")</f>
        <v>#REF!</v>
      </c>
      <c r="DU4" t="e">
        <f>AND(Liste!#REF!,"AAAAAG/9n3w=")</f>
        <v>#REF!</v>
      </c>
      <c r="DV4" t="e">
        <f>AND(Liste!#REF!,"AAAAAG/9n30=")</f>
        <v>#REF!</v>
      </c>
      <c r="DW4" t="e">
        <f>AND(Liste!#REF!,"AAAAAG/9n34=")</f>
        <v>#REF!</v>
      </c>
      <c r="DX4" t="e">
        <f>AND(Liste!#REF!,"AAAAAG/9n38=")</f>
        <v>#REF!</v>
      </c>
      <c r="DY4" t="e">
        <f>AND(Liste!#REF!,"AAAAAG/9n4A=")</f>
        <v>#REF!</v>
      </c>
      <c r="DZ4" t="e">
        <f>AND(Liste!#REF!,"AAAAAG/9n4E=")</f>
        <v>#REF!</v>
      </c>
      <c r="EA4" t="e">
        <f>AND(Liste!#REF!,"AAAAAG/9n4I=")</f>
        <v>#REF!</v>
      </c>
      <c r="EB4">
        <f>IF(Liste!31:31,"AAAAAG/9n4M=",0)</f>
        <v>0</v>
      </c>
      <c r="EC4" t="b">
        <f>AND(Liste!A31,"AAAAAG/9n4Q=")</f>
        <v>1</v>
      </c>
      <c r="ED4" t="e">
        <f>AND(Liste!#REF!,"AAAAAG/9n4U=")</f>
        <v>#REF!</v>
      </c>
      <c r="EE4" t="e">
        <f>AND(Liste!#REF!,"AAAAAG/9n4Y=")</f>
        <v>#REF!</v>
      </c>
      <c r="EF4" t="e">
        <f>AND(Liste!#REF!,"AAAAAG/9n4c=")</f>
        <v>#REF!</v>
      </c>
      <c r="EG4" t="e">
        <f>AND(Liste!F87,"AAAAAG/9n4g=")</f>
        <v>#VALUE!</v>
      </c>
      <c r="EH4" t="e">
        <f>AND(Liste!G87,"AAAAAG/9n4k=")</f>
        <v>#VALUE!</v>
      </c>
      <c r="EI4" t="e">
        <f>AND(Liste!H87,"AAAAAG/9n4o=")</f>
        <v>#VALUE!</v>
      </c>
      <c r="EJ4" t="e">
        <f>AND(Liste!I87,"AAAAAG/9n4s=")</f>
        <v>#VALUE!</v>
      </c>
      <c r="EK4" t="e">
        <f>AND(Liste!J87,"AAAAAG/9n4w=")</f>
        <v>#VALUE!</v>
      </c>
      <c r="EL4" t="e">
        <f>AND(Liste!#REF!,"AAAAAG/9n40=")</f>
        <v>#REF!</v>
      </c>
      <c r="EM4" t="e">
        <f>AND(Liste!#REF!,"AAAAAG/9n44=")</f>
        <v>#REF!</v>
      </c>
      <c r="EN4" t="e">
        <f>AND(Liste!#REF!,"AAAAAG/9n48=")</f>
        <v>#REF!</v>
      </c>
      <c r="EO4" t="e">
        <f>AND(Liste!#REF!,"AAAAAG/9n5A=")</f>
        <v>#REF!</v>
      </c>
      <c r="EP4" t="e">
        <f>AND(Liste!#REF!,"AAAAAG/9n5E=")</f>
        <v>#REF!</v>
      </c>
      <c r="EQ4" t="e">
        <f>AND(Liste!#REF!,"AAAAAG/9n5I=")</f>
        <v>#REF!</v>
      </c>
      <c r="ER4" t="e">
        <f>AND(Liste!#REF!,"AAAAAG/9n5M=")</f>
        <v>#REF!</v>
      </c>
      <c r="ES4" t="e">
        <f>AND(Liste!#REF!,"AAAAAG/9n5Q=")</f>
        <v>#REF!</v>
      </c>
      <c r="ET4" t="e">
        <f>AND(Liste!#REF!,"AAAAAG/9n5U=")</f>
        <v>#REF!</v>
      </c>
      <c r="EU4" t="e">
        <f>AND(Liste!#REF!,"AAAAAG/9n5Y=")</f>
        <v>#REF!</v>
      </c>
      <c r="EV4" t="e">
        <f>AND(Liste!#REF!,"AAAAAG/9n5c=")</f>
        <v>#REF!</v>
      </c>
      <c r="EW4" t="e">
        <f>AND(Liste!#REF!,"AAAAAG/9n5g=")</f>
        <v>#REF!</v>
      </c>
      <c r="EX4" t="e">
        <f>AND(Liste!#REF!,"AAAAAG/9n5k=")</f>
        <v>#REF!</v>
      </c>
      <c r="EY4" t="e">
        <f>AND(Liste!#REF!,"AAAAAG/9n5o=")</f>
        <v>#REF!</v>
      </c>
      <c r="EZ4" t="e">
        <f>AND(Liste!#REF!,"AAAAAG/9n5s=")</f>
        <v>#REF!</v>
      </c>
      <c r="FA4" t="e">
        <f>AND(Liste!#REF!,"AAAAAG/9n5w=")</f>
        <v>#REF!</v>
      </c>
      <c r="FB4" t="e">
        <f>AND(Liste!#REF!,"AAAAAG/9n50=")</f>
        <v>#REF!</v>
      </c>
      <c r="FC4" t="e">
        <f>AND(Liste!#REF!,"AAAAAG/9n54=")</f>
        <v>#REF!</v>
      </c>
      <c r="FD4" t="e">
        <f>AND(Liste!#REF!,"AAAAAG/9n58=")</f>
        <v>#REF!</v>
      </c>
      <c r="FE4" t="e">
        <f>AND(Liste!#REF!,"AAAAAG/9n6A=")</f>
        <v>#REF!</v>
      </c>
      <c r="FF4" t="e">
        <f>AND(Liste!#REF!,"AAAAAG/9n6E=")</f>
        <v>#REF!</v>
      </c>
      <c r="FG4">
        <f>IF(Liste!32:32,"AAAAAG/9n6I=",0)</f>
        <v>0</v>
      </c>
      <c r="FH4" t="b">
        <f>AND(Liste!A32,"AAAAAG/9n6M=")</f>
        <v>1</v>
      </c>
      <c r="FI4" t="e">
        <f>AND(Liste!#REF!,"AAAAAG/9n6Q=")</f>
        <v>#REF!</v>
      </c>
      <c r="FJ4" t="e">
        <f>AND(Liste!#REF!,"AAAAAG/9n6U=")</f>
        <v>#REF!</v>
      </c>
      <c r="FK4" t="e">
        <f>AND(Liste!#REF!,"AAAAAG/9n6Y=")</f>
        <v>#REF!</v>
      </c>
      <c r="FL4" t="e">
        <f>AND(Liste!F88,"AAAAAG/9n6c=")</f>
        <v>#VALUE!</v>
      </c>
      <c r="FM4" t="e">
        <f>AND(Liste!G88,"AAAAAG/9n6g=")</f>
        <v>#VALUE!</v>
      </c>
      <c r="FN4" t="e">
        <f>AND(Liste!H88,"AAAAAG/9n6k=")</f>
        <v>#VALUE!</v>
      </c>
      <c r="FO4" t="e">
        <f>AND(Liste!I88,"AAAAAG/9n6o=")</f>
        <v>#VALUE!</v>
      </c>
      <c r="FP4" t="e">
        <f>AND(Liste!J88,"AAAAAG/9n6s=")</f>
        <v>#VALUE!</v>
      </c>
      <c r="FQ4" t="e">
        <f>AND(Liste!#REF!,"AAAAAG/9n6w=")</f>
        <v>#REF!</v>
      </c>
      <c r="FR4" t="e">
        <f>AND(Liste!#REF!,"AAAAAG/9n60=")</f>
        <v>#REF!</v>
      </c>
      <c r="FS4" t="e">
        <f>AND(Liste!#REF!,"AAAAAG/9n64=")</f>
        <v>#REF!</v>
      </c>
      <c r="FT4" t="e">
        <f>AND(Liste!#REF!,"AAAAAG/9n68=")</f>
        <v>#REF!</v>
      </c>
      <c r="FU4" t="e">
        <f>AND(Liste!#REF!,"AAAAAG/9n7A=")</f>
        <v>#REF!</v>
      </c>
      <c r="FV4" t="e">
        <f>AND(Liste!#REF!,"AAAAAG/9n7E=")</f>
        <v>#REF!</v>
      </c>
      <c r="FW4" t="e">
        <f>AND(Liste!#REF!,"AAAAAG/9n7I=")</f>
        <v>#REF!</v>
      </c>
      <c r="FX4" t="e">
        <f>AND(Liste!#REF!,"AAAAAG/9n7M=")</f>
        <v>#REF!</v>
      </c>
      <c r="FY4" t="e">
        <f>AND(Liste!#REF!,"AAAAAG/9n7Q=")</f>
        <v>#REF!</v>
      </c>
      <c r="FZ4" t="e">
        <f>AND(Liste!#REF!,"AAAAAG/9n7U=")</f>
        <v>#REF!</v>
      </c>
      <c r="GA4" t="e">
        <f>AND(Liste!#REF!,"AAAAAG/9n7Y=")</f>
        <v>#REF!</v>
      </c>
      <c r="GB4" t="e">
        <f>AND(Liste!#REF!,"AAAAAG/9n7c=")</f>
        <v>#REF!</v>
      </c>
      <c r="GC4" t="e">
        <f>AND(Liste!#REF!,"AAAAAG/9n7g=")</f>
        <v>#REF!</v>
      </c>
      <c r="GD4" t="e">
        <f>AND(Liste!#REF!,"AAAAAG/9n7k=")</f>
        <v>#REF!</v>
      </c>
      <c r="GE4" t="e">
        <f>AND(Liste!#REF!,"AAAAAG/9n7o=")</f>
        <v>#REF!</v>
      </c>
      <c r="GF4" t="e">
        <f>AND(Liste!#REF!,"AAAAAG/9n7s=")</f>
        <v>#REF!</v>
      </c>
      <c r="GG4" t="e">
        <f>AND(Liste!#REF!,"AAAAAG/9n7w=")</f>
        <v>#REF!</v>
      </c>
      <c r="GH4" t="e">
        <f>AND(Liste!#REF!,"AAAAAG/9n70=")</f>
        <v>#REF!</v>
      </c>
      <c r="GI4" t="e">
        <f>AND(Liste!#REF!,"AAAAAG/9n74=")</f>
        <v>#REF!</v>
      </c>
      <c r="GJ4" t="e">
        <f>AND(Liste!#REF!,"AAAAAG/9n78=")</f>
        <v>#REF!</v>
      </c>
      <c r="GK4" t="e">
        <f>AND(Liste!#REF!,"AAAAAG/9n8A=")</f>
        <v>#REF!</v>
      </c>
      <c r="GL4">
        <f>IF(Liste!33:33,"AAAAAG/9n8E=",0)</f>
        <v>0</v>
      </c>
      <c r="GM4" t="b">
        <f>AND(Liste!A33,"AAAAAG/9n8I=")</f>
        <v>1</v>
      </c>
      <c r="GN4" t="e">
        <f>AND(Liste!#REF!,"AAAAAG/9n8M=")</f>
        <v>#REF!</v>
      </c>
      <c r="GO4" t="e">
        <f>AND(Liste!#REF!,"AAAAAG/9n8Q=")</f>
        <v>#REF!</v>
      </c>
      <c r="GP4" t="e">
        <f>AND(Liste!#REF!,"AAAAAG/9n8U=")</f>
        <v>#REF!</v>
      </c>
      <c r="GQ4" t="e">
        <f>AND(Liste!F89,"AAAAAG/9n8Y=")</f>
        <v>#VALUE!</v>
      </c>
      <c r="GR4" t="e">
        <f>AND(Liste!G89,"AAAAAG/9n8c=")</f>
        <v>#VALUE!</v>
      </c>
      <c r="GS4" t="e">
        <f>AND(Liste!H89,"AAAAAG/9n8g=")</f>
        <v>#VALUE!</v>
      </c>
      <c r="GT4" t="e">
        <f>AND(Liste!I89,"AAAAAG/9n8k=")</f>
        <v>#VALUE!</v>
      </c>
      <c r="GU4" t="e">
        <f>AND(Liste!J89,"AAAAAG/9n8o=")</f>
        <v>#VALUE!</v>
      </c>
      <c r="GV4" t="e">
        <f>AND(Liste!#REF!,"AAAAAG/9n8s=")</f>
        <v>#REF!</v>
      </c>
      <c r="GW4" t="e">
        <f>AND(Liste!#REF!,"AAAAAG/9n8w=")</f>
        <v>#REF!</v>
      </c>
      <c r="GX4" t="e">
        <f>AND(Liste!#REF!,"AAAAAG/9n80=")</f>
        <v>#REF!</v>
      </c>
      <c r="GY4" t="e">
        <f>AND(Liste!#REF!,"AAAAAG/9n84=")</f>
        <v>#REF!</v>
      </c>
      <c r="GZ4" t="e">
        <f>AND(Liste!#REF!,"AAAAAG/9n88=")</f>
        <v>#REF!</v>
      </c>
      <c r="HA4" t="e">
        <f>AND(Liste!#REF!,"AAAAAG/9n9A=")</f>
        <v>#REF!</v>
      </c>
      <c r="HB4" t="e">
        <f>AND(Liste!#REF!,"AAAAAG/9n9E=")</f>
        <v>#REF!</v>
      </c>
      <c r="HC4" t="e">
        <f>AND(Liste!#REF!,"AAAAAG/9n9I=")</f>
        <v>#REF!</v>
      </c>
      <c r="HD4" t="e">
        <f>AND(Liste!#REF!,"AAAAAG/9n9M=")</f>
        <v>#REF!</v>
      </c>
      <c r="HE4" t="e">
        <f>AND(Liste!#REF!,"AAAAAG/9n9Q=")</f>
        <v>#REF!</v>
      </c>
      <c r="HF4" t="e">
        <f>AND(Liste!#REF!,"AAAAAG/9n9U=")</f>
        <v>#REF!</v>
      </c>
      <c r="HG4" t="e">
        <f>AND(Liste!#REF!,"AAAAAG/9n9Y=")</f>
        <v>#REF!</v>
      </c>
      <c r="HH4" t="e">
        <f>AND(Liste!#REF!,"AAAAAG/9n9c=")</f>
        <v>#REF!</v>
      </c>
      <c r="HI4" t="e">
        <f>AND(Liste!#REF!,"AAAAAG/9n9g=")</f>
        <v>#REF!</v>
      </c>
      <c r="HJ4" t="e">
        <f>AND(Liste!#REF!,"AAAAAG/9n9k=")</f>
        <v>#REF!</v>
      </c>
      <c r="HK4" t="e">
        <f>AND(Liste!#REF!,"AAAAAG/9n9o=")</f>
        <v>#REF!</v>
      </c>
      <c r="HL4" t="e">
        <f>AND(Liste!#REF!,"AAAAAG/9n9s=")</f>
        <v>#REF!</v>
      </c>
      <c r="HM4" t="e">
        <f>AND(Liste!#REF!,"AAAAAG/9n9w=")</f>
        <v>#REF!</v>
      </c>
      <c r="HN4" t="e">
        <f>AND(Liste!#REF!,"AAAAAG/9n90=")</f>
        <v>#REF!</v>
      </c>
      <c r="HO4" t="e">
        <f>AND(Liste!#REF!,"AAAAAG/9n94=")</f>
        <v>#REF!</v>
      </c>
      <c r="HP4" t="e">
        <f>AND(Liste!#REF!,"AAAAAG/9n98=")</f>
        <v>#REF!</v>
      </c>
      <c r="HQ4">
        <f>IF(Liste!34:34,"AAAAAG/9n+A=",0)</f>
        <v>0</v>
      </c>
      <c r="HR4" t="b">
        <f>AND(Liste!A34,"AAAAAG/9n+E=")</f>
        <v>1</v>
      </c>
      <c r="HS4" t="e">
        <f>AND(Liste!#REF!,"AAAAAG/9n+I=")</f>
        <v>#REF!</v>
      </c>
      <c r="HT4" t="e">
        <f>AND(Liste!#REF!,"AAAAAG/9n+M=")</f>
        <v>#REF!</v>
      </c>
      <c r="HU4" t="e">
        <f>AND(Liste!#REF!,"AAAAAG/9n+Q=")</f>
        <v>#REF!</v>
      </c>
      <c r="HV4" t="e">
        <f>AND(Liste!F90,"AAAAAG/9n+U=")</f>
        <v>#VALUE!</v>
      </c>
      <c r="HW4" t="e">
        <f>AND(Liste!G90,"AAAAAG/9n+Y=")</f>
        <v>#VALUE!</v>
      </c>
      <c r="HX4" t="e">
        <f>AND(Liste!H90,"AAAAAG/9n+c=")</f>
        <v>#VALUE!</v>
      </c>
      <c r="HY4" t="e">
        <f>AND(Liste!I90,"AAAAAG/9n+g=")</f>
        <v>#VALUE!</v>
      </c>
      <c r="HZ4" t="e">
        <f>AND(Liste!J90,"AAAAAG/9n+k=")</f>
        <v>#VALUE!</v>
      </c>
      <c r="IA4" t="e">
        <f>AND(Liste!#REF!,"AAAAAG/9n+o=")</f>
        <v>#REF!</v>
      </c>
      <c r="IB4" t="e">
        <f>AND(Liste!#REF!,"AAAAAG/9n+s=")</f>
        <v>#REF!</v>
      </c>
      <c r="IC4" t="e">
        <f>AND(Liste!#REF!,"AAAAAG/9n+w=")</f>
        <v>#REF!</v>
      </c>
      <c r="ID4" t="e">
        <f>AND(Liste!#REF!,"AAAAAG/9n+0=")</f>
        <v>#REF!</v>
      </c>
      <c r="IE4" t="e">
        <f>AND(Liste!#REF!,"AAAAAG/9n+4=")</f>
        <v>#REF!</v>
      </c>
      <c r="IF4" t="e">
        <f>AND(Liste!#REF!,"AAAAAG/9n+8=")</f>
        <v>#REF!</v>
      </c>
      <c r="IG4" t="e">
        <f>AND(Liste!#REF!,"AAAAAG/9n/A=")</f>
        <v>#REF!</v>
      </c>
      <c r="IH4" t="e">
        <f>AND(Liste!#REF!,"AAAAAG/9n/E=")</f>
        <v>#REF!</v>
      </c>
      <c r="II4" t="e">
        <f>AND(Liste!#REF!,"AAAAAG/9n/I=")</f>
        <v>#REF!</v>
      </c>
      <c r="IJ4" t="e">
        <f>AND(Liste!#REF!,"AAAAAG/9n/M=")</f>
        <v>#REF!</v>
      </c>
      <c r="IK4" t="e">
        <f>AND(Liste!#REF!,"AAAAAG/9n/Q=")</f>
        <v>#REF!</v>
      </c>
      <c r="IL4" t="e">
        <f>AND(Liste!#REF!,"AAAAAG/9n/U=")</f>
        <v>#REF!</v>
      </c>
      <c r="IM4" t="e">
        <f>AND(Liste!#REF!,"AAAAAG/9n/Y=")</f>
        <v>#REF!</v>
      </c>
      <c r="IN4" t="e">
        <f>AND(Liste!#REF!,"AAAAAG/9n/c=")</f>
        <v>#REF!</v>
      </c>
      <c r="IO4" t="e">
        <f>AND(Liste!#REF!,"AAAAAG/9n/g=")</f>
        <v>#REF!</v>
      </c>
      <c r="IP4" t="e">
        <f>AND(Liste!#REF!,"AAAAAG/9n/k=")</f>
        <v>#REF!</v>
      </c>
      <c r="IQ4" t="e">
        <f>AND(Liste!#REF!,"AAAAAG/9n/o=")</f>
        <v>#REF!</v>
      </c>
      <c r="IR4" t="e">
        <f>AND(Liste!#REF!,"AAAAAG/9n/s=")</f>
        <v>#REF!</v>
      </c>
      <c r="IS4" t="e">
        <f>AND(Liste!#REF!,"AAAAAG/9n/w=")</f>
        <v>#REF!</v>
      </c>
      <c r="IT4" t="e">
        <f>AND(Liste!#REF!,"AAAAAG/9n/0=")</f>
        <v>#REF!</v>
      </c>
      <c r="IU4" t="e">
        <f>AND(Liste!#REF!,"AAAAAG/9n/4=")</f>
        <v>#REF!</v>
      </c>
      <c r="IV4">
        <f>IF(Liste!35:35,"AAAAAG/9n/8=",0)</f>
        <v>0</v>
      </c>
    </row>
    <row r="5" spans="1:256" x14ac:dyDescent="0.2">
      <c r="A5" t="b">
        <f>AND(Liste!A35,"AAAAAHbcuQA=")</f>
        <v>1</v>
      </c>
      <c r="B5" t="e">
        <f>AND(Liste!#REF!,"AAAAAHbcuQE=")</f>
        <v>#REF!</v>
      </c>
      <c r="C5" t="e">
        <f>AND(Liste!#REF!,"AAAAAHbcuQI=")</f>
        <v>#REF!</v>
      </c>
      <c r="D5" t="e">
        <f>AND(Liste!#REF!,"AAAAAHbcuQM=")</f>
        <v>#REF!</v>
      </c>
      <c r="E5" t="e">
        <f>AND(Liste!F91,"AAAAAHbcuQQ=")</f>
        <v>#VALUE!</v>
      </c>
      <c r="F5" t="e">
        <f>AND(Liste!G91,"AAAAAHbcuQU=")</f>
        <v>#VALUE!</v>
      </c>
      <c r="G5" t="e">
        <f>AND(Liste!H91,"AAAAAHbcuQY=")</f>
        <v>#VALUE!</v>
      </c>
      <c r="H5" t="e">
        <f>AND(Liste!I91,"AAAAAHbcuQc=")</f>
        <v>#VALUE!</v>
      </c>
      <c r="I5" t="e">
        <f>AND(Liste!J91,"AAAAAHbcuQg=")</f>
        <v>#VALUE!</v>
      </c>
      <c r="J5" t="e">
        <f>AND(Liste!#REF!,"AAAAAHbcuQk=")</f>
        <v>#REF!</v>
      </c>
      <c r="K5" t="e">
        <f>AND(Liste!#REF!,"AAAAAHbcuQo=")</f>
        <v>#REF!</v>
      </c>
      <c r="L5" t="e">
        <f>AND(Liste!#REF!,"AAAAAHbcuQs=")</f>
        <v>#REF!</v>
      </c>
      <c r="M5" t="e">
        <f>AND(Liste!#REF!,"AAAAAHbcuQw=")</f>
        <v>#REF!</v>
      </c>
      <c r="N5" t="e">
        <f>AND(Liste!#REF!,"AAAAAHbcuQ0=")</f>
        <v>#REF!</v>
      </c>
      <c r="O5" t="e">
        <f>AND(Liste!#REF!,"AAAAAHbcuQ4=")</f>
        <v>#REF!</v>
      </c>
      <c r="P5" t="e">
        <f>AND(Liste!#REF!,"AAAAAHbcuQ8=")</f>
        <v>#REF!</v>
      </c>
      <c r="Q5" t="e">
        <f>AND(Liste!#REF!,"AAAAAHbcuRA=")</f>
        <v>#REF!</v>
      </c>
      <c r="R5" t="e">
        <f>AND(Liste!#REF!,"AAAAAHbcuRE=")</f>
        <v>#REF!</v>
      </c>
      <c r="S5" t="e">
        <f>AND(Liste!#REF!,"AAAAAHbcuRI=")</f>
        <v>#REF!</v>
      </c>
      <c r="T5" t="e">
        <f>AND(Liste!#REF!,"AAAAAHbcuRM=")</f>
        <v>#REF!</v>
      </c>
      <c r="U5" t="e">
        <f>AND(Liste!#REF!,"AAAAAHbcuRQ=")</f>
        <v>#REF!</v>
      </c>
      <c r="V5" t="e">
        <f>AND(Liste!#REF!,"AAAAAHbcuRU=")</f>
        <v>#REF!</v>
      </c>
      <c r="W5" t="e">
        <f>AND(Liste!#REF!,"AAAAAHbcuRY=")</f>
        <v>#REF!</v>
      </c>
      <c r="X5" t="e">
        <f>AND(Liste!#REF!,"AAAAAHbcuRc=")</f>
        <v>#REF!</v>
      </c>
      <c r="Y5" t="e">
        <f>AND(Liste!#REF!,"AAAAAHbcuRg=")</f>
        <v>#REF!</v>
      </c>
      <c r="Z5" t="e">
        <f>AND(Liste!#REF!,"AAAAAHbcuRk=")</f>
        <v>#REF!</v>
      </c>
      <c r="AA5" t="e">
        <f>AND(Liste!#REF!,"AAAAAHbcuRo=")</f>
        <v>#REF!</v>
      </c>
      <c r="AB5" t="e">
        <f>AND(Liste!#REF!,"AAAAAHbcuRs=")</f>
        <v>#REF!</v>
      </c>
      <c r="AC5" t="e">
        <f>AND(Liste!#REF!,"AAAAAHbcuRw=")</f>
        <v>#REF!</v>
      </c>
      <c r="AD5" t="e">
        <f>AND(Liste!#REF!,"AAAAAHbcuR0=")</f>
        <v>#REF!</v>
      </c>
      <c r="AE5">
        <f>IF(Liste!47:47,"AAAAAHbcuR4=",0)</f>
        <v>0</v>
      </c>
      <c r="AF5" t="b">
        <f>AND(Liste!A47,"AAAAAHbcuR8=")</f>
        <v>1</v>
      </c>
      <c r="AG5" t="e">
        <f>AND(Liste!#REF!,"AAAAAHbcuSA=")</f>
        <v>#REF!</v>
      </c>
      <c r="AH5" t="e">
        <f>AND(Liste!#REF!,"AAAAAHbcuSE=")</f>
        <v>#REF!</v>
      </c>
      <c r="AI5" t="e">
        <f>AND(Liste!#REF!,"AAAAAHbcuSI=")</f>
        <v>#REF!</v>
      </c>
      <c r="AJ5" t="e">
        <f>AND(Liste!F92,"AAAAAHbcuSM=")</f>
        <v>#VALUE!</v>
      </c>
      <c r="AK5" t="e">
        <f>AND(Liste!G92,"AAAAAHbcuSQ=")</f>
        <v>#VALUE!</v>
      </c>
      <c r="AL5" t="e">
        <f>AND(Liste!H92,"AAAAAHbcuSU=")</f>
        <v>#VALUE!</v>
      </c>
      <c r="AM5" t="e">
        <f>AND(Liste!I92,"AAAAAHbcuSY=")</f>
        <v>#VALUE!</v>
      </c>
      <c r="AN5" t="e">
        <f>AND(Liste!J92,"AAAAAHbcuSc=")</f>
        <v>#VALUE!</v>
      </c>
      <c r="AO5" t="e">
        <f>AND(Liste!#REF!,"AAAAAHbcuSg=")</f>
        <v>#REF!</v>
      </c>
      <c r="AP5" t="e">
        <f>AND(Liste!#REF!,"AAAAAHbcuSk=")</f>
        <v>#REF!</v>
      </c>
      <c r="AQ5" t="e">
        <f>AND(Liste!#REF!,"AAAAAHbcuSo=")</f>
        <v>#REF!</v>
      </c>
      <c r="AR5" t="e">
        <f>AND(Liste!#REF!,"AAAAAHbcuSs=")</f>
        <v>#REF!</v>
      </c>
      <c r="AS5" t="e">
        <f>AND(Liste!#REF!,"AAAAAHbcuSw=")</f>
        <v>#REF!</v>
      </c>
      <c r="AT5" t="e">
        <f>AND(Liste!#REF!,"AAAAAHbcuS0=")</f>
        <v>#REF!</v>
      </c>
      <c r="AU5" t="e">
        <f>AND(Liste!#REF!,"AAAAAHbcuS4=")</f>
        <v>#REF!</v>
      </c>
      <c r="AV5" t="e">
        <f>AND(Liste!#REF!,"AAAAAHbcuS8=")</f>
        <v>#REF!</v>
      </c>
      <c r="AW5" t="e">
        <f>AND(Liste!#REF!,"AAAAAHbcuTA=")</f>
        <v>#REF!</v>
      </c>
      <c r="AX5" t="e">
        <f>AND(Liste!#REF!,"AAAAAHbcuTE=")</f>
        <v>#REF!</v>
      </c>
      <c r="AY5" t="e">
        <f>AND(Liste!#REF!,"AAAAAHbcuTI=")</f>
        <v>#REF!</v>
      </c>
      <c r="AZ5" t="e">
        <f>AND(Liste!#REF!,"AAAAAHbcuTM=")</f>
        <v>#REF!</v>
      </c>
      <c r="BA5" t="e">
        <f>AND(Liste!#REF!,"AAAAAHbcuTQ=")</f>
        <v>#REF!</v>
      </c>
      <c r="BB5" t="e">
        <f>AND(Liste!#REF!,"AAAAAHbcuTU=")</f>
        <v>#REF!</v>
      </c>
      <c r="BC5" t="e">
        <f>AND(Liste!#REF!,"AAAAAHbcuTY=")</f>
        <v>#REF!</v>
      </c>
      <c r="BD5" t="e">
        <f>AND(Liste!#REF!,"AAAAAHbcuTc=")</f>
        <v>#REF!</v>
      </c>
      <c r="BE5" t="e">
        <f>AND(Liste!#REF!,"AAAAAHbcuTg=")</f>
        <v>#REF!</v>
      </c>
      <c r="BF5" t="e">
        <f>AND(Liste!#REF!,"AAAAAHbcuTk=")</f>
        <v>#REF!</v>
      </c>
      <c r="BG5" t="e">
        <f>AND(Liste!#REF!,"AAAAAHbcuTo=")</f>
        <v>#REF!</v>
      </c>
      <c r="BH5" t="e">
        <f>AND(Liste!#REF!,"AAAAAHbcuTs=")</f>
        <v>#REF!</v>
      </c>
      <c r="BI5" t="e">
        <f>AND(Liste!#REF!,"AAAAAHbcuTw=")</f>
        <v>#REF!</v>
      </c>
      <c r="BJ5">
        <f>IF(Liste!48:48,"AAAAAHbcuT0=",0)</f>
        <v>0</v>
      </c>
      <c r="BK5" t="b">
        <f>AND(Liste!A48,"AAAAAHbcuT4=")</f>
        <v>1</v>
      </c>
      <c r="BL5" t="e">
        <f>AND(Liste!#REF!,"AAAAAHbcuT8=")</f>
        <v>#REF!</v>
      </c>
      <c r="BM5" t="e">
        <f>AND(Liste!#REF!,"AAAAAHbcuUA=")</f>
        <v>#REF!</v>
      </c>
      <c r="BN5" t="e">
        <f>AND(Liste!#REF!,"AAAAAHbcuUE=")</f>
        <v>#REF!</v>
      </c>
      <c r="BO5" t="e">
        <f>AND(Liste!F103,"AAAAAHbcuUI=")</f>
        <v>#VALUE!</v>
      </c>
      <c r="BP5" t="e">
        <f>AND(Liste!G103,"AAAAAHbcuUM=")</f>
        <v>#VALUE!</v>
      </c>
      <c r="BQ5" t="e">
        <f>AND(Liste!H103,"AAAAAHbcuUQ=")</f>
        <v>#VALUE!</v>
      </c>
      <c r="BR5" t="e">
        <f>AND(Liste!I103,"AAAAAHbcuUU=")</f>
        <v>#VALUE!</v>
      </c>
      <c r="BS5" t="e">
        <f>AND(Liste!J103,"AAAAAHbcuUY=")</f>
        <v>#VALUE!</v>
      </c>
      <c r="BT5" t="e">
        <f>AND(Liste!#REF!,"AAAAAHbcuUc=")</f>
        <v>#REF!</v>
      </c>
      <c r="BU5" t="e">
        <f>AND(Liste!#REF!,"AAAAAHbcuUg=")</f>
        <v>#REF!</v>
      </c>
      <c r="BV5" t="e">
        <f>AND(Liste!#REF!,"AAAAAHbcuUk=")</f>
        <v>#REF!</v>
      </c>
      <c r="BW5" t="e">
        <f>AND(Liste!#REF!,"AAAAAHbcuUo=")</f>
        <v>#REF!</v>
      </c>
      <c r="BX5" t="e">
        <f>AND(Liste!#REF!,"AAAAAHbcuUs=")</f>
        <v>#REF!</v>
      </c>
      <c r="BY5" t="e">
        <f>AND(Liste!#REF!,"AAAAAHbcuUw=")</f>
        <v>#REF!</v>
      </c>
      <c r="BZ5" t="e">
        <f>AND(Liste!#REF!,"AAAAAHbcuU0=")</f>
        <v>#REF!</v>
      </c>
      <c r="CA5" t="e">
        <f>AND(Liste!#REF!,"AAAAAHbcuU4=")</f>
        <v>#REF!</v>
      </c>
      <c r="CB5" t="e">
        <f>AND(Liste!#REF!,"AAAAAHbcuU8=")</f>
        <v>#REF!</v>
      </c>
      <c r="CC5" t="e">
        <f>AND(Liste!#REF!,"AAAAAHbcuVA=")</f>
        <v>#REF!</v>
      </c>
      <c r="CD5" t="e">
        <f>AND(Liste!#REF!,"AAAAAHbcuVE=")</f>
        <v>#REF!</v>
      </c>
      <c r="CE5" t="e">
        <f>AND(Liste!#REF!,"AAAAAHbcuVI=")</f>
        <v>#REF!</v>
      </c>
      <c r="CF5" t="e">
        <f>AND(Liste!#REF!,"AAAAAHbcuVM=")</f>
        <v>#REF!</v>
      </c>
      <c r="CG5" t="e">
        <f>AND(Liste!#REF!,"AAAAAHbcuVQ=")</f>
        <v>#REF!</v>
      </c>
      <c r="CH5" t="e">
        <f>AND(Liste!#REF!,"AAAAAHbcuVU=")</f>
        <v>#REF!</v>
      </c>
      <c r="CI5" t="e">
        <f>AND(Liste!#REF!,"AAAAAHbcuVY=")</f>
        <v>#REF!</v>
      </c>
      <c r="CJ5" t="e">
        <f>AND(Liste!#REF!,"AAAAAHbcuVc=")</f>
        <v>#REF!</v>
      </c>
      <c r="CK5" t="e">
        <f>AND(Liste!#REF!,"AAAAAHbcuVg=")</f>
        <v>#REF!</v>
      </c>
      <c r="CL5" t="e">
        <f>AND(Liste!#REF!,"AAAAAHbcuVk=")</f>
        <v>#REF!</v>
      </c>
      <c r="CM5" t="e">
        <f>AND(Liste!#REF!,"AAAAAHbcuVo=")</f>
        <v>#REF!</v>
      </c>
      <c r="CN5" t="e">
        <f>AND(Liste!#REF!,"AAAAAHbcuVs=")</f>
        <v>#REF!</v>
      </c>
      <c r="CO5">
        <f>IF(Liste!49:49,"AAAAAHbcuVw=",0)</f>
        <v>0</v>
      </c>
      <c r="CP5" t="b">
        <f>AND(Liste!A49,"AAAAAHbcuV0=")</f>
        <v>1</v>
      </c>
      <c r="CQ5" t="e">
        <f>AND(Liste!#REF!,"AAAAAHbcuV4=")</f>
        <v>#REF!</v>
      </c>
      <c r="CR5" t="e">
        <f>AND(Liste!#REF!,"AAAAAHbcuV8=")</f>
        <v>#REF!</v>
      </c>
      <c r="CS5" t="e">
        <f>AND(Liste!#REF!,"AAAAAHbcuWA=")</f>
        <v>#REF!</v>
      </c>
      <c r="CT5" t="e">
        <f>AND(Liste!F104,"AAAAAHbcuWE=")</f>
        <v>#VALUE!</v>
      </c>
      <c r="CU5" t="e">
        <f>AND(Liste!G104,"AAAAAHbcuWI=")</f>
        <v>#VALUE!</v>
      </c>
      <c r="CV5" t="e">
        <f>AND(Liste!H104,"AAAAAHbcuWM=")</f>
        <v>#VALUE!</v>
      </c>
      <c r="CW5" t="e">
        <f>AND(Liste!I104,"AAAAAHbcuWQ=")</f>
        <v>#VALUE!</v>
      </c>
      <c r="CX5" t="e">
        <f>AND(Liste!J104,"AAAAAHbcuWU=")</f>
        <v>#VALUE!</v>
      </c>
      <c r="CY5" t="e">
        <f>AND(Liste!#REF!,"AAAAAHbcuWY=")</f>
        <v>#REF!</v>
      </c>
      <c r="CZ5" t="e">
        <f>AND(Liste!#REF!,"AAAAAHbcuWc=")</f>
        <v>#REF!</v>
      </c>
      <c r="DA5" t="e">
        <f>AND(Liste!#REF!,"AAAAAHbcuWg=")</f>
        <v>#REF!</v>
      </c>
      <c r="DB5" t="e">
        <f>AND(Liste!#REF!,"AAAAAHbcuWk=")</f>
        <v>#REF!</v>
      </c>
      <c r="DC5" t="e">
        <f>AND(Liste!#REF!,"AAAAAHbcuWo=")</f>
        <v>#REF!</v>
      </c>
      <c r="DD5" t="e">
        <f>AND(Liste!#REF!,"AAAAAHbcuWs=")</f>
        <v>#REF!</v>
      </c>
      <c r="DE5" t="e">
        <f>AND(Liste!#REF!,"AAAAAHbcuWw=")</f>
        <v>#REF!</v>
      </c>
      <c r="DF5" t="e">
        <f>AND(Liste!#REF!,"AAAAAHbcuW0=")</f>
        <v>#REF!</v>
      </c>
      <c r="DG5" t="e">
        <f>AND(Liste!#REF!,"AAAAAHbcuW4=")</f>
        <v>#REF!</v>
      </c>
      <c r="DH5" t="e">
        <f>AND(Liste!#REF!,"AAAAAHbcuW8=")</f>
        <v>#REF!</v>
      </c>
      <c r="DI5" t="e">
        <f>AND(Liste!#REF!,"AAAAAHbcuXA=")</f>
        <v>#REF!</v>
      </c>
      <c r="DJ5" t="e">
        <f>AND(Liste!#REF!,"AAAAAHbcuXE=")</f>
        <v>#REF!</v>
      </c>
      <c r="DK5" t="e">
        <f>AND(Liste!#REF!,"AAAAAHbcuXI=")</f>
        <v>#REF!</v>
      </c>
      <c r="DL5" t="e">
        <f>AND(Liste!#REF!,"AAAAAHbcuXM=")</f>
        <v>#REF!</v>
      </c>
      <c r="DM5" t="e">
        <f>AND(Liste!#REF!,"AAAAAHbcuXQ=")</f>
        <v>#REF!</v>
      </c>
      <c r="DN5" t="e">
        <f>AND(Liste!#REF!,"AAAAAHbcuXU=")</f>
        <v>#REF!</v>
      </c>
      <c r="DO5" t="e">
        <f>AND(Liste!#REF!,"AAAAAHbcuXY=")</f>
        <v>#REF!</v>
      </c>
      <c r="DP5" t="e">
        <f>AND(Liste!#REF!,"AAAAAHbcuXc=")</f>
        <v>#REF!</v>
      </c>
      <c r="DQ5" t="e">
        <f>AND(Liste!#REF!,"AAAAAHbcuXg=")</f>
        <v>#REF!</v>
      </c>
      <c r="DR5" t="e">
        <f>AND(Liste!#REF!,"AAAAAHbcuXk=")</f>
        <v>#REF!</v>
      </c>
      <c r="DS5" t="e">
        <f>AND(Liste!#REF!,"AAAAAHbcuXo=")</f>
        <v>#REF!</v>
      </c>
      <c r="DT5">
        <f>IF(Liste!50:50,"AAAAAHbcuXs=",0)</f>
        <v>0</v>
      </c>
      <c r="DU5" t="b">
        <f>AND(Liste!A50,"AAAAAHbcuXw=")</f>
        <v>1</v>
      </c>
      <c r="DV5" t="e">
        <f>AND(Liste!#REF!,"AAAAAHbcuX0=")</f>
        <v>#REF!</v>
      </c>
      <c r="DW5" t="e">
        <f>AND(Liste!#REF!,"AAAAAHbcuX4=")</f>
        <v>#REF!</v>
      </c>
      <c r="DX5" t="e">
        <f>AND(Liste!#REF!,"AAAAAHbcuX8=")</f>
        <v>#REF!</v>
      </c>
      <c r="DY5" t="e">
        <f>AND(Liste!F105,"AAAAAHbcuYA=")</f>
        <v>#VALUE!</v>
      </c>
      <c r="DZ5" t="e">
        <f>AND(Liste!G105,"AAAAAHbcuYE=")</f>
        <v>#VALUE!</v>
      </c>
      <c r="EA5" t="e">
        <f>AND(Liste!H105,"AAAAAHbcuYI=")</f>
        <v>#VALUE!</v>
      </c>
      <c r="EB5" t="e">
        <f>AND(Liste!I105,"AAAAAHbcuYM=")</f>
        <v>#VALUE!</v>
      </c>
      <c r="EC5" t="e">
        <f>AND(Liste!J105,"AAAAAHbcuYQ=")</f>
        <v>#VALUE!</v>
      </c>
      <c r="ED5" t="e">
        <f>AND(Liste!#REF!,"AAAAAHbcuYU=")</f>
        <v>#REF!</v>
      </c>
      <c r="EE5" t="e">
        <f>AND(Liste!#REF!,"AAAAAHbcuYY=")</f>
        <v>#REF!</v>
      </c>
      <c r="EF5" t="e">
        <f>AND(Liste!#REF!,"AAAAAHbcuYc=")</f>
        <v>#REF!</v>
      </c>
      <c r="EG5" t="e">
        <f>AND(Liste!#REF!,"AAAAAHbcuYg=")</f>
        <v>#REF!</v>
      </c>
      <c r="EH5" t="e">
        <f>AND(Liste!#REF!,"AAAAAHbcuYk=")</f>
        <v>#REF!</v>
      </c>
      <c r="EI5" t="e">
        <f>AND(Liste!#REF!,"AAAAAHbcuYo=")</f>
        <v>#REF!</v>
      </c>
      <c r="EJ5" t="e">
        <f>AND(Liste!#REF!,"AAAAAHbcuYs=")</f>
        <v>#REF!</v>
      </c>
      <c r="EK5" t="e">
        <f>AND(Liste!#REF!,"AAAAAHbcuYw=")</f>
        <v>#REF!</v>
      </c>
      <c r="EL5" t="e">
        <f>AND(Liste!#REF!,"AAAAAHbcuY0=")</f>
        <v>#REF!</v>
      </c>
      <c r="EM5" t="e">
        <f>AND(Liste!#REF!,"AAAAAHbcuY4=")</f>
        <v>#REF!</v>
      </c>
      <c r="EN5" t="e">
        <f>AND(Liste!#REF!,"AAAAAHbcuY8=")</f>
        <v>#REF!</v>
      </c>
      <c r="EO5" t="e">
        <f>AND(Liste!#REF!,"AAAAAHbcuZA=")</f>
        <v>#REF!</v>
      </c>
      <c r="EP5" t="e">
        <f>AND(Liste!#REF!,"AAAAAHbcuZE=")</f>
        <v>#REF!</v>
      </c>
      <c r="EQ5" t="e">
        <f>AND(Liste!#REF!,"AAAAAHbcuZI=")</f>
        <v>#REF!</v>
      </c>
      <c r="ER5" t="e">
        <f>AND(Liste!#REF!,"AAAAAHbcuZM=")</f>
        <v>#REF!</v>
      </c>
      <c r="ES5" t="e">
        <f>AND(Liste!#REF!,"AAAAAHbcuZQ=")</f>
        <v>#REF!</v>
      </c>
      <c r="ET5" t="e">
        <f>AND(Liste!#REF!,"AAAAAHbcuZU=")</f>
        <v>#REF!</v>
      </c>
      <c r="EU5" t="e">
        <f>AND(Liste!#REF!,"AAAAAHbcuZY=")</f>
        <v>#REF!</v>
      </c>
      <c r="EV5" t="e">
        <f>AND(Liste!#REF!,"AAAAAHbcuZc=")</f>
        <v>#REF!</v>
      </c>
      <c r="EW5" t="e">
        <f>AND(Liste!#REF!,"AAAAAHbcuZg=")</f>
        <v>#REF!</v>
      </c>
      <c r="EX5" t="e">
        <f>AND(Liste!#REF!,"AAAAAHbcuZk=")</f>
        <v>#REF!</v>
      </c>
      <c r="EY5">
        <f>IF(Liste!51:51,"AAAAAHbcuZo=",0)</f>
        <v>0</v>
      </c>
      <c r="EZ5" t="b">
        <f>AND(Liste!A51,"AAAAAHbcuZs=")</f>
        <v>1</v>
      </c>
      <c r="FA5" t="e">
        <f>AND(Liste!#REF!,"AAAAAHbcuZw=")</f>
        <v>#REF!</v>
      </c>
      <c r="FB5" t="e">
        <f>AND(Liste!#REF!,"AAAAAHbcuZ0=")</f>
        <v>#REF!</v>
      </c>
      <c r="FC5" t="e">
        <f>AND(Liste!#REF!,"AAAAAHbcuZ4=")</f>
        <v>#REF!</v>
      </c>
      <c r="FD5" t="e">
        <f>AND(Liste!F109,"AAAAAHbcuZ8=")</f>
        <v>#VALUE!</v>
      </c>
      <c r="FE5" t="e">
        <f>AND(Liste!G109,"AAAAAHbcuaA=")</f>
        <v>#VALUE!</v>
      </c>
      <c r="FF5" t="e">
        <f>AND(Liste!H109,"AAAAAHbcuaE=")</f>
        <v>#VALUE!</v>
      </c>
      <c r="FG5" t="e">
        <f>AND(Liste!I109,"AAAAAHbcuaI=")</f>
        <v>#VALUE!</v>
      </c>
      <c r="FH5" t="e">
        <f>AND(Liste!J109,"AAAAAHbcuaM=")</f>
        <v>#VALUE!</v>
      </c>
      <c r="FI5" t="e">
        <f>AND(Liste!#REF!,"AAAAAHbcuaQ=")</f>
        <v>#REF!</v>
      </c>
      <c r="FJ5" t="e">
        <f>AND(Liste!#REF!,"AAAAAHbcuaU=")</f>
        <v>#REF!</v>
      </c>
      <c r="FK5" t="e">
        <f>AND(Liste!#REF!,"AAAAAHbcuaY=")</f>
        <v>#REF!</v>
      </c>
      <c r="FL5" t="e">
        <f>AND(Liste!#REF!,"AAAAAHbcuac=")</f>
        <v>#REF!</v>
      </c>
      <c r="FM5" t="e">
        <f>AND(Liste!#REF!,"AAAAAHbcuag=")</f>
        <v>#REF!</v>
      </c>
      <c r="FN5" t="e">
        <f>AND(Liste!#REF!,"AAAAAHbcuak=")</f>
        <v>#REF!</v>
      </c>
      <c r="FO5" t="e">
        <f>AND(Liste!#REF!,"AAAAAHbcuao=")</f>
        <v>#REF!</v>
      </c>
      <c r="FP5" t="e">
        <f>AND(Liste!#REF!,"AAAAAHbcuas=")</f>
        <v>#REF!</v>
      </c>
      <c r="FQ5" t="e">
        <f>AND(Liste!#REF!,"AAAAAHbcuaw=")</f>
        <v>#REF!</v>
      </c>
      <c r="FR5" t="e">
        <f>AND(Liste!#REF!,"AAAAAHbcua0=")</f>
        <v>#REF!</v>
      </c>
      <c r="FS5" t="e">
        <f>AND(Liste!#REF!,"AAAAAHbcua4=")</f>
        <v>#REF!</v>
      </c>
      <c r="FT5" t="e">
        <f>AND(Liste!#REF!,"AAAAAHbcua8=")</f>
        <v>#REF!</v>
      </c>
      <c r="FU5" t="e">
        <f>AND(Liste!#REF!,"AAAAAHbcubA=")</f>
        <v>#REF!</v>
      </c>
      <c r="FV5" t="e">
        <f>AND(Liste!#REF!,"AAAAAHbcubE=")</f>
        <v>#REF!</v>
      </c>
      <c r="FW5" t="e">
        <f>AND(Liste!#REF!,"AAAAAHbcubI=")</f>
        <v>#REF!</v>
      </c>
      <c r="FX5" t="e">
        <f>AND(Liste!#REF!,"AAAAAHbcubM=")</f>
        <v>#REF!</v>
      </c>
      <c r="FY5" t="e">
        <f>AND(Liste!#REF!,"AAAAAHbcubQ=")</f>
        <v>#REF!</v>
      </c>
      <c r="FZ5" t="e">
        <f>AND(Liste!#REF!,"AAAAAHbcubU=")</f>
        <v>#REF!</v>
      </c>
      <c r="GA5" t="e">
        <f>AND(Liste!#REF!,"AAAAAHbcubY=")</f>
        <v>#REF!</v>
      </c>
      <c r="GB5" t="e">
        <f>AND(Liste!#REF!,"AAAAAHbcubc=")</f>
        <v>#REF!</v>
      </c>
      <c r="GC5" t="e">
        <f>AND(Liste!#REF!,"AAAAAHbcubg=")</f>
        <v>#REF!</v>
      </c>
      <c r="GD5">
        <f>IF(Liste!52:52,"AAAAAHbcubk=",0)</f>
        <v>0</v>
      </c>
      <c r="GE5" t="b">
        <f>AND(Liste!A52,"AAAAAHbcubo=")</f>
        <v>1</v>
      </c>
      <c r="GF5" t="e">
        <f>AND(Liste!#REF!,"AAAAAHbcubs=")</f>
        <v>#REF!</v>
      </c>
      <c r="GG5" t="e">
        <f>AND(Liste!#REF!,"AAAAAHbcubw=")</f>
        <v>#REF!</v>
      </c>
      <c r="GH5" t="e">
        <f>AND(Liste!#REF!,"AAAAAHbcub0=")</f>
        <v>#REF!</v>
      </c>
      <c r="GI5" t="e">
        <f>AND(Liste!F110,"AAAAAHbcub4=")</f>
        <v>#VALUE!</v>
      </c>
      <c r="GJ5" t="e">
        <f>AND(Liste!G110,"AAAAAHbcub8=")</f>
        <v>#VALUE!</v>
      </c>
      <c r="GK5" t="e">
        <f>AND(Liste!H110,"AAAAAHbcucA=")</f>
        <v>#VALUE!</v>
      </c>
      <c r="GL5" t="e">
        <f>AND(Liste!I110,"AAAAAHbcucE=")</f>
        <v>#VALUE!</v>
      </c>
      <c r="GM5" t="e">
        <f>AND(Liste!J110,"AAAAAHbcucI=")</f>
        <v>#VALUE!</v>
      </c>
      <c r="GN5" t="e">
        <f>AND(Liste!#REF!,"AAAAAHbcucM=")</f>
        <v>#REF!</v>
      </c>
      <c r="GO5" t="e">
        <f>AND(Liste!#REF!,"AAAAAHbcucQ=")</f>
        <v>#REF!</v>
      </c>
      <c r="GP5" t="e">
        <f>AND(Liste!#REF!,"AAAAAHbcucU=")</f>
        <v>#REF!</v>
      </c>
      <c r="GQ5" t="e">
        <f>AND(Liste!#REF!,"AAAAAHbcucY=")</f>
        <v>#REF!</v>
      </c>
      <c r="GR5" t="e">
        <f>AND(Liste!#REF!,"AAAAAHbcucc=")</f>
        <v>#REF!</v>
      </c>
      <c r="GS5" t="e">
        <f>AND(Liste!#REF!,"AAAAAHbcucg=")</f>
        <v>#REF!</v>
      </c>
      <c r="GT5" t="e">
        <f>AND(Liste!#REF!,"AAAAAHbcuck=")</f>
        <v>#REF!</v>
      </c>
      <c r="GU5" t="e">
        <f>AND(Liste!#REF!,"AAAAAHbcuco=")</f>
        <v>#REF!</v>
      </c>
      <c r="GV5" t="e">
        <f>AND(Liste!#REF!,"AAAAAHbcucs=")</f>
        <v>#REF!</v>
      </c>
      <c r="GW5" t="e">
        <f>AND(Liste!#REF!,"AAAAAHbcucw=")</f>
        <v>#REF!</v>
      </c>
      <c r="GX5" t="e">
        <f>AND(Liste!#REF!,"AAAAAHbcuc0=")</f>
        <v>#REF!</v>
      </c>
      <c r="GY5" t="e">
        <f>AND(Liste!#REF!,"AAAAAHbcuc4=")</f>
        <v>#REF!</v>
      </c>
      <c r="GZ5" t="e">
        <f>AND(Liste!#REF!,"AAAAAHbcuc8=")</f>
        <v>#REF!</v>
      </c>
      <c r="HA5" t="e">
        <f>AND(Liste!#REF!,"AAAAAHbcudA=")</f>
        <v>#REF!</v>
      </c>
      <c r="HB5" t="e">
        <f>AND(Liste!#REF!,"AAAAAHbcudE=")</f>
        <v>#REF!</v>
      </c>
      <c r="HC5" t="e">
        <f>AND(Liste!#REF!,"AAAAAHbcudI=")</f>
        <v>#REF!</v>
      </c>
      <c r="HD5" t="e">
        <f>AND(Liste!#REF!,"AAAAAHbcudM=")</f>
        <v>#REF!</v>
      </c>
      <c r="HE5" t="e">
        <f>AND(Liste!#REF!,"AAAAAHbcudQ=")</f>
        <v>#REF!</v>
      </c>
      <c r="HF5" t="e">
        <f>AND(Liste!#REF!,"AAAAAHbcudU=")</f>
        <v>#REF!</v>
      </c>
      <c r="HG5" t="e">
        <f>AND(Liste!#REF!,"AAAAAHbcudY=")</f>
        <v>#REF!</v>
      </c>
      <c r="HH5" t="e">
        <f>AND(Liste!#REF!,"AAAAAHbcudc=")</f>
        <v>#REF!</v>
      </c>
      <c r="HI5">
        <f>IF(Liste!53:53,"AAAAAHbcudg=",0)</f>
        <v>0</v>
      </c>
      <c r="HJ5" t="b">
        <f>AND(Liste!A53,"AAAAAHbcudk=")</f>
        <v>1</v>
      </c>
      <c r="HK5" t="e">
        <f>AND(Liste!#REF!,"AAAAAHbcudo=")</f>
        <v>#REF!</v>
      </c>
      <c r="HL5" t="e">
        <f>AND(Liste!#REF!,"AAAAAHbcuds=")</f>
        <v>#REF!</v>
      </c>
      <c r="HM5" t="e">
        <f>AND(Liste!#REF!,"AAAAAHbcudw=")</f>
        <v>#REF!</v>
      </c>
      <c r="HN5" t="e">
        <f>AND(Liste!F112,"AAAAAHbcud0=")</f>
        <v>#VALUE!</v>
      </c>
      <c r="HO5" t="e">
        <f>AND(Liste!G112,"AAAAAHbcud4=")</f>
        <v>#VALUE!</v>
      </c>
      <c r="HP5" t="e">
        <f>AND(Liste!H112,"AAAAAHbcud8=")</f>
        <v>#VALUE!</v>
      </c>
      <c r="HQ5" t="e">
        <f>AND(Liste!I112,"AAAAAHbcueA=")</f>
        <v>#VALUE!</v>
      </c>
      <c r="HR5" t="e">
        <f>AND(Liste!J112,"AAAAAHbcueE=")</f>
        <v>#VALUE!</v>
      </c>
      <c r="HS5" t="e">
        <f>AND(Liste!#REF!,"AAAAAHbcueI=")</f>
        <v>#REF!</v>
      </c>
      <c r="HT5" t="e">
        <f>AND(Liste!#REF!,"AAAAAHbcueM=")</f>
        <v>#REF!</v>
      </c>
      <c r="HU5" t="e">
        <f>AND(Liste!#REF!,"AAAAAHbcueQ=")</f>
        <v>#REF!</v>
      </c>
      <c r="HV5" t="e">
        <f>AND(Liste!#REF!,"AAAAAHbcueU=")</f>
        <v>#REF!</v>
      </c>
      <c r="HW5" t="e">
        <f>AND(Liste!#REF!,"AAAAAHbcueY=")</f>
        <v>#REF!</v>
      </c>
      <c r="HX5" t="e">
        <f>AND(Liste!#REF!,"AAAAAHbcuec=")</f>
        <v>#REF!</v>
      </c>
      <c r="HY5" t="e">
        <f>AND(Liste!#REF!,"AAAAAHbcueg=")</f>
        <v>#REF!</v>
      </c>
      <c r="HZ5" t="e">
        <f>AND(Liste!#REF!,"AAAAAHbcuek=")</f>
        <v>#REF!</v>
      </c>
      <c r="IA5" t="e">
        <f>AND(Liste!#REF!,"AAAAAHbcueo=")</f>
        <v>#REF!</v>
      </c>
      <c r="IB5" t="e">
        <f>AND(Liste!#REF!,"AAAAAHbcues=")</f>
        <v>#REF!</v>
      </c>
      <c r="IC5" t="e">
        <f>AND(Liste!#REF!,"AAAAAHbcuew=")</f>
        <v>#REF!</v>
      </c>
      <c r="ID5" t="e">
        <f>AND(Liste!#REF!,"AAAAAHbcue0=")</f>
        <v>#REF!</v>
      </c>
      <c r="IE5" t="e">
        <f>AND(Liste!#REF!,"AAAAAHbcue4=")</f>
        <v>#REF!</v>
      </c>
      <c r="IF5" t="e">
        <f>AND(Liste!#REF!,"AAAAAHbcue8=")</f>
        <v>#REF!</v>
      </c>
      <c r="IG5" t="e">
        <f>AND(Liste!#REF!,"AAAAAHbcufA=")</f>
        <v>#REF!</v>
      </c>
      <c r="IH5" t="e">
        <f>AND(Liste!#REF!,"AAAAAHbcufE=")</f>
        <v>#REF!</v>
      </c>
      <c r="II5" t="e">
        <f>AND(Liste!#REF!,"AAAAAHbcufI=")</f>
        <v>#REF!</v>
      </c>
      <c r="IJ5" t="e">
        <f>AND(Liste!#REF!,"AAAAAHbcufM=")</f>
        <v>#REF!</v>
      </c>
      <c r="IK5" t="e">
        <f>AND(Liste!#REF!,"AAAAAHbcufQ=")</f>
        <v>#REF!</v>
      </c>
      <c r="IL5" t="e">
        <f>AND(Liste!#REF!,"AAAAAHbcufU=")</f>
        <v>#REF!</v>
      </c>
      <c r="IM5" t="e">
        <f>AND(Liste!#REF!,"AAAAAHbcufY=")</f>
        <v>#REF!</v>
      </c>
      <c r="IN5">
        <f>IF(Liste!54:54,"AAAAAHbcufc=",0)</f>
        <v>0</v>
      </c>
      <c r="IO5" t="b">
        <f>AND(Liste!A54,"AAAAAHbcufg=")</f>
        <v>1</v>
      </c>
      <c r="IP5" t="e">
        <f>AND(Liste!#REF!,"AAAAAHbcufk=")</f>
        <v>#REF!</v>
      </c>
      <c r="IQ5" t="e">
        <f>AND(Liste!#REF!,"AAAAAHbcufo=")</f>
        <v>#REF!</v>
      </c>
      <c r="IR5" t="e">
        <f>AND(Liste!#REF!,"AAAAAHbcufs=")</f>
        <v>#REF!</v>
      </c>
      <c r="IS5" t="e">
        <f>AND(Liste!#REF!,"AAAAAHbcufw=")</f>
        <v>#REF!</v>
      </c>
      <c r="IT5" t="e">
        <f>AND(Liste!#REF!,"AAAAAHbcuf0=")</f>
        <v>#REF!</v>
      </c>
      <c r="IU5" t="e">
        <f>AND(Liste!#REF!,"AAAAAHbcuf4=")</f>
        <v>#REF!</v>
      </c>
      <c r="IV5" t="e">
        <f>AND(Liste!#REF!,"AAAAAHbcuf8=")</f>
        <v>#REF!</v>
      </c>
    </row>
    <row r="6" spans="1:256" x14ac:dyDescent="0.2">
      <c r="A6" t="e">
        <f>AND(Liste!#REF!,"AAAAABv7+AA=")</f>
        <v>#REF!</v>
      </c>
      <c r="B6" t="e">
        <f>AND(Liste!#REF!,"AAAAABv7+AE=")</f>
        <v>#REF!</v>
      </c>
      <c r="C6" t="e">
        <f>AND(Liste!#REF!,"AAAAABv7+AI=")</f>
        <v>#REF!</v>
      </c>
      <c r="D6" t="e">
        <f>AND(Liste!#REF!,"AAAAABv7+AM=")</f>
        <v>#REF!</v>
      </c>
      <c r="E6" t="e">
        <f>AND(Liste!#REF!,"AAAAABv7+AQ=")</f>
        <v>#REF!</v>
      </c>
      <c r="F6" t="e">
        <f>AND(Liste!#REF!,"AAAAABv7+AU=")</f>
        <v>#REF!</v>
      </c>
      <c r="G6" t="e">
        <f>AND(Liste!#REF!,"AAAAABv7+AY=")</f>
        <v>#REF!</v>
      </c>
      <c r="H6" t="e">
        <f>AND(Liste!#REF!,"AAAAABv7+Ac=")</f>
        <v>#REF!</v>
      </c>
      <c r="I6" t="e">
        <f>AND(Liste!#REF!,"AAAAABv7+Ag=")</f>
        <v>#REF!</v>
      </c>
      <c r="J6" t="e">
        <f>AND(Liste!#REF!,"AAAAABv7+Ak=")</f>
        <v>#REF!</v>
      </c>
      <c r="K6" t="e">
        <f>AND(Liste!#REF!,"AAAAABv7+Ao=")</f>
        <v>#REF!</v>
      </c>
      <c r="L6" t="e">
        <f>AND(Liste!#REF!,"AAAAABv7+As=")</f>
        <v>#REF!</v>
      </c>
      <c r="M6" t="e">
        <f>AND(Liste!#REF!,"AAAAABv7+Aw=")</f>
        <v>#REF!</v>
      </c>
      <c r="N6" t="e">
        <f>AND(Liste!#REF!,"AAAAABv7+A0=")</f>
        <v>#REF!</v>
      </c>
      <c r="O6" t="e">
        <f>AND(Liste!#REF!,"AAAAABv7+A4=")</f>
        <v>#REF!</v>
      </c>
      <c r="P6" t="e">
        <f>AND(Liste!#REF!,"AAAAABv7+A8=")</f>
        <v>#REF!</v>
      </c>
      <c r="Q6" t="e">
        <f>AND(Liste!#REF!,"AAAAABv7+BA=")</f>
        <v>#REF!</v>
      </c>
      <c r="R6" t="e">
        <f>AND(Liste!#REF!,"AAAAABv7+BE=")</f>
        <v>#REF!</v>
      </c>
      <c r="S6" t="e">
        <f>AND(Liste!#REF!,"AAAAABv7+BI=")</f>
        <v>#REF!</v>
      </c>
      <c r="T6" t="e">
        <f>AND(Liste!#REF!,"AAAAABv7+BM=")</f>
        <v>#REF!</v>
      </c>
      <c r="U6" t="e">
        <f>AND(Liste!#REF!,"AAAAABv7+BQ=")</f>
        <v>#REF!</v>
      </c>
      <c r="V6" t="e">
        <f>AND(Liste!#REF!,"AAAAABv7+BU=")</f>
        <v>#REF!</v>
      </c>
      <c r="W6">
        <f>IF(Liste!55:55,"AAAAABv7+BY=",0)</f>
        <v>0</v>
      </c>
      <c r="X6" t="b">
        <f>AND(Liste!A55,"AAAAABv7+Bc=")</f>
        <v>1</v>
      </c>
      <c r="Y6" t="e">
        <f>AND(Liste!#REF!,"AAAAABv7+Bg=")</f>
        <v>#REF!</v>
      </c>
      <c r="Z6" t="e">
        <f>AND(Liste!#REF!,"AAAAABv7+Bk=")</f>
        <v>#REF!</v>
      </c>
      <c r="AA6" t="e">
        <f>AND(Liste!#REF!,"AAAAABv7+Bo=")</f>
        <v>#REF!</v>
      </c>
      <c r="AB6" t="e">
        <f>AND(Liste!#REF!,"AAAAABv7+Bs=")</f>
        <v>#REF!</v>
      </c>
      <c r="AC6" t="e">
        <f>AND(Liste!#REF!,"AAAAABv7+Bw=")</f>
        <v>#REF!</v>
      </c>
      <c r="AD6" t="e">
        <f>AND(Liste!#REF!,"AAAAABv7+B0=")</f>
        <v>#REF!</v>
      </c>
      <c r="AE6" t="e">
        <f>AND(Liste!#REF!,"AAAAABv7+B4=")</f>
        <v>#REF!</v>
      </c>
      <c r="AF6" t="e">
        <f>AND(Liste!#REF!,"AAAAABv7+B8=")</f>
        <v>#REF!</v>
      </c>
      <c r="AG6" t="e">
        <f>AND(Liste!#REF!,"AAAAABv7+CA=")</f>
        <v>#REF!</v>
      </c>
      <c r="AH6" t="e">
        <f>AND(Liste!#REF!,"AAAAABv7+CE=")</f>
        <v>#REF!</v>
      </c>
      <c r="AI6" t="e">
        <f>AND(Liste!#REF!,"AAAAABv7+CI=")</f>
        <v>#REF!</v>
      </c>
      <c r="AJ6" t="e">
        <f>AND(Liste!#REF!,"AAAAABv7+CM=")</f>
        <v>#REF!</v>
      </c>
      <c r="AK6" t="e">
        <f>AND(Liste!#REF!,"AAAAABv7+CQ=")</f>
        <v>#REF!</v>
      </c>
      <c r="AL6" t="e">
        <f>AND(Liste!#REF!,"AAAAABv7+CU=")</f>
        <v>#REF!</v>
      </c>
      <c r="AM6" t="e">
        <f>AND(Liste!#REF!,"AAAAABv7+CY=")</f>
        <v>#REF!</v>
      </c>
      <c r="AN6" t="e">
        <f>AND(Liste!#REF!,"AAAAABv7+Cc=")</f>
        <v>#REF!</v>
      </c>
      <c r="AO6" t="e">
        <f>AND(Liste!#REF!,"AAAAABv7+Cg=")</f>
        <v>#REF!</v>
      </c>
      <c r="AP6" t="e">
        <f>AND(Liste!#REF!,"AAAAABv7+Ck=")</f>
        <v>#REF!</v>
      </c>
      <c r="AQ6" t="e">
        <f>AND(Liste!#REF!,"AAAAABv7+Co=")</f>
        <v>#REF!</v>
      </c>
      <c r="AR6" t="e">
        <f>AND(Liste!#REF!,"AAAAABv7+Cs=")</f>
        <v>#REF!</v>
      </c>
      <c r="AS6" t="e">
        <f>AND(Liste!#REF!,"AAAAABv7+Cw=")</f>
        <v>#REF!</v>
      </c>
      <c r="AT6" t="e">
        <f>AND(Liste!#REF!,"AAAAABv7+C0=")</f>
        <v>#REF!</v>
      </c>
      <c r="AU6" t="e">
        <f>AND(Liste!#REF!,"AAAAABv7+C4=")</f>
        <v>#REF!</v>
      </c>
      <c r="AV6" t="e">
        <f>AND(Liste!#REF!,"AAAAABv7+C8=")</f>
        <v>#REF!</v>
      </c>
      <c r="AW6" t="e">
        <f>AND(Liste!#REF!,"AAAAABv7+DA=")</f>
        <v>#REF!</v>
      </c>
      <c r="AX6" t="e">
        <f>AND(Liste!#REF!,"AAAAABv7+DE=")</f>
        <v>#REF!</v>
      </c>
      <c r="AY6" t="e">
        <f>AND(Liste!#REF!,"AAAAABv7+DI=")</f>
        <v>#REF!</v>
      </c>
      <c r="AZ6" t="e">
        <f>AND(Liste!#REF!,"AAAAABv7+DM=")</f>
        <v>#REF!</v>
      </c>
      <c r="BA6" t="e">
        <f>AND(Liste!#REF!,"AAAAABv7+DQ=")</f>
        <v>#REF!</v>
      </c>
      <c r="BB6">
        <f>IF(Liste!56:56,"AAAAABv7+DU=",0)</f>
        <v>0</v>
      </c>
      <c r="BC6" t="b">
        <f>AND(Liste!A56,"AAAAABv7+DY=")</f>
        <v>1</v>
      </c>
      <c r="BD6" t="e">
        <f>AND(Liste!#REF!,"AAAAABv7+Dc=")</f>
        <v>#REF!</v>
      </c>
      <c r="BE6" t="e">
        <f>AND(Liste!#REF!,"AAAAABv7+Dg=")</f>
        <v>#REF!</v>
      </c>
      <c r="BF6" t="e">
        <f>AND(Liste!#REF!,"AAAAABv7+Dk=")</f>
        <v>#REF!</v>
      </c>
      <c r="BG6" t="e">
        <f>AND(Liste!#REF!,"AAAAABv7+Do=")</f>
        <v>#REF!</v>
      </c>
      <c r="BH6" t="e">
        <f>AND(Liste!#REF!,"AAAAABv7+Ds=")</f>
        <v>#REF!</v>
      </c>
      <c r="BI6" t="e">
        <f>AND(Liste!#REF!,"AAAAABv7+Dw=")</f>
        <v>#REF!</v>
      </c>
      <c r="BJ6" t="e">
        <f>AND(Liste!#REF!,"AAAAABv7+D0=")</f>
        <v>#REF!</v>
      </c>
      <c r="BK6" t="e">
        <f>AND(Liste!#REF!,"AAAAABv7+D4=")</f>
        <v>#REF!</v>
      </c>
      <c r="BL6" t="e">
        <f>AND(Liste!#REF!,"AAAAABv7+D8=")</f>
        <v>#REF!</v>
      </c>
      <c r="BM6" t="e">
        <f>AND(Liste!#REF!,"AAAAABv7+EA=")</f>
        <v>#REF!</v>
      </c>
      <c r="BN6" t="e">
        <f>AND(Liste!#REF!,"AAAAABv7+EE=")</f>
        <v>#REF!</v>
      </c>
      <c r="BO6" t="e">
        <f>AND(Liste!#REF!,"AAAAABv7+EI=")</f>
        <v>#REF!</v>
      </c>
      <c r="BP6" t="e">
        <f>AND(Liste!#REF!,"AAAAABv7+EM=")</f>
        <v>#REF!</v>
      </c>
      <c r="BQ6" t="e">
        <f>AND(Liste!#REF!,"AAAAABv7+EQ=")</f>
        <v>#REF!</v>
      </c>
      <c r="BR6" t="e">
        <f>AND(Liste!#REF!,"AAAAABv7+EU=")</f>
        <v>#REF!</v>
      </c>
      <c r="BS6" t="e">
        <f>AND(Liste!#REF!,"AAAAABv7+EY=")</f>
        <v>#REF!</v>
      </c>
      <c r="BT6" t="e">
        <f>AND(Liste!#REF!,"AAAAABv7+Ec=")</f>
        <v>#REF!</v>
      </c>
      <c r="BU6" t="e">
        <f>AND(Liste!#REF!,"AAAAABv7+Eg=")</f>
        <v>#REF!</v>
      </c>
      <c r="BV6" t="e">
        <f>AND(Liste!#REF!,"AAAAABv7+Ek=")</f>
        <v>#REF!</v>
      </c>
      <c r="BW6" t="e">
        <f>AND(Liste!#REF!,"AAAAABv7+Eo=")</f>
        <v>#REF!</v>
      </c>
      <c r="BX6" t="e">
        <f>AND(Liste!#REF!,"AAAAABv7+Es=")</f>
        <v>#REF!</v>
      </c>
      <c r="BY6" t="e">
        <f>AND(Liste!#REF!,"AAAAABv7+Ew=")</f>
        <v>#REF!</v>
      </c>
      <c r="BZ6" t="e">
        <f>AND(Liste!#REF!,"AAAAABv7+E0=")</f>
        <v>#REF!</v>
      </c>
      <c r="CA6" t="e">
        <f>AND(Liste!#REF!,"AAAAABv7+E4=")</f>
        <v>#REF!</v>
      </c>
      <c r="CB6" t="e">
        <f>AND(Liste!#REF!,"AAAAABv7+E8=")</f>
        <v>#REF!</v>
      </c>
      <c r="CC6" t="e">
        <f>AND(Liste!#REF!,"AAAAABv7+FA=")</f>
        <v>#REF!</v>
      </c>
      <c r="CD6" t="e">
        <f>AND(Liste!#REF!,"AAAAABv7+FE=")</f>
        <v>#REF!</v>
      </c>
      <c r="CE6" t="e">
        <f>AND(Liste!#REF!,"AAAAABv7+FI=")</f>
        <v>#REF!</v>
      </c>
      <c r="CF6" t="e">
        <f>AND(Liste!#REF!,"AAAAABv7+FM=")</f>
        <v>#REF!</v>
      </c>
      <c r="CG6" t="e">
        <f>IF(Liste!#REF!,"AAAAABv7+FQ=",0)</f>
        <v>#REF!</v>
      </c>
      <c r="CH6" t="e">
        <f>AND(Liste!#REF!,"AAAAABv7+FU=")</f>
        <v>#REF!</v>
      </c>
      <c r="CI6" t="e">
        <f>AND(Liste!#REF!,"AAAAABv7+FY=")</f>
        <v>#REF!</v>
      </c>
      <c r="CJ6" t="e">
        <f>AND(Liste!#REF!,"AAAAABv7+Fc=")</f>
        <v>#REF!</v>
      </c>
      <c r="CK6" t="e">
        <f>AND(Liste!#REF!,"AAAAABv7+Fg=")</f>
        <v>#REF!</v>
      </c>
      <c r="CL6" t="e">
        <f>AND(Liste!#REF!,"AAAAABv7+Fk=")</f>
        <v>#REF!</v>
      </c>
      <c r="CM6" t="e">
        <f>AND(Liste!#REF!,"AAAAABv7+Fo=")</f>
        <v>#REF!</v>
      </c>
      <c r="CN6" t="e">
        <f>AND(Liste!#REF!,"AAAAABv7+Fs=")</f>
        <v>#REF!</v>
      </c>
      <c r="CO6" t="e">
        <f>AND(Liste!#REF!,"AAAAABv7+Fw=")</f>
        <v>#REF!</v>
      </c>
      <c r="CP6" t="e">
        <f>AND(Liste!#REF!,"AAAAABv7+F0=")</f>
        <v>#REF!</v>
      </c>
      <c r="CQ6" t="e">
        <f>AND(Liste!#REF!,"AAAAABv7+F4=")</f>
        <v>#REF!</v>
      </c>
      <c r="CR6" t="e">
        <f>AND(Liste!#REF!,"AAAAABv7+F8=")</f>
        <v>#REF!</v>
      </c>
      <c r="CS6" t="e">
        <f>AND(Liste!#REF!,"AAAAABv7+GA=")</f>
        <v>#REF!</v>
      </c>
      <c r="CT6" t="e">
        <f>AND(Liste!#REF!,"AAAAABv7+GE=")</f>
        <v>#REF!</v>
      </c>
      <c r="CU6" t="e">
        <f>AND(Liste!#REF!,"AAAAABv7+GI=")</f>
        <v>#REF!</v>
      </c>
      <c r="CV6" t="e">
        <f>AND(Liste!#REF!,"AAAAABv7+GM=")</f>
        <v>#REF!</v>
      </c>
      <c r="CW6" t="e">
        <f>AND(Liste!#REF!,"AAAAABv7+GQ=")</f>
        <v>#REF!</v>
      </c>
      <c r="CX6" t="e">
        <f>AND(Liste!#REF!,"AAAAABv7+GU=")</f>
        <v>#REF!</v>
      </c>
      <c r="CY6" t="e">
        <f>AND(Liste!#REF!,"AAAAABv7+GY=")</f>
        <v>#REF!</v>
      </c>
      <c r="CZ6" t="e">
        <f>AND(Liste!#REF!,"AAAAABv7+Gc=")</f>
        <v>#REF!</v>
      </c>
      <c r="DA6" t="e">
        <f>AND(Liste!#REF!,"AAAAABv7+Gg=")</f>
        <v>#REF!</v>
      </c>
      <c r="DB6" t="e">
        <f>AND(Liste!#REF!,"AAAAABv7+Gk=")</f>
        <v>#REF!</v>
      </c>
      <c r="DC6" t="e">
        <f>AND(Liste!#REF!,"AAAAABv7+Go=")</f>
        <v>#REF!</v>
      </c>
      <c r="DD6" t="e">
        <f>AND(Liste!#REF!,"AAAAABv7+Gs=")</f>
        <v>#REF!</v>
      </c>
      <c r="DE6" t="e">
        <f>AND(Liste!#REF!,"AAAAABv7+Gw=")</f>
        <v>#REF!</v>
      </c>
      <c r="DF6" t="e">
        <f>AND(Liste!#REF!,"AAAAABv7+G0=")</f>
        <v>#REF!</v>
      </c>
      <c r="DG6" t="e">
        <f>AND(Liste!#REF!,"AAAAABv7+G4=")</f>
        <v>#REF!</v>
      </c>
      <c r="DH6" t="e">
        <f>AND(Liste!#REF!,"AAAAABv7+G8=")</f>
        <v>#REF!</v>
      </c>
      <c r="DI6" t="e">
        <f>AND(Liste!#REF!,"AAAAABv7+HA=")</f>
        <v>#REF!</v>
      </c>
      <c r="DJ6" t="e">
        <f>AND(Liste!#REF!,"AAAAABv7+HE=")</f>
        <v>#REF!</v>
      </c>
      <c r="DK6" t="e">
        <f>AND(Liste!#REF!,"AAAAABv7+HI=")</f>
        <v>#REF!</v>
      </c>
      <c r="DL6" t="e">
        <f>IF(Liste!#REF!,"AAAAABv7+HM=",0)</f>
        <v>#REF!</v>
      </c>
      <c r="DM6" t="e">
        <f>AND(Liste!#REF!,"AAAAABv7+HQ=")</f>
        <v>#REF!</v>
      </c>
      <c r="DN6" t="e">
        <f>AND(Liste!#REF!,"AAAAABv7+HU=")</f>
        <v>#REF!</v>
      </c>
      <c r="DO6" t="e">
        <f>AND(Liste!#REF!,"AAAAABv7+HY=")</f>
        <v>#REF!</v>
      </c>
      <c r="DP6" t="e">
        <f>AND(Liste!#REF!,"AAAAABv7+Hc=")</f>
        <v>#REF!</v>
      </c>
      <c r="DQ6" t="e">
        <f>AND(Liste!#REF!,"AAAAABv7+Hg=")</f>
        <v>#REF!</v>
      </c>
      <c r="DR6" t="e">
        <f>AND(Liste!#REF!,"AAAAABv7+Hk=")</f>
        <v>#REF!</v>
      </c>
      <c r="DS6" t="e">
        <f>AND(Liste!#REF!,"AAAAABv7+Ho=")</f>
        <v>#REF!</v>
      </c>
      <c r="DT6" t="e">
        <f>AND(Liste!#REF!,"AAAAABv7+Hs=")</f>
        <v>#REF!</v>
      </c>
      <c r="DU6" t="e">
        <f>AND(Liste!#REF!,"AAAAABv7+Hw=")</f>
        <v>#REF!</v>
      </c>
      <c r="DV6" t="e">
        <f>AND(Liste!#REF!,"AAAAABv7+H0=")</f>
        <v>#REF!</v>
      </c>
      <c r="DW6" t="e">
        <f>AND(Liste!#REF!,"AAAAABv7+H4=")</f>
        <v>#REF!</v>
      </c>
      <c r="DX6" t="e">
        <f>AND(Liste!#REF!,"AAAAABv7+H8=")</f>
        <v>#REF!</v>
      </c>
      <c r="DY6" t="e">
        <f>AND(Liste!#REF!,"AAAAABv7+IA=")</f>
        <v>#REF!</v>
      </c>
      <c r="DZ6" t="e">
        <f>AND(Liste!#REF!,"AAAAABv7+IE=")</f>
        <v>#REF!</v>
      </c>
      <c r="EA6" t="e">
        <f>AND(Liste!#REF!,"AAAAABv7+II=")</f>
        <v>#REF!</v>
      </c>
      <c r="EB6" t="e">
        <f>AND(Liste!#REF!,"AAAAABv7+IM=")</f>
        <v>#REF!</v>
      </c>
      <c r="EC6" t="e">
        <f>AND(Liste!#REF!,"AAAAABv7+IQ=")</f>
        <v>#REF!</v>
      </c>
      <c r="ED6" t="e">
        <f>AND(Liste!#REF!,"AAAAABv7+IU=")</f>
        <v>#REF!</v>
      </c>
      <c r="EE6" t="e">
        <f>AND(Liste!#REF!,"AAAAABv7+IY=")</f>
        <v>#REF!</v>
      </c>
      <c r="EF6" t="e">
        <f>AND(Liste!#REF!,"AAAAABv7+Ic=")</f>
        <v>#REF!</v>
      </c>
      <c r="EG6" t="e">
        <f>AND(Liste!#REF!,"AAAAABv7+Ig=")</f>
        <v>#REF!</v>
      </c>
      <c r="EH6" t="e">
        <f>AND(Liste!#REF!,"AAAAABv7+Ik=")</f>
        <v>#REF!</v>
      </c>
      <c r="EI6" t="e">
        <f>AND(Liste!#REF!,"AAAAABv7+Io=")</f>
        <v>#REF!</v>
      </c>
      <c r="EJ6" t="e">
        <f>AND(Liste!#REF!,"AAAAABv7+Is=")</f>
        <v>#REF!</v>
      </c>
      <c r="EK6" t="e">
        <f>AND(Liste!#REF!,"AAAAABv7+Iw=")</f>
        <v>#REF!</v>
      </c>
      <c r="EL6" t="e">
        <f>AND(Liste!#REF!,"AAAAABv7+I0=")</f>
        <v>#REF!</v>
      </c>
      <c r="EM6" t="e">
        <f>AND(Liste!#REF!,"AAAAABv7+I4=")</f>
        <v>#REF!</v>
      </c>
      <c r="EN6" t="e">
        <f>AND(Liste!#REF!,"AAAAABv7+I8=")</f>
        <v>#REF!</v>
      </c>
      <c r="EO6" t="e">
        <f>AND(Liste!#REF!,"AAAAABv7+JA=")</f>
        <v>#REF!</v>
      </c>
      <c r="EP6" t="e">
        <f>AND(Liste!#REF!,"AAAAABv7+JE=")</f>
        <v>#REF!</v>
      </c>
      <c r="EQ6" t="e">
        <f>IF(Liste!#REF!,"AAAAABv7+JI=",0)</f>
        <v>#REF!</v>
      </c>
      <c r="ER6" t="e">
        <f>AND(Liste!#REF!,"AAAAABv7+JM=")</f>
        <v>#REF!</v>
      </c>
      <c r="ES6" t="e">
        <f>AND(Liste!#REF!,"AAAAABv7+JQ=")</f>
        <v>#REF!</v>
      </c>
      <c r="ET6" t="e">
        <f>AND(Liste!#REF!,"AAAAABv7+JU=")</f>
        <v>#REF!</v>
      </c>
      <c r="EU6" t="e">
        <f>AND(Liste!#REF!,"AAAAABv7+JY=")</f>
        <v>#REF!</v>
      </c>
      <c r="EV6" t="e">
        <f>AND(Liste!#REF!,"AAAAABv7+Jc=")</f>
        <v>#REF!</v>
      </c>
      <c r="EW6" t="e">
        <f>AND(Liste!#REF!,"AAAAABv7+Jg=")</f>
        <v>#REF!</v>
      </c>
      <c r="EX6" t="e">
        <f>AND(Liste!#REF!,"AAAAABv7+Jk=")</f>
        <v>#REF!</v>
      </c>
      <c r="EY6" t="e">
        <f>AND(Liste!#REF!,"AAAAABv7+Jo=")</f>
        <v>#REF!</v>
      </c>
      <c r="EZ6" t="e">
        <f>AND(Liste!#REF!,"AAAAABv7+Js=")</f>
        <v>#REF!</v>
      </c>
      <c r="FA6" t="e">
        <f>AND(Liste!#REF!,"AAAAABv7+Jw=")</f>
        <v>#REF!</v>
      </c>
      <c r="FB6" t="e">
        <f>AND(Liste!#REF!,"AAAAABv7+J0=")</f>
        <v>#REF!</v>
      </c>
      <c r="FC6" t="e">
        <f>AND(Liste!#REF!,"AAAAABv7+J4=")</f>
        <v>#REF!</v>
      </c>
      <c r="FD6" t="e">
        <f>AND(Liste!#REF!,"AAAAABv7+J8=")</f>
        <v>#REF!</v>
      </c>
      <c r="FE6" t="e">
        <f>AND(Liste!#REF!,"AAAAABv7+KA=")</f>
        <v>#REF!</v>
      </c>
      <c r="FF6" t="e">
        <f>AND(Liste!#REF!,"AAAAABv7+KE=")</f>
        <v>#REF!</v>
      </c>
      <c r="FG6" t="e">
        <f>AND(Liste!#REF!,"AAAAABv7+KI=")</f>
        <v>#REF!</v>
      </c>
      <c r="FH6" t="e">
        <f>AND(Liste!#REF!,"AAAAABv7+KM=")</f>
        <v>#REF!</v>
      </c>
      <c r="FI6" t="e">
        <f>AND(Liste!#REF!,"AAAAABv7+KQ=")</f>
        <v>#REF!</v>
      </c>
      <c r="FJ6" t="e">
        <f>AND(Liste!#REF!,"AAAAABv7+KU=")</f>
        <v>#REF!</v>
      </c>
      <c r="FK6" t="e">
        <f>AND(Liste!#REF!,"AAAAABv7+KY=")</f>
        <v>#REF!</v>
      </c>
      <c r="FL6" t="e">
        <f>AND(Liste!#REF!,"AAAAABv7+Kc=")</f>
        <v>#REF!</v>
      </c>
      <c r="FM6" t="e">
        <f>AND(Liste!#REF!,"AAAAABv7+Kg=")</f>
        <v>#REF!</v>
      </c>
      <c r="FN6" t="e">
        <f>AND(Liste!#REF!,"AAAAABv7+Kk=")</f>
        <v>#REF!</v>
      </c>
      <c r="FO6" t="e">
        <f>AND(Liste!#REF!,"AAAAABv7+Ko=")</f>
        <v>#REF!</v>
      </c>
      <c r="FP6" t="e">
        <f>AND(Liste!#REF!,"AAAAABv7+Ks=")</f>
        <v>#REF!</v>
      </c>
      <c r="FQ6" t="e">
        <f>AND(Liste!#REF!,"AAAAABv7+Kw=")</f>
        <v>#REF!</v>
      </c>
      <c r="FR6" t="e">
        <f>AND(Liste!#REF!,"AAAAABv7+K0=")</f>
        <v>#REF!</v>
      </c>
      <c r="FS6" t="e">
        <f>AND(Liste!#REF!,"AAAAABv7+K4=")</f>
        <v>#REF!</v>
      </c>
      <c r="FT6" t="e">
        <f>AND(Liste!#REF!,"AAAAABv7+K8=")</f>
        <v>#REF!</v>
      </c>
      <c r="FU6" t="e">
        <f>AND(Liste!#REF!,"AAAAABv7+LA=")</f>
        <v>#REF!</v>
      </c>
      <c r="FV6" t="e">
        <f>IF(Liste!#REF!,"AAAAABv7+LE=",0)</f>
        <v>#REF!</v>
      </c>
      <c r="FW6" t="e">
        <f>AND(Liste!#REF!,"AAAAABv7+LI=")</f>
        <v>#REF!</v>
      </c>
      <c r="FX6" t="e">
        <f>AND(Liste!#REF!,"AAAAABv7+LM=")</f>
        <v>#REF!</v>
      </c>
      <c r="FY6" t="e">
        <f>AND(Liste!#REF!,"AAAAABv7+LQ=")</f>
        <v>#REF!</v>
      </c>
      <c r="FZ6" t="e">
        <f>AND(Liste!#REF!,"AAAAABv7+LU=")</f>
        <v>#REF!</v>
      </c>
      <c r="GA6" t="e">
        <f>AND(Liste!#REF!,"AAAAABv7+LY=")</f>
        <v>#REF!</v>
      </c>
      <c r="GB6" t="e">
        <f>AND(Liste!#REF!,"AAAAABv7+Lc=")</f>
        <v>#REF!</v>
      </c>
      <c r="GC6" t="e">
        <f>AND(Liste!#REF!,"AAAAABv7+Lg=")</f>
        <v>#REF!</v>
      </c>
      <c r="GD6" t="e">
        <f>AND(Liste!#REF!,"AAAAABv7+Lk=")</f>
        <v>#REF!</v>
      </c>
      <c r="GE6" t="e">
        <f>AND(Liste!#REF!,"AAAAABv7+Lo=")</f>
        <v>#REF!</v>
      </c>
      <c r="GF6" t="e">
        <f>AND(Liste!#REF!,"AAAAABv7+Ls=")</f>
        <v>#REF!</v>
      </c>
      <c r="GG6" t="e">
        <f>AND(Liste!#REF!,"AAAAABv7+Lw=")</f>
        <v>#REF!</v>
      </c>
      <c r="GH6" t="e">
        <f>AND(Liste!#REF!,"AAAAABv7+L0=")</f>
        <v>#REF!</v>
      </c>
      <c r="GI6" t="e">
        <f>AND(Liste!#REF!,"AAAAABv7+L4=")</f>
        <v>#REF!</v>
      </c>
      <c r="GJ6" t="e">
        <f>AND(Liste!#REF!,"AAAAABv7+L8=")</f>
        <v>#REF!</v>
      </c>
      <c r="GK6" t="e">
        <f>AND(Liste!#REF!,"AAAAABv7+MA=")</f>
        <v>#REF!</v>
      </c>
      <c r="GL6" t="e">
        <f>AND(Liste!#REF!,"AAAAABv7+ME=")</f>
        <v>#REF!</v>
      </c>
      <c r="GM6" t="e">
        <f>AND(Liste!#REF!,"AAAAABv7+MI=")</f>
        <v>#REF!</v>
      </c>
      <c r="GN6" t="e">
        <f>AND(Liste!#REF!,"AAAAABv7+MM=")</f>
        <v>#REF!</v>
      </c>
      <c r="GO6" t="e">
        <f>AND(Liste!#REF!,"AAAAABv7+MQ=")</f>
        <v>#REF!</v>
      </c>
      <c r="GP6" t="e">
        <f>AND(Liste!#REF!,"AAAAABv7+MU=")</f>
        <v>#REF!</v>
      </c>
      <c r="GQ6" t="e">
        <f>AND(Liste!#REF!,"AAAAABv7+MY=")</f>
        <v>#REF!</v>
      </c>
      <c r="GR6" t="e">
        <f>AND(Liste!#REF!,"AAAAABv7+Mc=")</f>
        <v>#REF!</v>
      </c>
      <c r="GS6" t="e">
        <f>AND(Liste!#REF!,"AAAAABv7+Mg=")</f>
        <v>#REF!</v>
      </c>
      <c r="GT6" t="e">
        <f>AND(Liste!#REF!,"AAAAABv7+Mk=")</f>
        <v>#REF!</v>
      </c>
      <c r="GU6" t="e">
        <f>AND(Liste!#REF!,"AAAAABv7+Mo=")</f>
        <v>#REF!</v>
      </c>
      <c r="GV6" t="e">
        <f>AND(Liste!#REF!,"AAAAABv7+Ms=")</f>
        <v>#REF!</v>
      </c>
      <c r="GW6" t="e">
        <f>AND(Liste!#REF!,"AAAAABv7+Mw=")</f>
        <v>#REF!</v>
      </c>
      <c r="GX6" t="e">
        <f>AND(Liste!#REF!,"AAAAABv7+M0=")</f>
        <v>#REF!</v>
      </c>
      <c r="GY6" t="e">
        <f>AND(Liste!#REF!,"AAAAABv7+M4=")</f>
        <v>#REF!</v>
      </c>
      <c r="GZ6" t="e">
        <f>AND(Liste!#REF!,"AAAAABv7+M8=")</f>
        <v>#REF!</v>
      </c>
      <c r="HA6" t="e">
        <f>IF(Liste!#REF!,"AAAAABv7+NA=",0)</f>
        <v>#REF!</v>
      </c>
      <c r="HB6" t="e">
        <f>AND(Liste!#REF!,"AAAAABv7+NE=")</f>
        <v>#REF!</v>
      </c>
      <c r="HC6" t="e">
        <f>AND(Liste!#REF!,"AAAAABv7+NI=")</f>
        <v>#REF!</v>
      </c>
      <c r="HD6" t="e">
        <f>AND(Liste!#REF!,"AAAAABv7+NM=")</f>
        <v>#REF!</v>
      </c>
      <c r="HE6" t="e">
        <f>AND(Liste!#REF!,"AAAAABv7+NQ=")</f>
        <v>#REF!</v>
      </c>
      <c r="HF6" t="e">
        <f>AND(Liste!#REF!,"AAAAABv7+NU=")</f>
        <v>#REF!</v>
      </c>
      <c r="HG6" t="e">
        <f>AND(Liste!#REF!,"AAAAABv7+NY=")</f>
        <v>#REF!</v>
      </c>
      <c r="HH6" t="e">
        <f>AND(Liste!#REF!,"AAAAABv7+Nc=")</f>
        <v>#REF!</v>
      </c>
      <c r="HI6" t="e">
        <f>AND(Liste!#REF!,"AAAAABv7+Ng=")</f>
        <v>#REF!</v>
      </c>
      <c r="HJ6" t="e">
        <f>AND(Liste!#REF!,"AAAAABv7+Nk=")</f>
        <v>#REF!</v>
      </c>
      <c r="HK6" t="e">
        <f>AND(Liste!#REF!,"AAAAABv7+No=")</f>
        <v>#REF!</v>
      </c>
      <c r="HL6" t="e">
        <f>AND(Liste!#REF!,"AAAAABv7+Ns=")</f>
        <v>#REF!</v>
      </c>
      <c r="HM6" t="e">
        <f>AND(Liste!#REF!,"AAAAABv7+Nw=")</f>
        <v>#REF!</v>
      </c>
      <c r="HN6" t="e">
        <f>AND(Liste!#REF!,"AAAAABv7+N0=")</f>
        <v>#REF!</v>
      </c>
      <c r="HO6" t="e">
        <f>AND(Liste!#REF!,"AAAAABv7+N4=")</f>
        <v>#REF!</v>
      </c>
      <c r="HP6" t="e">
        <f>AND(Liste!#REF!,"AAAAABv7+N8=")</f>
        <v>#REF!</v>
      </c>
      <c r="HQ6" t="e">
        <f>AND(Liste!#REF!,"AAAAABv7+OA=")</f>
        <v>#REF!</v>
      </c>
      <c r="HR6" t="e">
        <f>AND(Liste!#REF!,"AAAAABv7+OE=")</f>
        <v>#REF!</v>
      </c>
      <c r="HS6" t="e">
        <f>AND(Liste!#REF!,"AAAAABv7+OI=")</f>
        <v>#REF!</v>
      </c>
      <c r="HT6" t="e">
        <f>AND(Liste!#REF!,"AAAAABv7+OM=")</f>
        <v>#REF!</v>
      </c>
      <c r="HU6" t="e">
        <f>AND(Liste!#REF!,"AAAAABv7+OQ=")</f>
        <v>#REF!</v>
      </c>
      <c r="HV6" t="e">
        <f>AND(Liste!#REF!,"AAAAABv7+OU=")</f>
        <v>#REF!</v>
      </c>
      <c r="HW6" t="e">
        <f>AND(Liste!#REF!,"AAAAABv7+OY=")</f>
        <v>#REF!</v>
      </c>
      <c r="HX6" t="e">
        <f>AND(Liste!#REF!,"AAAAABv7+Oc=")</f>
        <v>#REF!</v>
      </c>
      <c r="HY6" t="e">
        <f>AND(Liste!#REF!,"AAAAABv7+Og=")</f>
        <v>#REF!</v>
      </c>
      <c r="HZ6" t="e">
        <f>AND(Liste!#REF!,"AAAAABv7+Ok=")</f>
        <v>#REF!</v>
      </c>
      <c r="IA6" t="e">
        <f>AND(Liste!#REF!,"AAAAABv7+Oo=")</f>
        <v>#REF!</v>
      </c>
      <c r="IB6" t="e">
        <f>AND(Liste!#REF!,"AAAAABv7+Os=")</f>
        <v>#REF!</v>
      </c>
      <c r="IC6" t="e">
        <f>AND(Liste!#REF!,"AAAAABv7+Ow=")</f>
        <v>#REF!</v>
      </c>
      <c r="ID6" t="e">
        <f>AND(Liste!#REF!,"AAAAABv7+O0=")</f>
        <v>#REF!</v>
      </c>
      <c r="IE6" t="e">
        <f>AND(Liste!#REF!,"AAAAABv7+O4=")</f>
        <v>#REF!</v>
      </c>
      <c r="IF6" t="e">
        <f>IF(Liste!#REF!,"AAAAABv7+O8=",0)</f>
        <v>#REF!</v>
      </c>
      <c r="IG6" t="e">
        <f>AND(Liste!#REF!,"AAAAABv7+PA=")</f>
        <v>#REF!</v>
      </c>
      <c r="IH6" t="e">
        <f>AND(Liste!#REF!,"AAAAABv7+PE=")</f>
        <v>#REF!</v>
      </c>
      <c r="II6" t="e">
        <f>AND(Liste!#REF!,"AAAAABv7+PI=")</f>
        <v>#REF!</v>
      </c>
      <c r="IJ6" t="e">
        <f>AND(Liste!#REF!,"AAAAABv7+PM=")</f>
        <v>#REF!</v>
      </c>
      <c r="IK6" t="e">
        <f>AND(Liste!#REF!,"AAAAABv7+PQ=")</f>
        <v>#REF!</v>
      </c>
      <c r="IL6" t="e">
        <f>AND(Liste!#REF!,"AAAAABv7+PU=")</f>
        <v>#REF!</v>
      </c>
      <c r="IM6" t="e">
        <f>AND(Liste!#REF!,"AAAAABv7+PY=")</f>
        <v>#REF!</v>
      </c>
      <c r="IN6" t="e">
        <f>AND(Liste!#REF!,"AAAAABv7+Pc=")</f>
        <v>#REF!</v>
      </c>
      <c r="IO6" t="e">
        <f>AND(Liste!#REF!,"AAAAABv7+Pg=")</f>
        <v>#REF!</v>
      </c>
      <c r="IP6" t="e">
        <f>AND(Liste!#REF!,"AAAAABv7+Pk=")</f>
        <v>#REF!</v>
      </c>
      <c r="IQ6" t="e">
        <f>AND(Liste!#REF!,"AAAAABv7+Po=")</f>
        <v>#REF!</v>
      </c>
      <c r="IR6" t="e">
        <f>AND(Liste!#REF!,"AAAAABv7+Ps=")</f>
        <v>#REF!</v>
      </c>
      <c r="IS6" t="e">
        <f>AND(Liste!#REF!,"AAAAABv7+Pw=")</f>
        <v>#REF!</v>
      </c>
      <c r="IT6" t="e">
        <f>AND(Liste!#REF!,"AAAAABv7+P0=")</f>
        <v>#REF!</v>
      </c>
      <c r="IU6" t="e">
        <f>AND(Liste!#REF!,"AAAAABv7+P4=")</f>
        <v>#REF!</v>
      </c>
      <c r="IV6" t="e">
        <f>AND(Liste!#REF!,"AAAAABv7+P8=")</f>
        <v>#REF!</v>
      </c>
    </row>
    <row r="7" spans="1:256" x14ac:dyDescent="0.2">
      <c r="A7" t="e">
        <f>AND(Liste!#REF!,"AAAAAG672gA=")</f>
        <v>#REF!</v>
      </c>
      <c r="B7" t="e">
        <f>AND(Liste!#REF!,"AAAAAG672gE=")</f>
        <v>#REF!</v>
      </c>
      <c r="C7" t="e">
        <f>AND(Liste!#REF!,"AAAAAG672gI=")</f>
        <v>#REF!</v>
      </c>
      <c r="D7" t="e">
        <f>AND(Liste!#REF!,"AAAAAG672gM=")</f>
        <v>#REF!</v>
      </c>
      <c r="E7" t="e">
        <f>AND(Liste!#REF!,"AAAAAG672gQ=")</f>
        <v>#REF!</v>
      </c>
      <c r="F7" t="e">
        <f>AND(Liste!#REF!,"AAAAAG672gU=")</f>
        <v>#REF!</v>
      </c>
      <c r="G7" t="e">
        <f>AND(Liste!#REF!,"AAAAAG672gY=")</f>
        <v>#REF!</v>
      </c>
      <c r="H7" t="e">
        <f>AND(Liste!#REF!,"AAAAAG672gc=")</f>
        <v>#REF!</v>
      </c>
      <c r="I7" t="e">
        <f>AND(Liste!#REF!,"AAAAAG672gg=")</f>
        <v>#REF!</v>
      </c>
      <c r="J7" t="e">
        <f>AND(Liste!#REF!,"AAAAAG672gk=")</f>
        <v>#REF!</v>
      </c>
      <c r="K7" t="e">
        <f>AND(Liste!#REF!,"AAAAAG672go=")</f>
        <v>#REF!</v>
      </c>
      <c r="L7" t="e">
        <f>AND(Liste!#REF!,"AAAAAG672gs=")</f>
        <v>#REF!</v>
      </c>
      <c r="M7" t="e">
        <f>AND(Liste!#REF!,"AAAAAG672gw=")</f>
        <v>#REF!</v>
      </c>
      <c r="N7" t="e">
        <f>AND(Liste!#REF!,"AAAAAG672g0=")</f>
        <v>#REF!</v>
      </c>
      <c r="O7" t="e">
        <f>IF(Liste!#REF!,"AAAAAG672g4=",0)</f>
        <v>#REF!</v>
      </c>
      <c r="P7" t="e">
        <f>AND(Liste!#REF!,"AAAAAG672g8=")</f>
        <v>#REF!</v>
      </c>
      <c r="Q7" t="e">
        <f>AND(Liste!#REF!,"AAAAAG672hA=")</f>
        <v>#REF!</v>
      </c>
      <c r="R7" t="e">
        <f>AND(Liste!#REF!,"AAAAAG672hE=")</f>
        <v>#REF!</v>
      </c>
      <c r="S7" t="e">
        <f>AND(Liste!#REF!,"AAAAAG672hI=")</f>
        <v>#REF!</v>
      </c>
      <c r="T7" t="e">
        <f>AND(Liste!#REF!,"AAAAAG672hM=")</f>
        <v>#REF!</v>
      </c>
      <c r="U7" t="e">
        <f>AND(Liste!#REF!,"AAAAAG672hQ=")</f>
        <v>#REF!</v>
      </c>
      <c r="V7" t="e">
        <f>AND(Liste!#REF!,"AAAAAG672hU=")</f>
        <v>#REF!</v>
      </c>
      <c r="W7" t="e">
        <f>AND(Liste!#REF!,"AAAAAG672hY=")</f>
        <v>#REF!</v>
      </c>
      <c r="X7" t="e">
        <f>AND(Liste!#REF!,"AAAAAG672hc=")</f>
        <v>#REF!</v>
      </c>
      <c r="Y7" t="e">
        <f>AND(Liste!#REF!,"AAAAAG672hg=")</f>
        <v>#REF!</v>
      </c>
      <c r="Z7" t="e">
        <f>AND(Liste!#REF!,"AAAAAG672hk=")</f>
        <v>#REF!</v>
      </c>
      <c r="AA7" t="e">
        <f>AND(Liste!#REF!,"AAAAAG672ho=")</f>
        <v>#REF!</v>
      </c>
      <c r="AB7" t="e">
        <f>AND(Liste!#REF!,"AAAAAG672hs=")</f>
        <v>#REF!</v>
      </c>
      <c r="AC7" t="e">
        <f>AND(Liste!#REF!,"AAAAAG672hw=")</f>
        <v>#REF!</v>
      </c>
      <c r="AD7" t="e">
        <f>AND(Liste!#REF!,"AAAAAG672h0=")</f>
        <v>#REF!</v>
      </c>
      <c r="AE7" t="e">
        <f>AND(Liste!#REF!,"AAAAAG672h4=")</f>
        <v>#REF!</v>
      </c>
      <c r="AF7" t="e">
        <f>AND(Liste!#REF!,"AAAAAG672h8=")</f>
        <v>#REF!</v>
      </c>
      <c r="AG7" t="e">
        <f>AND(Liste!#REF!,"AAAAAG672iA=")</f>
        <v>#REF!</v>
      </c>
      <c r="AH7" t="e">
        <f>AND(Liste!#REF!,"AAAAAG672iE=")</f>
        <v>#REF!</v>
      </c>
      <c r="AI7" t="e">
        <f>AND(Liste!#REF!,"AAAAAG672iI=")</f>
        <v>#REF!</v>
      </c>
      <c r="AJ7" t="e">
        <f>AND(Liste!#REF!,"AAAAAG672iM=")</f>
        <v>#REF!</v>
      </c>
      <c r="AK7" t="e">
        <f>AND(Liste!#REF!,"AAAAAG672iQ=")</f>
        <v>#REF!</v>
      </c>
      <c r="AL7" t="e">
        <f>AND(Liste!#REF!,"AAAAAG672iU=")</f>
        <v>#REF!</v>
      </c>
      <c r="AM7" t="e">
        <f>AND(Liste!#REF!,"AAAAAG672iY=")</f>
        <v>#REF!</v>
      </c>
      <c r="AN7" t="e">
        <f>AND(Liste!#REF!,"AAAAAG672ic=")</f>
        <v>#REF!</v>
      </c>
      <c r="AO7" t="e">
        <f>AND(Liste!#REF!,"AAAAAG672ig=")</f>
        <v>#REF!</v>
      </c>
      <c r="AP7" t="e">
        <f>AND(Liste!#REF!,"AAAAAG672ik=")</f>
        <v>#REF!</v>
      </c>
      <c r="AQ7" t="e">
        <f>AND(Liste!#REF!,"AAAAAG672io=")</f>
        <v>#REF!</v>
      </c>
      <c r="AR7" t="e">
        <f>AND(Liste!#REF!,"AAAAAG672is=")</f>
        <v>#REF!</v>
      </c>
      <c r="AS7" t="e">
        <f>AND(Liste!#REF!,"AAAAAG672iw=")</f>
        <v>#REF!</v>
      </c>
      <c r="AT7" t="e">
        <f>IF(Liste!#REF!,"AAAAAG672i0=",0)</f>
        <v>#REF!</v>
      </c>
      <c r="AU7" t="e">
        <f>AND(Liste!#REF!,"AAAAAG672i4=")</f>
        <v>#REF!</v>
      </c>
      <c r="AV7" t="e">
        <f>AND(Liste!#REF!,"AAAAAG672i8=")</f>
        <v>#REF!</v>
      </c>
      <c r="AW7" t="e">
        <f>AND(Liste!#REF!,"AAAAAG672jA=")</f>
        <v>#REF!</v>
      </c>
      <c r="AX7" t="e">
        <f>AND(Liste!#REF!,"AAAAAG672jE=")</f>
        <v>#REF!</v>
      </c>
      <c r="AY7" t="e">
        <f>AND(Liste!#REF!,"AAAAAG672jI=")</f>
        <v>#REF!</v>
      </c>
      <c r="AZ7" t="e">
        <f>AND(Liste!#REF!,"AAAAAG672jM=")</f>
        <v>#REF!</v>
      </c>
      <c r="BA7" t="e">
        <f>AND(Liste!#REF!,"AAAAAG672jQ=")</f>
        <v>#REF!</v>
      </c>
      <c r="BB7" t="e">
        <f>AND(Liste!#REF!,"AAAAAG672jU=")</f>
        <v>#REF!</v>
      </c>
      <c r="BC7" t="e">
        <f>AND(Liste!#REF!,"AAAAAG672jY=")</f>
        <v>#REF!</v>
      </c>
      <c r="BD7" t="e">
        <f>AND(Liste!#REF!,"AAAAAG672jc=")</f>
        <v>#REF!</v>
      </c>
      <c r="BE7" t="e">
        <f>AND(Liste!#REF!,"AAAAAG672jg=")</f>
        <v>#REF!</v>
      </c>
      <c r="BF7" t="e">
        <f>AND(Liste!#REF!,"AAAAAG672jk=")</f>
        <v>#REF!</v>
      </c>
      <c r="BG7" t="e">
        <f>AND(Liste!#REF!,"AAAAAG672jo=")</f>
        <v>#REF!</v>
      </c>
      <c r="BH7" t="e">
        <f>AND(Liste!#REF!,"AAAAAG672js=")</f>
        <v>#REF!</v>
      </c>
      <c r="BI7" t="e">
        <f>AND(Liste!#REF!,"AAAAAG672jw=")</f>
        <v>#REF!</v>
      </c>
      <c r="BJ7" t="e">
        <f>AND(Liste!#REF!,"AAAAAG672j0=")</f>
        <v>#REF!</v>
      </c>
      <c r="BK7" t="e">
        <f>AND(Liste!#REF!,"AAAAAG672j4=")</f>
        <v>#REF!</v>
      </c>
      <c r="BL7" t="e">
        <f>AND(Liste!#REF!,"AAAAAG672j8=")</f>
        <v>#REF!</v>
      </c>
      <c r="BM7" t="e">
        <f>AND(Liste!#REF!,"AAAAAG672kA=")</f>
        <v>#REF!</v>
      </c>
      <c r="BN7" t="e">
        <f>AND(Liste!#REF!,"AAAAAG672kE=")</f>
        <v>#REF!</v>
      </c>
      <c r="BO7" t="e">
        <f>AND(Liste!#REF!,"AAAAAG672kI=")</f>
        <v>#REF!</v>
      </c>
      <c r="BP7" t="e">
        <f>AND(Liste!#REF!,"AAAAAG672kM=")</f>
        <v>#REF!</v>
      </c>
      <c r="BQ7" t="e">
        <f>AND(Liste!#REF!,"AAAAAG672kQ=")</f>
        <v>#REF!</v>
      </c>
      <c r="BR7" t="e">
        <f>AND(Liste!#REF!,"AAAAAG672kU=")</f>
        <v>#REF!</v>
      </c>
      <c r="BS7" t="e">
        <f>AND(Liste!#REF!,"AAAAAG672kY=")</f>
        <v>#REF!</v>
      </c>
      <c r="BT7" t="e">
        <f>AND(Liste!#REF!,"AAAAAG672kc=")</f>
        <v>#REF!</v>
      </c>
      <c r="BU7" t="e">
        <f>AND(Liste!#REF!,"AAAAAG672kg=")</f>
        <v>#REF!</v>
      </c>
      <c r="BV7" t="e">
        <f>AND(Liste!#REF!,"AAAAAG672kk=")</f>
        <v>#REF!</v>
      </c>
      <c r="BW7" t="e">
        <f>AND(Liste!#REF!,"AAAAAG672ko=")</f>
        <v>#REF!</v>
      </c>
      <c r="BX7" t="e">
        <f>AND(Liste!#REF!,"AAAAAG672ks=")</f>
        <v>#REF!</v>
      </c>
      <c r="BY7" t="e">
        <f>IF(Liste!#REF!,"AAAAAG672kw=",0)</f>
        <v>#REF!</v>
      </c>
      <c r="BZ7" t="e">
        <f>AND(Liste!#REF!,"AAAAAG672k0=")</f>
        <v>#REF!</v>
      </c>
      <c r="CA7" t="e">
        <f>AND(Liste!#REF!,"AAAAAG672k4=")</f>
        <v>#REF!</v>
      </c>
      <c r="CB7" t="e">
        <f>AND(Liste!#REF!,"AAAAAG672k8=")</f>
        <v>#REF!</v>
      </c>
      <c r="CC7" t="e">
        <f>AND(Liste!#REF!,"AAAAAG672lA=")</f>
        <v>#REF!</v>
      </c>
      <c r="CD7" t="e">
        <f>AND(Liste!#REF!,"AAAAAG672lE=")</f>
        <v>#REF!</v>
      </c>
      <c r="CE7" t="e">
        <f>AND(Liste!#REF!,"AAAAAG672lI=")</f>
        <v>#REF!</v>
      </c>
      <c r="CF7" t="e">
        <f>AND(Liste!#REF!,"AAAAAG672lM=")</f>
        <v>#REF!</v>
      </c>
      <c r="CG7" t="e">
        <f>AND(Liste!#REF!,"AAAAAG672lQ=")</f>
        <v>#REF!</v>
      </c>
      <c r="CH7" t="e">
        <f>AND(Liste!#REF!,"AAAAAG672lU=")</f>
        <v>#REF!</v>
      </c>
      <c r="CI7" t="e">
        <f>AND(Liste!#REF!,"AAAAAG672lY=")</f>
        <v>#REF!</v>
      </c>
      <c r="CJ7" t="e">
        <f>AND(Liste!#REF!,"AAAAAG672lc=")</f>
        <v>#REF!</v>
      </c>
      <c r="CK7" t="e">
        <f>AND(Liste!#REF!,"AAAAAG672lg=")</f>
        <v>#REF!</v>
      </c>
      <c r="CL7" t="e">
        <f>AND(Liste!#REF!,"AAAAAG672lk=")</f>
        <v>#REF!</v>
      </c>
      <c r="CM7" t="e">
        <f>AND(Liste!#REF!,"AAAAAG672lo=")</f>
        <v>#REF!</v>
      </c>
      <c r="CN7" t="e">
        <f>AND(Liste!#REF!,"AAAAAG672ls=")</f>
        <v>#REF!</v>
      </c>
      <c r="CO7" t="e">
        <f>AND(Liste!#REF!,"AAAAAG672lw=")</f>
        <v>#REF!</v>
      </c>
      <c r="CP7" t="e">
        <f>AND(Liste!#REF!,"AAAAAG672l0=")</f>
        <v>#REF!</v>
      </c>
      <c r="CQ7" t="e">
        <f>AND(Liste!#REF!,"AAAAAG672l4=")</f>
        <v>#REF!</v>
      </c>
      <c r="CR7" t="e">
        <f>AND(Liste!#REF!,"AAAAAG672l8=")</f>
        <v>#REF!</v>
      </c>
      <c r="CS7" t="e">
        <f>AND(Liste!#REF!,"AAAAAG672mA=")</f>
        <v>#REF!</v>
      </c>
      <c r="CT7" t="e">
        <f>AND(Liste!#REF!,"AAAAAG672mE=")</f>
        <v>#REF!</v>
      </c>
      <c r="CU7" t="e">
        <f>AND(Liste!#REF!,"AAAAAG672mI=")</f>
        <v>#REF!</v>
      </c>
      <c r="CV7" t="e">
        <f>AND(Liste!#REF!,"AAAAAG672mM=")</f>
        <v>#REF!</v>
      </c>
      <c r="CW7" t="e">
        <f>AND(Liste!#REF!,"AAAAAG672mQ=")</f>
        <v>#REF!</v>
      </c>
      <c r="CX7" t="e">
        <f>AND(Liste!#REF!,"AAAAAG672mU=")</f>
        <v>#REF!</v>
      </c>
      <c r="CY7" t="e">
        <f>AND(Liste!#REF!,"AAAAAG672mY=")</f>
        <v>#REF!</v>
      </c>
      <c r="CZ7" t="e">
        <f>AND(Liste!#REF!,"AAAAAG672mc=")</f>
        <v>#REF!</v>
      </c>
      <c r="DA7" t="e">
        <f>AND(Liste!#REF!,"AAAAAG672mg=")</f>
        <v>#REF!</v>
      </c>
      <c r="DB7" t="e">
        <f>AND(Liste!#REF!,"AAAAAG672mk=")</f>
        <v>#REF!</v>
      </c>
      <c r="DC7" t="e">
        <f>AND(Liste!#REF!,"AAAAAG672mo=")</f>
        <v>#REF!</v>
      </c>
      <c r="DD7" t="e">
        <f>IF(Liste!#REF!,"AAAAAG672ms=",0)</f>
        <v>#REF!</v>
      </c>
      <c r="DE7" t="e">
        <f>AND(Liste!#REF!,"AAAAAG672mw=")</f>
        <v>#REF!</v>
      </c>
      <c r="DF7" t="e">
        <f>AND(Liste!#REF!,"AAAAAG672m0=")</f>
        <v>#REF!</v>
      </c>
      <c r="DG7" t="e">
        <f>AND(Liste!#REF!,"AAAAAG672m4=")</f>
        <v>#REF!</v>
      </c>
      <c r="DH7" t="e">
        <f>AND(Liste!#REF!,"AAAAAG672m8=")</f>
        <v>#REF!</v>
      </c>
      <c r="DI7" t="e">
        <f>AND(Liste!#REF!,"AAAAAG672nA=")</f>
        <v>#REF!</v>
      </c>
      <c r="DJ7" t="e">
        <f>AND(Liste!#REF!,"AAAAAG672nE=")</f>
        <v>#REF!</v>
      </c>
      <c r="DK7" t="e">
        <f>AND(Liste!#REF!,"AAAAAG672nI=")</f>
        <v>#REF!</v>
      </c>
      <c r="DL7" t="e">
        <f>AND(Liste!#REF!,"AAAAAG672nM=")</f>
        <v>#REF!</v>
      </c>
      <c r="DM7" t="e">
        <f>AND(Liste!#REF!,"AAAAAG672nQ=")</f>
        <v>#REF!</v>
      </c>
      <c r="DN7" t="e">
        <f>AND(Liste!#REF!,"AAAAAG672nU=")</f>
        <v>#REF!</v>
      </c>
      <c r="DO7" t="e">
        <f>AND(Liste!#REF!,"AAAAAG672nY=")</f>
        <v>#REF!</v>
      </c>
      <c r="DP7" t="e">
        <f>AND(Liste!#REF!,"AAAAAG672nc=")</f>
        <v>#REF!</v>
      </c>
      <c r="DQ7" t="e">
        <f>AND(Liste!#REF!,"AAAAAG672ng=")</f>
        <v>#REF!</v>
      </c>
      <c r="DR7" t="e">
        <f>AND(Liste!#REF!,"AAAAAG672nk=")</f>
        <v>#REF!</v>
      </c>
      <c r="DS7" t="e">
        <f>AND(Liste!#REF!,"AAAAAG672no=")</f>
        <v>#REF!</v>
      </c>
      <c r="DT7" t="e">
        <f>AND(Liste!#REF!,"AAAAAG672ns=")</f>
        <v>#REF!</v>
      </c>
      <c r="DU7" t="e">
        <f>AND(Liste!#REF!,"AAAAAG672nw=")</f>
        <v>#REF!</v>
      </c>
      <c r="DV7" t="e">
        <f>AND(Liste!#REF!,"AAAAAG672n0=")</f>
        <v>#REF!</v>
      </c>
      <c r="DW7" t="e">
        <f>AND(Liste!#REF!,"AAAAAG672n4=")</f>
        <v>#REF!</v>
      </c>
      <c r="DX7" t="e">
        <f>AND(Liste!#REF!,"AAAAAG672n8=")</f>
        <v>#REF!</v>
      </c>
      <c r="DY7" t="e">
        <f>AND(Liste!#REF!,"AAAAAG672oA=")</f>
        <v>#REF!</v>
      </c>
      <c r="DZ7" t="e">
        <f>AND(Liste!#REF!,"AAAAAG672oE=")</f>
        <v>#REF!</v>
      </c>
      <c r="EA7" t="e">
        <f>AND(Liste!#REF!,"AAAAAG672oI=")</f>
        <v>#REF!</v>
      </c>
      <c r="EB7" t="e">
        <f>AND(Liste!#REF!,"AAAAAG672oM=")</f>
        <v>#REF!</v>
      </c>
      <c r="EC7" t="e">
        <f>AND(Liste!#REF!,"AAAAAG672oQ=")</f>
        <v>#REF!</v>
      </c>
      <c r="ED7" t="e">
        <f>AND(Liste!#REF!,"AAAAAG672oU=")</f>
        <v>#REF!</v>
      </c>
      <c r="EE7" t="e">
        <f>AND(Liste!#REF!,"AAAAAG672oY=")</f>
        <v>#REF!</v>
      </c>
      <c r="EF7" t="e">
        <f>AND(Liste!#REF!,"AAAAAG672oc=")</f>
        <v>#REF!</v>
      </c>
      <c r="EG7" t="e">
        <f>AND(Liste!#REF!,"AAAAAG672og=")</f>
        <v>#REF!</v>
      </c>
      <c r="EH7" t="e">
        <f>AND(Liste!#REF!,"AAAAAG672ok=")</f>
        <v>#REF!</v>
      </c>
      <c r="EI7" t="e">
        <f>IF(Liste!#REF!,"AAAAAG672oo=",0)</f>
        <v>#REF!</v>
      </c>
      <c r="EJ7" t="e">
        <f>AND(Liste!#REF!,"AAAAAG672os=")</f>
        <v>#REF!</v>
      </c>
      <c r="EK7" t="e">
        <f>AND(Liste!#REF!,"AAAAAG672ow=")</f>
        <v>#REF!</v>
      </c>
      <c r="EL7" t="e">
        <f>AND(Liste!#REF!,"AAAAAG672o0=")</f>
        <v>#REF!</v>
      </c>
      <c r="EM7" t="e">
        <f>AND(Liste!#REF!,"AAAAAG672o4=")</f>
        <v>#REF!</v>
      </c>
      <c r="EN7" t="e">
        <f>AND(Liste!#REF!,"AAAAAG672o8=")</f>
        <v>#REF!</v>
      </c>
      <c r="EO7" t="e">
        <f>AND(Liste!#REF!,"AAAAAG672pA=")</f>
        <v>#REF!</v>
      </c>
      <c r="EP7" t="e">
        <f>AND(Liste!#REF!,"AAAAAG672pE=")</f>
        <v>#REF!</v>
      </c>
      <c r="EQ7" t="e">
        <f>AND(Liste!#REF!,"AAAAAG672pI=")</f>
        <v>#REF!</v>
      </c>
      <c r="ER7" t="e">
        <f>AND(Liste!#REF!,"AAAAAG672pM=")</f>
        <v>#REF!</v>
      </c>
      <c r="ES7" t="e">
        <f>AND(Liste!#REF!,"AAAAAG672pQ=")</f>
        <v>#REF!</v>
      </c>
      <c r="ET7" t="e">
        <f>AND(Liste!#REF!,"AAAAAG672pU=")</f>
        <v>#REF!</v>
      </c>
      <c r="EU7" t="e">
        <f>AND(Liste!#REF!,"AAAAAG672pY=")</f>
        <v>#REF!</v>
      </c>
      <c r="EV7" t="e">
        <f>AND(Liste!#REF!,"AAAAAG672pc=")</f>
        <v>#REF!</v>
      </c>
      <c r="EW7" t="e">
        <f>AND(Liste!#REF!,"AAAAAG672pg=")</f>
        <v>#REF!</v>
      </c>
      <c r="EX7" t="e">
        <f>AND(Liste!#REF!,"AAAAAG672pk=")</f>
        <v>#REF!</v>
      </c>
      <c r="EY7" t="e">
        <f>AND(Liste!#REF!,"AAAAAG672po=")</f>
        <v>#REF!</v>
      </c>
      <c r="EZ7" t="e">
        <f>AND(Liste!#REF!,"AAAAAG672ps=")</f>
        <v>#REF!</v>
      </c>
      <c r="FA7" t="e">
        <f>AND(Liste!#REF!,"AAAAAG672pw=")</f>
        <v>#REF!</v>
      </c>
      <c r="FB7" t="e">
        <f>AND(Liste!#REF!,"AAAAAG672p0=")</f>
        <v>#REF!</v>
      </c>
      <c r="FC7" t="e">
        <f>AND(Liste!#REF!,"AAAAAG672p4=")</f>
        <v>#REF!</v>
      </c>
      <c r="FD7" t="e">
        <f>AND(Liste!#REF!,"AAAAAG672p8=")</f>
        <v>#REF!</v>
      </c>
      <c r="FE7" t="e">
        <f>AND(Liste!#REF!,"AAAAAG672qA=")</f>
        <v>#REF!</v>
      </c>
      <c r="FF7" t="e">
        <f>AND(Liste!#REF!,"AAAAAG672qE=")</f>
        <v>#REF!</v>
      </c>
      <c r="FG7" t="e">
        <f>AND(Liste!#REF!,"AAAAAG672qI=")</f>
        <v>#REF!</v>
      </c>
      <c r="FH7" t="e">
        <f>AND(Liste!#REF!,"AAAAAG672qM=")</f>
        <v>#REF!</v>
      </c>
      <c r="FI7" t="e">
        <f>AND(Liste!#REF!,"AAAAAG672qQ=")</f>
        <v>#REF!</v>
      </c>
      <c r="FJ7" t="e">
        <f>AND(Liste!#REF!,"AAAAAG672qU=")</f>
        <v>#REF!</v>
      </c>
      <c r="FK7" t="e">
        <f>AND(Liste!#REF!,"AAAAAG672qY=")</f>
        <v>#REF!</v>
      </c>
      <c r="FL7" t="e">
        <f>AND(Liste!#REF!,"AAAAAG672qc=")</f>
        <v>#REF!</v>
      </c>
      <c r="FM7" t="e">
        <f>AND(Liste!#REF!,"AAAAAG672qg=")</f>
        <v>#REF!</v>
      </c>
      <c r="FN7" t="e">
        <f>IF(Liste!#REF!,"AAAAAG672qk=",0)</f>
        <v>#REF!</v>
      </c>
      <c r="FO7" t="e">
        <f>AND(Liste!#REF!,"AAAAAG672qo=")</f>
        <v>#REF!</v>
      </c>
      <c r="FP7" t="e">
        <f>AND(Liste!#REF!,"AAAAAG672qs=")</f>
        <v>#REF!</v>
      </c>
      <c r="FQ7" t="e">
        <f>AND(Liste!#REF!,"AAAAAG672qw=")</f>
        <v>#REF!</v>
      </c>
      <c r="FR7" t="e">
        <f>AND(Liste!#REF!,"AAAAAG672q0=")</f>
        <v>#REF!</v>
      </c>
      <c r="FS7" t="e">
        <f>AND(Liste!#REF!,"AAAAAG672q4=")</f>
        <v>#REF!</v>
      </c>
      <c r="FT7" t="e">
        <f>AND(Liste!#REF!,"AAAAAG672q8=")</f>
        <v>#REF!</v>
      </c>
      <c r="FU7" t="e">
        <f>AND(Liste!#REF!,"AAAAAG672rA=")</f>
        <v>#REF!</v>
      </c>
      <c r="FV7" t="e">
        <f>AND(Liste!#REF!,"AAAAAG672rE=")</f>
        <v>#REF!</v>
      </c>
      <c r="FW7" t="e">
        <f>AND(Liste!#REF!,"AAAAAG672rI=")</f>
        <v>#REF!</v>
      </c>
      <c r="FX7" t="e">
        <f>AND(Liste!#REF!,"AAAAAG672rM=")</f>
        <v>#REF!</v>
      </c>
      <c r="FY7" t="e">
        <f>AND(Liste!#REF!,"AAAAAG672rQ=")</f>
        <v>#REF!</v>
      </c>
      <c r="FZ7" t="e">
        <f>AND(Liste!#REF!,"AAAAAG672rU=")</f>
        <v>#REF!</v>
      </c>
      <c r="GA7" t="e">
        <f>AND(Liste!#REF!,"AAAAAG672rY=")</f>
        <v>#REF!</v>
      </c>
      <c r="GB7" t="e">
        <f>AND(Liste!#REF!,"AAAAAG672rc=")</f>
        <v>#REF!</v>
      </c>
      <c r="GC7" t="e">
        <f>AND(Liste!#REF!,"AAAAAG672rg=")</f>
        <v>#REF!</v>
      </c>
      <c r="GD7" t="e">
        <f>AND(Liste!#REF!,"AAAAAG672rk=")</f>
        <v>#REF!</v>
      </c>
      <c r="GE7" t="e">
        <f>AND(Liste!#REF!,"AAAAAG672ro=")</f>
        <v>#REF!</v>
      </c>
      <c r="GF7" t="e">
        <f>AND(Liste!#REF!,"AAAAAG672rs=")</f>
        <v>#REF!</v>
      </c>
      <c r="GG7" t="e">
        <f>AND(Liste!#REF!,"AAAAAG672rw=")</f>
        <v>#REF!</v>
      </c>
      <c r="GH7" t="e">
        <f>AND(Liste!#REF!,"AAAAAG672r0=")</f>
        <v>#REF!</v>
      </c>
      <c r="GI7" t="e">
        <f>AND(Liste!#REF!,"AAAAAG672r4=")</f>
        <v>#REF!</v>
      </c>
      <c r="GJ7" t="e">
        <f>AND(Liste!#REF!,"AAAAAG672r8=")</f>
        <v>#REF!</v>
      </c>
      <c r="GK7" t="e">
        <f>AND(Liste!#REF!,"AAAAAG672sA=")</f>
        <v>#REF!</v>
      </c>
      <c r="GL7" t="e">
        <f>AND(Liste!#REF!,"AAAAAG672sE=")</f>
        <v>#REF!</v>
      </c>
      <c r="GM7" t="e">
        <f>AND(Liste!#REF!,"AAAAAG672sI=")</f>
        <v>#REF!</v>
      </c>
      <c r="GN7" t="e">
        <f>AND(Liste!#REF!,"AAAAAG672sM=")</f>
        <v>#REF!</v>
      </c>
      <c r="GO7" t="e">
        <f>AND(Liste!#REF!,"AAAAAG672sQ=")</f>
        <v>#REF!</v>
      </c>
      <c r="GP7" t="e">
        <f>AND(Liste!#REF!,"AAAAAG672sU=")</f>
        <v>#REF!</v>
      </c>
      <c r="GQ7" t="e">
        <f>AND(Liste!#REF!,"AAAAAG672sY=")</f>
        <v>#REF!</v>
      </c>
      <c r="GR7" t="e">
        <f>AND(Liste!#REF!,"AAAAAG672sc=")</f>
        <v>#REF!</v>
      </c>
      <c r="GS7" t="e">
        <f>IF(Liste!#REF!,"AAAAAG672sg=",0)</f>
        <v>#REF!</v>
      </c>
      <c r="GT7" t="e">
        <f>AND(Liste!#REF!,"AAAAAG672sk=")</f>
        <v>#REF!</v>
      </c>
      <c r="GU7" t="e">
        <f>AND(Liste!#REF!,"AAAAAG672so=")</f>
        <v>#REF!</v>
      </c>
      <c r="GV7" t="e">
        <f>AND(Liste!#REF!,"AAAAAG672ss=")</f>
        <v>#REF!</v>
      </c>
      <c r="GW7" t="e">
        <f>AND(Liste!#REF!,"AAAAAG672sw=")</f>
        <v>#REF!</v>
      </c>
      <c r="GX7" t="e">
        <f>AND(Liste!#REF!,"AAAAAG672s0=")</f>
        <v>#REF!</v>
      </c>
      <c r="GY7" t="e">
        <f>AND(Liste!#REF!,"AAAAAG672s4=")</f>
        <v>#REF!</v>
      </c>
      <c r="GZ7" t="e">
        <f>AND(Liste!#REF!,"AAAAAG672s8=")</f>
        <v>#REF!</v>
      </c>
      <c r="HA7" t="e">
        <f>AND(Liste!#REF!,"AAAAAG672tA=")</f>
        <v>#REF!</v>
      </c>
      <c r="HB7" t="e">
        <f>AND(Liste!#REF!,"AAAAAG672tE=")</f>
        <v>#REF!</v>
      </c>
      <c r="HC7" t="e">
        <f>AND(Liste!#REF!,"AAAAAG672tI=")</f>
        <v>#REF!</v>
      </c>
      <c r="HD7" t="e">
        <f>AND(Liste!#REF!,"AAAAAG672tM=")</f>
        <v>#REF!</v>
      </c>
      <c r="HE7" t="e">
        <f>AND(Liste!#REF!,"AAAAAG672tQ=")</f>
        <v>#REF!</v>
      </c>
      <c r="HF7" t="e">
        <f>AND(Liste!#REF!,"AAAAAG672tU=")</f>
        <v>#REF!</v>
      </c>
      <c r="HG7" t="e">
        <f>AND(Liste!#REF!,"AAAAAG672tY=")</f>
        <v>#REF!</v>
      </c>
      <c r="HH7" t="e">
        <f>AND(Liste!#REF!,"AAAAAG672tc=")</f>
        <v>#REF!</v>
      </c>
      <c r="HI7" t="e">
        <f>AND(Liste!#REF!,"AAAAAG672tg=")</f>
        <v>#REF!</v>
      </c>
      <c r="HJ7" t="e">
        <f>AND(Liste!#REF!,"AAAAAG672tk=")</f>
        <v>#REF!</v>
      </c>
      <c r="HK7" t="e">
        <f>AND(Liste!#REF!,"AAAAAG672to=")</f>
        <v>#REF!</v>
      </c>
      <c r="HL7" t="e">
        <f>AND(Liste!#REF!,"AAAAAG672ts=")</f>
        <v>#REF!</v>
      </c>
      <c r="HM7" t="e">
        <f>AND(Liste!#REF!,"AAAAAG672tw=")</f>
        <v>#REF!</v>
      </c>
      <c r="HN7" t="e">
        <f>AND(Liste!#REF!,"AAAAAG672t0=")</f>
        <v>#REF!</v>
      </c>
      <c r="HO7" t="e">
        <f>AND(Liste!#REF!,"AAAAAG672t4=")</f>
        <v>#REF!</v>
      </c>
      <c r="HP7" t="e">
        <f>AND(Liste!#REF!,"AAAAAG672t8=")</f>
        <v>#REF!</v>
      </c>
      <c r="HQ7" t="e">
        <f>AND(Liste!#REF!,"AAAAAG672uA=")</f>
        <v>#REF!</v>
      </c>
      <c r="HR7" t="e">
        <f>AND(Liste!#REF!,"AAAAAG672uE=")</f>
        <v>#REF!</v>
      </c>
      <c r="HS7" t="e">
        <f>AND(Liste!#REF!,"AAAAAG672uI=")</f>
        <v>#REF!</v>
      </c>
      <c r="HT7" t="e">
        <f>AND(Liste!#REF!,"AAAAAG672uM=")</f>
        <v>#REF!</v>
      </c>
      <c r="HU7" t="e">
        <f>AND(Liste!#REF!,"AAAAAG672uQ=")</f>
        <v>#REF!</v>
      </c>
      <c r="HV7" t="e">
        <f>AND(Liste!#REF!,"AAAAAG672uU=")</f>
        <v>#REF!</v>
      </c>
      <c r="HW7" t="e">
        <f>AND(Liste!#REF!,"AAAAAG672uY=")</f>
        <v>#REF!</v>
      </c>
      <c r="HX7" t="e">
        <f>IF(Liste!#REF!,"AAAAAG672uc=",0)</f>
        <v>#REF!</v>
      </c>
      <c r="HY7" t="e">
        <f>AND(Liste!#REF!,"AAAAAG672ug=")</f>
        <v>#REF!</v>
      </c>
      <c r="HZ7" t="e">
        <f>AND(Liste!#REF!,"AAAAAG672uk=")</f>
        <v>#REF!</v>
      </c>
      <c r="IA7" t="e">
        <f>AND(Liste!#REF!,"AAAAAG672uo=")</f>
        <v>#REF!</v>
      </c>
      <c r="IB7" t="e">
        <f>AND(Liste!#REF!,"AAAAAG672us=")</f>
        <v>#REF!</v>
      </c>
      <c r="IC7" t="e">
        <f>AND(Liste!#REF!,"AAAAAG672uw=")</f>
        <v>#REF!</v>
      </c>
      <c r="ID7" t="e">
        <f>AND(Liste!#REF!,"AAAAAG672u0=")</f>
        <v>#REF!</v>
      </c>
      <c r="IE7" t="e">
        <f>AND(Liste!#REF!,"AAAAAG672u4=")</f>
        <v>#REF!</v>
      </c>
      <c r="IF7" t="e">
        <f>AND(Liste!#REF!,"AAAAAG672u8=")</f>
        <v>#REF!</v>
      </c>
      <c r="IG7" t="e">
        <f>AND(Liste!#REF!,"AAAAAG672vA=")</f>
        <v>#REF!</v>
      </c>
      <c r="IH7" t="e">
        <f>AND(Liste!#REF!,"AAAAAG672vE=")</f>
        <v>#REF!</v>
      </c>
      <c r="II7" t="e">
        <f>AND(Liste!#REF!,"AAAAAG672vI=")</f>
        <v>#REF!</v>
      </c>
      <c r="IJ7" t="e">
        <f>AND(Liste!#REF!,"AAAAAG672vM=")</f>
        <v>#REF!</v>
      </c>
      <c r="IK7" t="e">
        <f>AND(Liste!#REF!,"AAAAAG672vQ=")</f>
        <v>#REF!</v>
      </c>
      <c r="IL7" t="e">
        <f>AND(Liste!#REF!,"AAAAAG672vU=")</f>
        <v>#REF!</v>
      </c>
      <c r="IM7" t="e">
        <f>AND(Liste!#REF!,"AAAAAG672vY=")</f>
        <v>#REF!</v>
      </c>
      <c r="IN7" t="e">
        <f>AND(Liste!#REF!,"AAAAAG672vc=")</f>
        <v>#REF!</v>
      </c>
      <c r="IO7" t="e">
        <f>AND(Liste!#REF!,"AAAAAG672vg=")</f>
        <v>#REF!</v>
      </c>
      <c r="IP7" t="e">
        <f>AND(Liste!#REF!,"AAAAAG672vk=")</f>
        <v>#REF!</v>
      </c>
      <c r="IQ7" t="e">
        <f>AND(Liste!#REF!,"AAAAAG672vo=")</f>
        <v>#REF!</v>
      </c>
      <c r="IR7" t="e">
        <f>AND(Liste!#REF!,"AAAAAG672vs=")</f>
        <v>#REF!</v>
      </c>
      <c r="IS7" t="e">
        <f>AND(Liste!#REF!,"AAAAAG672vw=")</f>
        <v>#REF!</v>
      </c>
      <c r="IT7" t="e">
        <f>AND(Liste!#REF!,"AAAAAG672v0=")</f>
        <v>#REF!</v>
      </c>
      <c r="IU7" t="e">
        <f>AND(Liste!#REF!,"AAAAAG672v4=")</f>
        <v>#REF!</v>
      </c>
      <c r="IV7" t="e">
        <f>AND(Liste!#REF!,"AAAAAG672v8=")</f>
        <v>#REF!</v>
      </c>
    </row>
    <row r="8" spans="1:256" x14ac:dyDescent="0.2">
      <c r="A8" t="e">
        <f>AND(Liste!#REF!,"AAAAAH/v+wA=")</f>
        <v>#REF!</v>
      </c>
      <c r="B8" t="e">
        <f>AND(Liste!#REF!,"AAAAAH/v+wE=")</f>
        <v>#REF!</v>
      </c>
      <c r="C8" t="e">
        <f>AND(Liste!#REF!,"AAAAAH/v+wI=")</f>
        <v>#REF!</v>
      </c>
      <c r="D8" t="e">
        <f>AND(Liste!#REF!,"AAAAAH/v+wM=")</f>
        <v>#REF!</v>
      </c>
      <c r="E8" t="e">
        <f>AND(Liste!#REF!,"AAAAAH/v+wQ=")</f>
        <v>#REF!</v>
      </c>
      <c r="F8" t="e">
        <f>AND(Liste!#REF!,"AAAAAH/v+wU=")</f>
        <v>#REF!</v>
      </c>
      <c r="G8" t="e">
        <f>IF(Liste!#REF!,"AAAAAH/v+wY=",0)</f>
        <v>#REF!</v>
      </c>
      <c r="H8" t="e">
        <f>AND(Liste!#REF!,"AAAAAH/v+wc=")</f>
        <v>#REF!</v>
      </c>
      <c r="I8" t="e">
        <f>AND(Liste!#REF!,"AAAAAH/v+wg=")</f>
        <v>#REF!</v>
      </c>
      <c r="J8" t="e">
        <f>AND(Liste!#REF!,"AAAAAH/v+wk=")</f>
        <v>#REF!</v>
      </c>
      <c r="K8" t="e">
        <f>AND(Liste!#REF!,"AAAAAH/v+wo=")</f>
        <v>#REF!</v>
      </c>
      <c r="L8" t="e">
        <f>AND(Liste!#REF!,"AAAAAH/v+ws=")</f>
        <v>#REF!</v>
      </c>
      <c r="M8" t="e">
        <f>AND(Liste!#REF!,"AAAAAH/v+ww=")</f>
        <v>#REF!</v>
      </c>
      <c r="N8" t="e">
        <f>AND(Liste!#REF!,"AAAAAH/v+w0=")</f>
        <v>#REF!</v>
      </c>
      <c r="O8" t="e">
        <f>AND(Liste!#REF!,"AAAAAH/v+w4=")</f>
        <v>#REF!</v>
      </c>
      <c r="P8" t="e">
        <f>AND(Liste!#REF!,"AAAAAH/v+w8=")</f>
        <v>#REF!</v>
      </c>
      <c r="Q8" t="e">
        <f>AND(Liste!#REF!,"AAAAAH/v+xA=")</f>
        <v>#REF!</v>
      </c>
      <c r="R8" t="e">
        <f>AND(Liste!#REF!,"AAAAAH/v+xE=")</f>
        <v>#REF!</v>
      </c>
      <c r="S8" t="e">
        <f>AND(Liste!#REF!,"AAAAAH/v+xI=")</f>
        <v>#REF!</v>
      </c>
      <c r="T8" t="e">
        <f>AND(Liste!#REF!,"AAAAAH/v+xM=")</f>
        <v>#REF!</v>
      </c>
      <c r="U8" t="e">
        <f>AND(Liste!#REF!,"AAAAAH/v+xQ=")</f>
        <v>#REF!</v>
      </c>
      <c r="V8" t="e">
        <f>AND(Liste!#REF!,"AAAAAH/v+xU=")</f>
        <v>#REF!</v>
      </c>
      <c r="W8" t="e">
        <f>AND(Liste!#REF!,"AAAAAH/v+xY=")</f>
        <v>#REF!</v>
      </c>
      <c r="X8" t="e">
        <f>AND(Liste!#REF!,"AAAAAH/v+xc=")</f>
        <v>#REF!</v>
      </c>
      <c r="Y8" t="e">
        <f>AND(Liste!#REF!,"AAAAAH/v+xg=")</f>
        <v>#REF!</v>
      </c>
      <c r="Z8" t="e">
        <f>AND(Liste!#REF!,"AAAAAH/v+xk=")</f>
        <v>#REF!</v>
      </c>
      <c r="AA8" t="e">
        <f>AND(Liste!#REF!,"AAAAAH/v+xo=")</f>
        <v>#REF!</v>
      </c>
      <c r="AB8" t="e">
        <f>AND(Liste!#REF!,"AAAAAH/v+xs=")</f>
        <v>#REF!</v>
      </c>
      <c r="AC8" t="e">
        <f>AND(Liste!#REF!,"AAAAAH/v+xw=")</f>
        <v>#REF!</v>
      </c>
      <c r="AD8" t="e">
        <f>AND(Liste!#REF!,"AAAAAH/v+x0=")</f>
        <v>#REF!</v>
      </c>
      <c r="AE8" t="e">
        <f>AND(Liste!#REF!,"AAAAAH/v+x4=")</f>
        <v>#REF!</v>
      </c>
      <c r="AF8" t="e">
        <f>AND(Liste!#REF!,"AAAAAH/v+x8=")</f>
        <v>#REF!</v>
      </c>
      <c r="AG8" t="e">
        <f>AND(Liste!#REF!,"AAAAAH/v+yA=")</f>
        <v>#REF!</v>
      </c>
      <c r="AH8" t="e">
        <f>AND(Liste!#REF!,"AAAAAH/v+yE=")</f>
        <v>#REF!</v>
      </c>
      <c r="AI8" t="e">
        <f>AND(Liste!#REF!,"AAAAAH/v+yI=")</f>
        <v>#REF!</v>
      </c>
      <c r="AJ8" t="e">
        <f>AND(Liste!#REF!,"AAAAAH/v+yM=")</f>
        <v>#REF!</v>
      </c>
      <c r="AK8" t="e">
        <f>AND(Liste!#REF!,"AAAAAH/v+yQ=")</f>
        <v>#REF!</v>
      </c>
      <c r="AL8">
        <f>IF(Liste!57:57,"AAAAAH/v+yU=",0)</f>
        <v>0</v>
      </c>
      <c r="AM8" t="e">
        <f>AND(Liste!A57,"AAAAAH/v+yY=")</f>
        <v>#VALUE!</v>
      </c>
      <c r="AN8" t="e">
        <f>AND(Liste!#REF!,"AAAAAH/v+yc=")</f>
        <v>#REF!</v>
      </c>
      <c r="AO8" t="e">
        <f>AND(Liste!#REF!,"AAAAAH/v+yg=")</f>
        <v>#REF!</v>
      </c>
      <c r="AP8" t="e">
        <f>AND(Liste!#REF!,"AAAAAH/v+yk=")</f>
        <v>#REF!</v>
      </c>
      <c r="AQ8" t="e">
        <f>AND(Liste!F113,"AAAAAH/v+yo=")</f>
        <v>#VALUE!</v>
      </c>
      <c r="AR8" t="e">
        <f>AND(Liste!G113,"AAAAAH/v+ys=")</f>
        <v>#VALUE!</v>
      </c>
      <c r="AS8" t="e">
        <f>AND(Liste!H113,"AAAAAH/v+yw=")</f>
        <v>#VALUE!</v>
      </c>
      <c r="AT8" t="e">
        <f>AND(Liste!I113,"AAAAAH/v+y0=")</f>
        <v>#VALUE!</v>
      </c>
      <c r="AU8" t="e">
        <f>AND(Liste!J113,"AAAAAH/v+y4=")</f>
        <v>#VALUE!</v>
      </c>
      <c r="AV8" t="e">
        <f>AND(Liste!#REF!,"AAAAAH/v+y8=")</f>
        <v>#REF!</v>
      </c>
      <c r="AW8" t="e">
        <f>AND(Liste!#REF!,"AAAAAH/v+zA=")</f>
        <v>#REF!</v>
      </c>
      <c r="AX8" t="e">
        <f>AND(Liste!#REF!,"AAAAAH/v+zE=")</f>
        <v>#REF!</v>
      </c>
      <c r="AY8" t="e">
        <f>AND(Liste!#REF!,"AAAAAH/v+zI=")</f>
        <v>#REF!</v>
      </c>
      <c r="AZ8" t="e">
        <f>AND(Liste!#REF!,"AAAAAH/v+zM=")</f>
        <v>#REF!</v>
      </c>
      <c r="BA8" t="e">
        <f>AND(Liste!#REF!,"AAAAAH/v+zQ=")</f>
        <v>#REF!</v>
      </c>
      <c r="BB8" t="e">
        <f>AND(Liste!#REF!,"AAAAAH/v+zU=")</f>
        <v>#REF!</v>
      </c>
      <c r="BC8" t="e">
        <f>AND(Liste!#REF!,"AAAAAH/v+zY=")</f>
        <v>#REF!</v>
      </c>
      <c r="BD8" t="e">
        <f>AND(Liste!#REF!,"AAAAAH/v+zc=")</f>
        <v>#REF!</v>
      </c>
      <c r="BE8" t="e">
        <f>AND(Liste!#REF!,"AAAAAH/v+zg=")</f>
        <v>#REF!</v>
      </c>
      <c r="BF8" t="e">
        <f>AND(Liste!#REF!,"AAAAAH/v+zk=")</f>
        <v>#REF!</v>
      </c>
      <c r="BG8" t="e">
        <f>AND(Liste!#REF!,"AAAAAH/v+zo=")</f>
        <v>#REF!</v>
      </c>
      <c r="BH8" t="e">
        <f>AND(Liste!#REF!,"AAAAAH/v+zs=")</f>
        <v>#REF!</v>
      </c>
      <c r="BI8" t="e">
        <f>AND(Liste!#REF!,"AAAAAH/v+zw=")</f>
        <v>#REF!</v>
      </c>
      <c r="BJ8" t="e">
        <f>AND(Liste!#REF!,"AAAAAH/v+z0=")</f>
        <v>#REF!</v>
      </c>
      <c r="BK8" t="e">
        <f>AND(Liste!#REF!,"AAAAAH/v+z4=")</f>
        <v>#REF!</v>
      </c>
      <c r="BL8" t="e">
        <f>AND(Liste!#REF!,"AAAAAH/v+z8=")</f>
        <v>#REF!</v>
      </c>
      <c r="BM8" t="e">
        <f>AND(Liste!#REF!,"AAAAAH/v+0A=")</f>
        <v>#REF!</v>
      </c>
      <c r="BN8" t="e">
        <f>AND(Liste!#REF!,"AAAAAH/v+0E=")</f>
        <v>#REF!</v>
      </c>
      <c r="BO8" t="e">
        <f>AND(Liste!#REF!,"AAAAAH/v+0I=")</f>
        <v>#REF!</v>
      </c>
      <c r="BP8" t="e">
        <f>AND(Liste!#REF!,"AAAAAH/v+0M=")</f>
        <v>#REF!</v>
      </c>
      <c r="BQ8">
        <f>IF(Liste!58:58,"AAAAAH/v+0Q=",0)</f>
        <v>0</v>
      </c>
      <c r="BR8" t="e">
        <f>AND(Liste!A58,"AAAAAH/v+0U=")</f>
        <v>#VALUE!</v>
      </c>
      <c r="BS8" t="e">
        <f>AND(Liste!#REF!,"AAAAAH/v+0Y=")</f>
        <v>#REF!</v>
      </c>
      <c r="BT8" t="e">
        <f>AND(Liste!#REF!,"AAAAAH/v+0c=")</f>
        <v>#REF!</v>
      </c>
      <c r="BU8" t="e">
        <f>AND(Liste!#REF!,"AAAAAH/v+0g=")</f>
        <v>#REF!</v>
      </c>
      <c r="BV8" t="e">
        <f>AND(Liste!F114,"AAAAAH/v+0k=")</f>
        <v>#VALUE!</v>
      </c>
      <c r="BW8" t="e">
        <f>AND(Liste!G114,"AAAAAH/v+0o=")</f>
        <v>#VALUE!</v>
      </c>
      <c r="BX8" t="e">
        <f>AND(Liste!H114,"AAAAAH/v+0s=")</f>
        <v>#VALUE!</v>
      </c>
      <c r="BY8" t="e">
        <f>AND(Liste!I114,"AAAAAH/v+0w=")</f>
        <v>#VALUE!</v>
      </c>
      <c r="BZ8" t="e">
        <f>AND(Liste!J114,"AAAAAH/v+00=")</f>
        <v>#VALUE!</v>
      </c>
      <c r="CA8" t="e">
        <f>AND(Liste!#REF!,"AAAAAH/v+04=")</f>
        <v>#REF!</v>
      </c>
      <c r="CB8" t="e">
        <f>AND(Liste!#REF!,"AAAAAH/v+08=")</f>
        <v>#REF!</v>
      </c>
      <c r="CC8" t="e">
        <f>AND(Liste!#REF!,"AAAAAH/v+1A=")</f>
        <v>#REF!</v>
      </c>
      <c r="CD8" t="e">
        <f>AND(Liste!#REF!,"AAAAAH/v+1E=")</f>
        <v>#REF!</v>
      </c>
      <c r="CE8" t="e">
        <f>AND(Liste!#REF!,"AAAAAH/v+1I=")</f>
        <v>#REF!</v>
      </c>
      <c r="CF8" t="e">
        <f>AND(Liste!#REF!,"AAAAAH/v+1M=")</f>
        <v>#REF!</v>
      </c>
      <c r="CG8" t="e">
        <f>AND(Liste!#REF!,"AAAAAH/v+1Q=")</f>
        <v>#REF!</v>
      </c>
      <c r="CH8" t="e">
        <f>AND(Liste!#REF!,"AAAAAH/v+1U=")</f>
        <v>#REF!</v>
      </c>
      <c r="CI8" t="e">
        <f>AND(Liste!#REF!,"AAAAAH/v+1Y=")</f>
        <v>#REF!</v>
      </c>
      <c r="CJ8" t="e">
        <f>AND(Liste!#REF!,"AAAAAH/v+1c=")</f>
        <v>#REF!</v>
      </c>
      <c r="CK8" t="e">
        <f>AND(Liste!#REF!,"AAAAAH/v+1g=")</f>
        <v>#REF!</v>
      </c>
      <c r="CL8" t="e">
        <f>AND(Liste!#REF!,"AAAAAH/v+1k=")</f>
        <v>#REF!</v>
      </c>
      <c r="CM8" t="e">
        <f>AND(Liste!#REF!,"AAAAAH/v+1o=")</f>
        <v>#REF!</v>
      </c>
      <c r="CN8" t="e">
        <f>AND(Liste!#REF!,"AAAAAH/v+1s=")</f>
        <v>#REF!</v>
      </c>
      <c r="CO8" t="e">
        <f>AND(Liste!#REF!,"AAAAAH/v+1w=")</f>
        <v>#REF!</v>
      </c>
      <c r="CP8" t="e">
        <f>AND(Liste!#REF!,"AAAAAH/v+10=")</f>
        <v>#REF!</v>
      </c>
      <c r="CQ8" t="e">
        <f>AND(Liste!#REF!,"AAAAAH/v+14=")</f>
        <v>#REF!</v>
      </c>
      <c r="CR8" t="e">
        <f>AND(Liste!#REF!,"AAAAAH/v+18=")</f>
        <v>#REF!</v>
      </c>
      <c r="CS8" t="e">
        <f>AND(Liste!#REF!,"AAAAAH/v+2A=")</f>
        <v>#REF!</v>
      </c>
      <c r="CT8" t="e">
        <f>AND(Liste!#REF!,"AAAAAH/v+2E=")</f>
        <v>#REF!</v>
      </c>
      <c r="CU8" t="e">
        <f>AND(Liste!#REF!,"AAAAAH/v+2I=")</f>
        <v>#REF!</v>
      </c>
      <c r="CV8">
        <f>IF(Liste!59:59,"AAAAAH/v+2M=",0)</f>
        <v>0</v>
      </c>
      <c r="CW8" t="b">
        <f>AND(Liste!A59,"AAAAAH/v+2Q=")</f>
        <v>1</v>
      </c>
      <c r="CX8" t="e">
        <f>AND(Liste!#REF!,"AAAAAH/v+2U=")</f>
        <v>#REF!</v>
      </c>
      <c r="CY8" t="e">
        <f>AND(Liste!#REF!,"AAAAAH/v+2Y=")</f>
        <v>#REF!</v>
      </c>
      <c r="CZ8" t="e">
        <f>AND(Liste!#REF!,"AAAAAH/v+2c=")</f>
        <v>#REF!</v>
      </c>
      <c r="DA8" t="e">
        <f>AND(Liste!F115,"AAAAAH/v+2g=")</f>
        <v>#VALUE!</v>
      </c>
      <c r="DB8" t="e">
        <f>AND(Liste!G115,"AAAAAH/v+2k=")</f>
        <v>#VALUE!</v>
      </c>
      <c r="DC8" t="e">
        <f>AND(Liste!H115,"AAAAAH/v+2o=")</f>
        <v>#VALUE!</v>
      </c>
      <c r="DD8" t="e">
        <f>AND(Liste!I115,"AAAAAH/v+2s=")</f>
        <v>#VALUE!</v>
      </c>
      <c r="DE8" t="e">
        <f>AND(Liste!J115,"AAAAAH/v+2w=")</f>
        <v>#VALUE!</v>
      </c>
      <c r="DF8" t="e">
        <f>AND(Liste!#REF!,"AAAAAH/v+20=")</f>
        <v>#REF!</v>
      </c>
      <c r="DG8" t="e">
        <f>AND(Liste!#REF!,"AAAAAH/v+24=")</f>
        <v>#REF!</v>
      </c>
      <c r="DH8" t="e">
        <f>AND(Liste!#REF!,"AAAAAH/v+28=")</f>
        <v>#REF!</v>
      </c>
      <c r="DI8" t="e">
        <f>AND(Liste!#REF!,"AAAAAH/v+3A=")</f>
        <v>#REF!</v>
      </c>
      <c r="DJ8" t="e">
        <f>AND(Liste!#REF!,"AAAAAH/v+3E=")</f>
        <v>#REF!</v>
      </c>
      <c r="DK8" t="e">
        <f>AND(Liste!#REF!,"AAAAAH/v+3I=")</f>
        <v>#REF!</v>
      </c>
      <c r="DL8" t="e">
        <f>AND(Liste!#REF!,"AAAAAH/v+3M=")</f>
        <v>#REF!</v>
      </c>
      <c r="DM8" t="e">
        <f>AND(Liste!#REF!,"AAAAAH/v+3Q=")</f>
        <v>#REF!</v>
      </c>
      <c r="DN8" t="e">
        <f>AND(Liste!#REF!,"AAAAAH/v+3U=")</f>
        <v>#REF!</v>
      </c>
      <c r="DO8" t="e">
        <f>AND(Liste!#REF!,"AAAAAH/v+3Y=")</f>
        <v>#REF!</v>
      </c>
      <c r="DP8" t="e">
        <f>AND(Liste!#REF!,"AAAAAH/v+3c=")</f>
        <v>#REF!</v>
      </c>
      <c r="DQ8" t="e">
        <f>AND(Liste!#REF!,"AAAAAH/v+3g=")</f>
        <v>#REF!</v>
      </c>
      <c r="DR8" t="e">
        <f>AND(Liste!#REF!,"AAAAAH/v+3k=")</f>
        <v>#REF!</v>
      </c>
      <c r="DS8" t="e">
        <f>AND(Liste!#REF!,"AAAAAH/v+3o=")</f>
        <v>#REF!</v>
      </c>
      <c r="DT8" t="e">
        <f>AND(Liste!#REF!,"AAAAAH/v+3s=")</f>
        <v>#REF!</v>
      </c>
      <c r="DU8" t="e">
        <f>AND(Liste!#REF!,"AAAAAH/v+3w=")</f>
        <v>#REF!</v>
      </c>
      <c r="DV8" t="e">
        <f>AND(Liste!#REF!,"AAAAAH/v+30=")</f>
        <v>#REF!</v>
      </c>
      <c r="DW8" t="e">
        <f>AND(Liste!#REF!,"AAAAAH/v+34=")</f>
        <v>#REF!</v>
      </c>
      <c r="DX8" t="e">
        <f>AND(Liste!#REF!,"AAAAAH/v+38=")</f>
        <v>#REF!</v>
      </c>
      <c r="DY8" t="e">
        <f>AND(Liste!#REF!,"AAAAAH/v+4A=")</f>
        <v>#REF!</v>
      </c>
      <c r="DZ8" t="e">
        <f>AND(Liste!#REF!,"AAAAAH/v+4E=")</f>
        <v>#REF!</v>
      </c>
      <c r="EA8">
        <f>IF(Liste!60:60,"AAAAAH/v+4I=",0)</f>
        <v>0</v>
      </c>
      <c r="EB8" t="b">
        <f>AND(Liste!A60,"AAAAAH/v+4M=")</f>
        <v>1</v>
      </c>
      <c r="EC8" t="e">
        <f>AND(Liste!#REF!,"AAAAAH/v+4Q=")</f>
        <v>#REF!</v>
      </c>
      <c r="ED8" t="e">
        <f>AND(Liste!#REF!,"AAAAAH/v+4U=")</f>
        <v>#REF!</v>
      </c>
      <c r="EE8" t="e">
        <f>AND(Liste!#REF!,"AAAAAH/v+4Y=")</f>
        <v>#REF!</v>
      </c>
      <c r="EF8" t="e">
        <f>AND(Liste!F116,"AAAAAH/v+4c=")</f>
        <v>#VALUE!</v>
      </c>
      <c r="EG8" t="e">
        <f>AND(Liste!G116,"AAAAAH/v+4g=")</f>
        <v>#VALUE!</v>
      </c>
      <c r="EH8" t="e">
        <f>AND(Liste!H116,"AAAAAH/v+4k=")</f>
        <v>#VALUE!</v>
      </c>
      <c r="EI8" t="e">
        <f>AND(Liste!I116,"AAAAAH/v+4o=")</f>
        <v>#VALUE!</v>
      </c>
      <c r="EJ8" t="e">
        <f>AND(Liste!J116,"AAAAAH/v+4s=")</f>
        <v>#VALUE!</v>
      </c>
      <c r="EK8" t="e">
        <f>AND(Liste!#REF!,"AAAAAH/v+4w=")</f>
        <v>#REF!</v>
      </c>
      <c r="EL8" t="e">
        <f>AND(Liste!#REF!,"AAAAAH/v+40=")</f>
        <v>#REF!</v>
      </c>
      <c r="EM8" t="e">
        <f>AND(Liste!#REF!,"AAAAAH/v+44=")</f>
        <v>#REF!</v>
      </c>
      <c r="EN8" t="e">
        <f>AND(Liste!#REF!,"AAAAAH/v+48=")</f>
        <v>#REF!</v>
      </c>
      <c r="EO8" t="e">
        <f>AND(Liste!#REF!,"AAAAAH/v+5A=")</f>
        <v>#REF!</v>
      </c>
      <c r="EP8" t="e">
        <f>AND(Liste!#REF!,"AAAAAH/v+5E=")</f>
        <v>#REF!</v>
      </c>
      <c r="EQ8" t="e">
        <f>AND(Liste!#REF!,"AAAAAH/v+5I=")</f>
        <v>#REF!</v>
      </c>
      <c r="ER8" t="e">
        <f>AND(Liste!#REF!,"AAAAAH/v+5M=")</f>
        <v>#REF!</v>
      </c>
      <c r="ES8" t="e">
        <f>AND(Liste!#REF!,"AAAAAH/v+5Q=")</f>
        <v>#REF!</v>
      </c>
      <c r="ET8" t="e">
        <f>AND(Liste!#REF!,"AAAAAH/v+5U=")</f>
        <v>#REF!</v>
      </c>
      <c r="EU8" t="e">
        <f>AND(Liste!#REF!,"AAAAAH/v+5Y=")</f>
        <v>#REF!</v>
      </c>
      <c r="EV8" t="e">
        <f>AND(Liste!#REF!,"AAAAAH/v+5c=")</f>
        <v>#REF!</v>
      </c>
      <c r="EW8" t="e">
        <f>AND(Liste!#REF!,"AAAAAH/v+5g=")</f>
        <v>#REF!</v>
      </c>
      <c r="EX8" t="e">
        <f>AND(Liste!#REF!,"AAAAAH/v+5k=")</f>
        <v>#REF!</v>
      </c>
      <c r="EY8" t="e">
        <f>AND(Liste!#REF!,"AAAAAH/v+5o=")</f>
        <v>#REF!</v>
      </c>
      <c r="EZ8" t="e">
        <f>AND(Liste!#REF!,"AAAAAH/v+5s=")</f>
        <v>#REF!</v>
      </c>
      <c r="FA8" t="e">
        <f>AND(Liste!#REF!,"AAAAAH/v+5w=")</f>
        <v>#REF!</v>
      </c>
      <c r="FB8" t="e">
        <f>AND(Liste!#REF!,"AAAAAH/v+50=")</f>
        <v>#REF!</v>
      </c>
      <c r="FC8" t="e">
        <f>AND(Liste!#REF!,"AAAAAH/v+54=")</f>
        <v>#REF!</v>
      </c>
      <c r="FD8" t="e">
        <f>AND(Liste!#REF!,"AAAAAH/v+58=")</f>
        <v>#REF!</v>
      </c>
      <c r="FE8" t="e">
        <f>AND(Liste!#REF!,"AAAAAH/v+6A=")</f>
        <v>#REF!</v>
      </c>
      <c r="FF8">
        <f>IF(Liste!61:61,"AAAAAH/v+6E=",0)</f>
        <v>0</v>
      </c>
      <c r="FG8" t="b">
        <f>AND(Liste!A61,"AAAAAH/v+6I=")</f>
        <v>1</v>
      </c>
      <c r="FH8" t="e">
        <f>AND(Liste!#REF!,"AAAAAH/v+6M=")</f>
        <v>#REF!</v>
      </c>
      <c r="FI8" t="e">
        <f>AND(Liste!#REF!,"AAAAAH/v+6Q=")</f>
        <v>#REF!</v>
      </c>
      <c r="FJ8" t="e">
        <f>AND(Liste!#REF!,"AAAAAH/v+6U=")</f>
        <v>#REF!</v>
      </c>
      <c r="FK8" t="e">
        <f>AND(Liste!F117,"AAAAAH/v+6Y=")</f>
        <v>#VALUE!</v>
      </c>
      <c r="FL8" t="e">
        <f>AND(Liste!G117,"AAAAAH/v+6c=")</f>
        <v>#VALUE!</v>
      </c>
      <c r="FM8" t="e">
        <f>AND(Liste!H117,"AAAAAH/v+6g=")</f>
        <v>#VALUE!</v>
      </c>
      <c r="FN8" t="e">
        <f>AND(Liste!I117,"AAAAAH/v+6k=")</f>
        <v>#VALUE!</v>
      </c>
      <c r="FO8" t="e">
        <f>AND(Liste!J117,"AAAAAH/v+6o=")</f>
        <v>#VALUE!</v>
      </c>
      <c r="FP8" t="e">
        <f>AND(Liste!#REF!,"AAAAAH/v+6s=")</f>
        <v>#REF!</v>
      </c>
      <c r="FQ8" t="e">
        <f>AND(Liste!#REF!,"AAAAAH/v+6w=")</f>
        <v>#REF!</v>
      </c>
      <c r="FR8" t="e">
        <f>AND(Liste!#REF!,"AAAAAH/v+60=")</f>
        <v>#REF!</v>
      </c>
      <c r="FS8" t="e">
        <f>AND(Liste!#REF!,"AAAAAH/v+64=")</f>
        <v>#REF!</v>
      </c>
      <c r="FT8" t="e">
        <f>AND(Liste!#REF!,"AAAAAH/v+68=")</f>
        <v>#REF!</v>
      </c>
      <c r="FU8" t="e">
        <f>AND(Liste!#REF!,"AAAAAH/v+7A=")</f>
        <v>#REF!</v>
      </c>
      <c r="FV8" t="e">
        <f>AND(Liste!#REF!,"AAAAAH/v+7E=")</f>
        <v>#REF!</v>
      </c>
      <c r="FW8" t="e">
        <f>AND(Liste!#REF!,"AAAAAH/v+7I=")</f>
        <v>#REF!</v>
      </c>
      <c r="FX8" t="e">
        <f>AND(Liste!#REF!,"AAAAAH/v+7M=")</f>
        <v>#REF!</v>
      </c>
      <c r="FY8" t="e">
        <f>AND(Liste!#REF!,"AAAAAH/v+7Q=")</f>
        <v>#REF!</v>
      </c>
      <c r="FZ8" t="e">
        <f>AND(Liste!#REF!,"AAAAAH/v+7U=")</f>
        <v>#REF!</v>
      </c>
      <c r="GA8" t="e">
        <f>AND(Liste!#REF!,"AAAAAH/v+7Y=")</f>
        <v>#REF!</v>
      </c>
      <c r="GB8" t="e">
        <f>AND(Liste!#REF!,"AAAAAH/v+7c=")</f>
        <v>#REF!</v>
      </c>
      <c r="GC8" t="e">
        <f>AND(Liste!#REF!,"AAAAAH/v+7g=")</f>
        <v>#REF!</v>
      </c>
      <c r="GD8" t="e">
        <f>AND(Liste!#REF!,"AAAAAH/v+7k=")</f>
        <v>#REF!</v>
      </c>
      <c r="GE8" t="e">
        <f>AND(Liste!#REF!,"AAAAAH/v+7o=")</f>
        <v>#REF!</v>
      </c>
      <c r="GF8" t="e">
        <f>AND(Liste!#REF!,"AAAAAH/v+7s=")</f>
        <v>#REF!</v>
      </c>
      <c r="GG8" t="e">
        <f>AND(Liste!#REF!,"AAAAAH/v+7w=")</f>
        <v>#REF!</v>
      </c>
      <c r="GH8" t="e">
        <f>AND(Liste!#REF!,"AAAAAH/v+70=")</f>
        <v>#REF!</v>
      </c>
      <c r="GI8" t="e">
        <f>AND(Liste!#REF!,"AAAAAH/v+74=")</f>
        <v>#REF!</v>
      </c>
      <c r="GJ8" t="e">
        <f>AND(Liste!#REF!,"AAAAAH/v+78=")</f>
        <v>#REF!</v>
      </c>
      <c r="GK8">
        <f>IF(Liste!62:62,"AAAAAH/v+8A=",0)</f>
        <v>0</v>
      </c>
      <c r="GL8" t="b">
        <f>AND(Liste!A62,"AAAAAH/v+8E=")</f>
        <v>1</v>
      </c>
      <c r="GM8" t="e">
        <f>AND(Liste!#REF!,"AAAAAH/v+8I=")</f>
        <v>#REF!</v>
      </c>
      <c r="GN8" t="e">
        <f>AND(Liste!#REF!,"AAAAAH/v+8M=")</f>
        <v>#REF!</v>
      </c>
      <c r="GO8" t="e">
        <f>AND(Liste!#REF!,"AAAAAH/v+8Q=")</f>
        <v>#REF!</v>
      </c>
      <c r="GP8" t="e">
        <f>AND(Liste!F118,"AAAAAH/v+8U=")</f>
        <v>#VALUE!</v>
      </c>
      <c r="GQ8" t="e">
        <f>AND(Liste!G118,"AAAAAH/v+8Y=")</f>
        <v>#VALUE!</v>
      </c>
      <c r="GR8" t="e">
        <f>AND(Liste!H118,"AAAAAH/v+8c=")</f>
        <v>#VALUE!</v>
      </c>
      <c r="GS8" t="e">
        <f>AND(Liste!I118,"AAAAAH/v+8g=")</f>
        <v>#VALUE!</v>
      </c>
      <c r="GT8" t="e">
        <f>AND(Liste!J118,"AAAAAH/v+8k=")</f>
        <v>#VALUE!</v>
      </c>
      <c r="GU8" t="e">
        <f>AND(Liste!#REF!,"AAAAAH/v+8o=")</f>
        <v>#REF!</v>
      </c>
      <c r="GV8" t="e">
        <f>AND(Liste!#REF!,"AAAAAH/v+8s=")</f>
        <v>#REF!</v>
      </c>
      <c r="GW8" t="e">
        <f>AND(Liste!#REF!,"AAAAAH/v+8w=")</f>
        <v>#REF!</v>
      </c>
      <c r="GX8" t="e">
        <f>AND(Liste!#REF!,"AAAAAH/v+80=")</f>
        <v>#REF!</v>
      </c>
      <c r="GY8" t="e">
        <f>AND(Liste!#REF!,"AAAAAH/v+84=")</f>
        <v>#REF!</v>
      </c>
      <c r="GZ8" t="e">
        <f>AND(Liste!#REF!,"AAAAAH/v+88=")</f>
        <v>#REF!</v>
      </c>
      <c r="HA8" t="e">
        <f>AND(Liste!#REF!,"AAAAAH/v+9A=")</f>
        <v>#REF!</v>
      </c>
      <c r="HB8" t="e">
        <f>AND(Liste!#REF!,"AAAAAH/v+9E=")</f>
        <v>#REF!</v>
      </c>
      <c r="HC8" t="e">
        <f>AND(Liste!#REF!,"AAAAAH/v+9I=")</f>
        <v>#REF!</v>
      </c>
      <c r="HD8" t="e">
        <f>AND(Liste!#REF!,"AAAAAH/v+9M=")</f>
        <v>#REF!</v>
      </c>
      <c r="HE8" t="e">
        <f>AND(Liste!#REF!,"AAAAAH/v+9Q=")</f>
        <v>#REF!</v>
      </c>
      <c r="HF8" t="e">
        <f>AND(Liste!#REF!,"AAAAAH/v+9U=")</f>
        <v>#REF!</v>
      </c>
      <c r="HG8" t="e">
        <f>AND(Liste!#REF!,"AAAAAH/v+9Y=")</f>
        <v>#REF!</v>
      </c>
      <c r="HH8" t="e">
        <f>AND(Liste!#REF!,"AAAAAH/v+9c=")</f>
        <v>#REF!</v>
      </c>
      <c r="HI8" t="e">
        <f>AND(Liste!#REF!,"AAAAAH/v+9g=")</f>
        <v>#REF!</v>
      </c>
      <c r="HJ8" t="e">
        <f>AND(Liste!#REF!,"AAAAAH/v+9k=")</f>
        <v>#REF!</v>
      </c>
      <c r="HK8" t="e">
        <f>AND(Liste!#REF!,"AAAAAH/v+9o=")</f>
        <v>#REF!</v>
      </c>
      <c r="HL8" t="e">
        <f>AND(Liste!#REF!,"AAAAAH/v+9s=")</f>
        <v>#REF!</v>
      </c>
      <c r="HM8" t="e">
        <f>AND(Liste!#REF!,"AAAAAH/v+9w=")</f>
        <v>#REF!</v>
      </c>
      <c r="HN8" t="e">
        <f>AND(Liste!#REF!,"AAAAAH/v+90=")</f>
        <v>#REF!</v>
      </c>
      <c r="HO8" t="e">
        <f>AND(Liste!#REF!,"AAAAAH/v+94=")</f>
        <v>#REF!</v>
      </c>
      <c r="HP8">
        <f>IF(Liste!63:63,"AAAAAH/v+98=",0)</f>
        <v>0</v>
      </c>
      <c r="HQ8" t="b">
        <f>AND(Liste!A63,"AAAAAH/v++A=")</f>
        <v>1</v>
      </c>
      <c r="HR8" t="e">
        <f>AND(Liste!#REF!,"AAAAAH/v++E=")</f>
        <v>#REF!</v>
      </c>
      <c r="HS8" t="e">
        <f>AND(Liste!#REF!,"AAAAAH/v++I=")</f>
        <v>#REF!</v>
      </c>
      <c r="HT8" t="e">
        <f>AND(Liste!#REF!,"AAAAAH/v++M=")</f>
        <v>#REF!</v>
      </c>
      <c r="HU8" t="e">
        <f>AND(Liste!F119,"AAAAAH/v++Q=")</f>
        <v>#VALUE!</v>
      </c>
      <c r="HV8" t="e">
        <f>AND(Liste!G119,"AAAAAH/v++U=")</f>
        <v>#VALUE!</v>
      </c>
      <c r="HW8" t="e">
        <f>AND(Liste!H119,"AAAAAH/v++Y=")</f>
        <v>#VALUE!</v>
      </c>
      <c r="HX8" t="e">
        <f>AND(Liste!I119,"AAAAAH/v++c=")</f>
        <v>#VALUE!</v>
      </c>
      <c r="HY8" t="e">
        <f>AND(Liste!J119,"AAAAAH/v++g=")</f>
        <v>#VALUE!</v>
      </c>
      <c r="HZ8" t="e">
        <f>AND(Liste!#REF!,"AAAAAH/v++k=")</f>
        <v>#REF!</v>
      </c>
      <c r="IA8" t="e">
        <f>AND(Liste!#REF!,"AAAAAH/v++o=")</f>
        <v>#REF!</v>
      </c>
      <c r="IB8" t="e">
        <f>AND(Liste!#REF!,"AAAAAH/v++s=")</f>
        <v>#REF!</v>
      </c>
      <c r="IC8" t="e">
        <f>AND(Liste!#REF!,"AAAAAH/v++w=")</f>
        <v>#REF!</v>
      </c>
      <c r="ID8" t="e">
        <f>AND(Liste!#REF!,"AAAAAH/v++0=")</f>
        <v>#REF!</v>
      </c>
      <c r="IE8" t="e">
        <f>AND(Liste!#REF!,"AAAAAH/v++4=")</f>
        <v>#REF!</v>
      </c>
      <c r="IF8" t="e">
        <f>AND(Liste!#REF!,"AAAAAH/v++8=")</f>
        <v>#REF!</v>
      </c>
      <c r="IG8" t="e">
        <f>AND(Liste!#REF!,"AAAAAH/v+/A=")</f>
        <v>#REF!</v>
      </c>
      <c r="IH8" t="e">
        <f>AND(Liste!#REF!,"AAAAAH/v+/E=")</f>
        <v>#REF!</v>
      </c>
      <c r="II8" t="e">
        <f>AND(Liste!#REF!,"AAAAAH/v+/I=")</f>
        <v>#REF!</v>
      </c>
      <c r="IJ8" t="e">
        <f>AND(Liste!#REF!,"AAAAAH/v+/M=")</f>
        <v>#REF!</v>
      </c>
      <c r="IK8" t="e">
        <f>AND(Liste!#REF!,"AAAAAH/v+/Q=")</f>
        <v>#REF!</v>
      </c>
      <c r="IL8" t="e">
        <f>AND(Liste!#REF!,"AAAAAH/v+/U=")</f>
        <v>#REF!</v>
      </c>
      <c r="IM8" t="e">
        <f>AND(Liste!#REF!,"AAAAAH/v+/Y=")</f>
        <v>#REF!</v>
      </c>
      <c r="IN8" t="e">
        <f>AND(Liste!#REF!,"AAAAAH/v+/c=")</f>
        <v>#REF!</v>
      </c>
      <c r="IO8" t="e">
        <f>AND(Liste!#REF!,"AAAAAH/v+/g=")</f>
        <v>#REF!</v>
      </c>
      <c r="IP8" t="e">
        <f>AND(Liste!#REF!,"AAAAAH/v+/k=")</f>
        <v>#REF!</v>
      </c>
      <c r="IQ8" t="e">
        <f>AND(Liste!#REF!,"AAAAAH/v+/o=")</f>
        <v>#REF!</v>
      </c>
      <c r="IR8" t="e">
        <f>AND(Liste!#REF!,"AAAAAH/v+/s=")</f>
        <v>#REF!</v>
      </c>
      <c r="IS8" t="e">
        <f>AND(Liste!#REF!,"AAAAAH/v+/w=")</f>
        <v>#REF!</v>
      </c>
      <c r="IT8" t="e">
        <f>AND(Liste!#REF!,"AAAAAH/v+/0=")</f>
        <v>#REF!</v>
      </c>
      <c r="IU8">
        <f>IF(Liste!64:64,"AAAAAH/v+/4=",0)</f>
        <v>0</v>
      </c>
      <c r="IV8" t="b">
        <f>AND(Liste!A64,"AAAAAH/v+/8=")</f>
        <v>1</v>
      </c>
    </row>
    <row r="9" spans="1:256" x14ac:dyDescent="0.2">
      <c r="A9" t="e">
        <f>AND(Liste!#REF!,"AAAAAGeWKQA=")</f>
        <v>#REF!</v>
      </c>
      <c r="B9" t="e">
        <f>AND(Liste!#REF!,"AAAAAGeWKQE=")</f>
        <v>#REF!</v>
      </c>
      <c r="C9" t="e">
        <f>AND(Liste!#REF!,"AAAAAGeWKQI=")</f>
        <v>#REF!</v>
      </c>
      <c r="D9" t="e">
        <f>AND(Liste!F120,"AAAAAGeWKQM=")</f>
        <v>#VALUE!</v>
      </c>
      <c r="E9" t="e">
        <f>AND(Liste!G120,"AAAAAGeWKQQ=")</f>
        <v>#VALUE!</v>
      </c>
      <c r="F9" t="e">
        <f>AND(Liste!H120,"AAAAAGeWKQU=")</f>
        <v>#VALUE!</v>
      </c>
      <c r="G9" t="e">
        <f>AND(Liste!I120,"AAAAAGeWKQY=")</f>
        <v>#VALUE!</v>
      </c>
      <c r="H9" t="e">
        <f>AND(Liste!J120,"AAAAAGeWKQc=")</f>
        <v>#VALUE!</v>
      </c>
      <c r="I9" t="e">
        <f>AND(Liste!#REF!,"AAAAAGeWKQg=")</f>
        <v>#REF!</v>
      </c>
      <c r="J9" t="e">
        <f>AND(Liste!#REF!,"AAAAAGeWKQk=")</f>
        <v>#REF!</v>
      </c>
      <c r="K9" t="e">
        <f>AND(Liste!#REF!,"AAAAAGeWKQo=")</f>
        <v>#REF!</v>
      </c>
      <c r="L9" t="e">
        <f>AND(Liste!#REF!,"AAAAAGeWKQs=")</f>
        <v>#REF!</v>
      </c>
      <c r="M9" t="e">
        <f>AND(Liste!#REF!,"AAAAAGeWKQw=")</f>
        <v>#REF!</v>
      </c>
      <c r="N9" t="e">
        <f>AND(Liste!#REF!,"AAAAAGeWKQ0=")</f>
        <v>#REF!</v>
      </c>
      <c r="O9" t="e">
        <f>AND(Liste!#REF!,"AAAAAGeWKQ4=")</f>
        <v>#REF!</v>
      </c>
      <c r="P9" t="e">
        <f>AND(Liste!#REF!,"AAAAAGeWKQ8=")</f>
        <v>#REF!</v>
      </c>
      <c r="Q9" t="e">
        <f>AND(Liste!#REF!,"AAAAAGeWKRA=")</f>
        <v>#REF!</v>
      </c>
      <c r="R9" t="e">
        <f>AND(Liste!#REF!,"AAAAAGeWKRE=")</f>
        <v>#REF!</v>
      </c>
      <c r="S9" t="e">
        <f>AND(Liste!#REF!,"AAAAAGeWKRI=")</f>
        <v>#REF!</v>
      </c>
      <c r="T9" t="e">
        <f>AND(Liste!#REF!,"AAAAAGeWKRM=")</f>
        <v>#REF!</v>
      </c>
      <c r="U9" t="e">
        <f>AND(Liste!#REF!,"AAAAAGeWKRQ=")</f>
        <v>#REF!</v>
      </c>
      <c r="V9" t="e">
        <f>AND(Liste!#REF!,"AAAAAGeWKRU=")</f>
        <v>#REF!</v>
      </c>
      <c r="W9" t="e">
        <f>AND(Liste!#REF!,"AAAAAGeWKRY=")</f>
        <v>#REF!</v>
      </c>
      <c r="X9" t="e">
        <f>AND(Liste!#REF!,"AAAAAGeWKRc=")</f>
        <v>#REF!</v>
      </c>
      <c r="Y9" t="e">
        <f>AND(Liste!#REF!,"AAAAAGeWKRg=")</f>
        <v>#REF!</v>
      </c>
      <c r="Z9" t="e">
        <f>AND(Liste!#REF!,"AAAAAGeWKRk=")</f>
        <v>#REF!</v>
      </c>
      <c r="AA9" t="e">
        <f>AND(Liste!#REF!,"AAAAAGeWKRo=")</f>
        <v>#REF!</v>
      </c>
      <c r="AB9" t="e">
        <f>AND(Liste!#REF!,"AAAAAGeWKRs=")</f>
        <v>#REF!</v>
      </c>
      <c r="AC9" t="e">
        <f>AND(Liste!#REF!,"AAAAAGeWKRw=")</f>
        <v>#REF!</v>
      </c>
      <c r="AD9">
        <f>IF(Liste!65:65,"AAAAAGeWKR0=",0)</f>
        <v>0</v>
      </c>
      <c r="AE9" t="b">
        <f>AND(Liste!A65,"AAAAAGeWKR4=")</f>
        <v>1</v>
      </c>
      <c r="AF9" t="e">
        <f>AND(Liste!#REF!,"AAAAAGeWKR8=")</f>
        <v>#REF!</v>
      </c>
      <c r="AG9" t="e">
        <f>AND(Liste!#REF!,"AAAAAGeWKSA=")</f>
        <v>#REF!</v>
      </c>
      <c r="AH9" t="e">
        <f>AND(Liste!#REF!,"AAAAAGeWKSE=")</f>
        <v>#REF!</v>
      </c>
      <c r="AI9" t="e">
        <f>AND(Liste!#REF!,"AAAAAGeWKSI=")</f>
        <v>#REF!</v>
      </c>
      <c r="AJ9" t="e">
        <f>AND(Liste!#REF!,"AAAAAGeWKSM=")</f>
        <v>#REF!</v>
      </c>
      <c r="AK9" t="e">
        <f>AND(Liste!#REF!,"AAAAAGeWKSQ=")</f>
        <v>#REF!</v>
      </c>
      <c r="AL9" t="e">
        <f>AND(Liste!#REF!,"AAAAAGeWKSU=")</f>
        <v>#REF!</v>
      </c>
      <c r="AM9" t="e">
        <f>AND(Liste!#REF!,"AAAAAGeWKSY=")</f>
        <v>#REF!</v>
      </c>
      <c r="AN9" t="e">
        <f>AND(Liste!#REF!,"AAAAAGeWKSc=")</f>
        <v>#REF!</v>
      </c>
      <c r="AO9" t="e">
        <f>AND(Liste!#REF!,"AAAAAGeWKSg=")</f>
        <v>#REF!</v>
      </c>
      <c r="AP9" t="e">
        <f>AND(Liste!#REF!,"AAAAAGeWKSk=")</f>
        <v>#REF!</v>
      </c>
      <c r="AQ9" t="e">
        <f>AND(Liste!#REF!,"AAAAAGeWKSo=")</f>
        <v>#REF!</v>
      </c>
      <c r="AR9" t="e">
        <f>AND(Liste!#REF!,"AAAAAGeWKSs=")</f>
        <v>#REF!</v>
      </c>
      <c r="AS9" t="e">
        <f>AND(Liste!#REF!,"AAAAAGeWKSw=")</f>
        <v>#REF!</v>
      </c>
      <c r="AT9" t="e">
        <f>AND(Liste!#REF!,"AAAAAGeWKS0=")</f>
        <v>#REF!</v>
      </c>
      <c r="AU9" t="e">
        <f>AND(Liste!#REF!,"AAAAAGeWKS4=")</f>
        <v>#REF!</v>
      </c>
      <c r="AV9" t="e">
        <f>AND(Liste!#REF!,"AAAAAGeWKS8=")</f>
        <v>#REF!</v>
      </c>
      <c r="AW9" t="e">
        <f>AND(Liste!#REF!,"AAAAAGeWKTA=")</f>
        <v>#REF!</v>
      </c>
      <c r="AX9" t="e">
        <f>AND(Liste!#REF!,"AAAAAGeWKTE=")</f>
        <v>#REF!</v>
      </c>
      <c r="AY9" t="e">
        <f>AND(Liste!#REF!,"AAAAAGeWKTI=")</f>
        <v>#REF!</v>
      </c>
      <c r="AZ9" t="e">
        <f>AND(Liste!#REF!,"AAAAAGeWKTM=")</f>
        <v>#REF!</v>
      </c>
      <c r="BA9" t="e">
        <f>AND(Liste!#REF!,"AAAAAGeWKTQ=")</f>
        <v>#REF!</v>
      </c>
      <c r="BB9" t="e">
        <f>AND(Liste!#REF!,"AAAAAGeWKTU=")</f>
        <v>#REF!</v>
      </c>
      <c r="BC9" t="e">
        <f>AND(Liste!#REF!,"AAAAAGeWKTY=")</f>
        <v>#REF!</v>
      </c>
      <c r="BD9" t="e">
        <f>AND(Liste!#REF!,"AAAAAGeWKTc=")</f>
        <v>#REF!</v>
      </c>
      <c r="BE9" t="e">
        <f>AND(Liste!#REF!,"AAAAAGeWKTg=")</f>
        <v>#REF!</v>
      </c>
      <c r="BF9" t="e">
        <f>AND(Liste!#REF!,"AAAAAGeWKTk=")</f>
        <v>#REF!</v>
      </c>
      <c r="BG9" t="e">
        <f>AND(Liste!#REF!,"AAAAAGeWKTo=")</f>
        <v>#REF!</v>
      </c>
      <c r="BH9" t="e">
        <f>AND(Liste!#REF!,"AAAAAGeWKTs=")</f>
        <v>#REF!</v>
      </c>
      <c r="BI9">
        <f>IF(Liste!66:66,"AAAAAGeWKTw=",0)</f>
        <v>0</v>
      </c>
      <c r="BJ9" t="b">
        <f>AND(Liste!A66,"AAAAAGeWKT0=")</f>
        <v>1</v>
      </c>
      <c r="BK9" t="e">
        <f>AND(Liste!#REF!,"AAAAAGeWKT4=")</f>
        <v>#REF!</v>
      </c>
      <c r="BL9" t="e">
        <f>AND(Liste!#REF!,"AAAAAGeWKT8=")</f>
        <v>#REF!</v>
      </c>
      <c r="BM9" t="e">
        <f>AND(Liste!#REF!,"AAAAAGeWKUA=")</f>
        <v>#REF!</v>
      </c>
      <c r="BN9" t="e">
        <f>AND(Liste!F121,"AAAAAGeWKUE=")</f>
        <v>#VALUE!</v>
      </c>
      <c r="BO9" t="e">
        <f>AND(Liste!G121,"AAAAAGeWKUI=")</f>
        <v>#VALUE!</v>
      </c>
      <c r="BP9" t="e">
        <f>AND(Liste!H121,"AAAAAGeWKUM=")</f>
        <v>#VALUE!</v>
      </c>
      <c r="BQ9" t="e">
        <f>AND(Liste!I121,"AAAAAGeWKUQ=")</f>
        <v>#VALUE!</v>
      </c>
      <c r="BR9" t="e">
        <f>AND(Liste!J121,"AAAAAGeWKUU=")</f>
        <v>#VALUE!</v>
      </c>
      <c r="BS9" t="e">
        <f>AND(Liste!#REF!,"AAAAAGeWKUY=")</f>
        <v>#REF!</v>
      </c>
      <c r="BT9" t="e">
        <f>AND(Liste!#REF!,"AAAAAGeWKUc=")</f>
        <v>#REF!</v>
      </c>
      <c r="BU9" t="e">
        <f>AND(Liste!#REF!,"AAAAAGeWKUg=")</f>
        <v>#REF!</v>
      </c>
      <c r="BV9" t="e">
        <f>AND(Liste!#REF!,"AAAAAGeWKUk=")</f>
        <v>#REF!</v>
      </c>
      <c r="BW9" t="e">
        <f>AND(Liste!#REF!,"AAAAAGeWKUo=")</f>
        <v>#REF!</v>
      </c>
      <c r="BX9" t="e">
        <f>AND(Liste!#REF!,"AAAAAGeWKUs=")</f>
        <v>#REF!</v>
      </c>
      <c r="BY9" t="e">
        <f>AND(Liste!#REF!,"AAAAAGeWKUw=")</f>
        <v>#REF!</v>
      </c>
      <c r="BZ9" t="e">
        <f>AND(Liste!#REF!,"AAAAAGeWKU0=")</f>
        <v>#REF!</v>
      </c>
      <c r="CA9" t="e">
        <f>AND(Liste!#REF!,"AAAAAGeWKU4=")</f>
        <v>#REF!</v>
      </c>
      <c r="CB9" t="e">
        <f>AND(Liste!#REF!,"AAAAAGeWKU8=")</f>
        <v>#REF!</v>
      </c>
      <c r="CC9" t="e">
        <f>AND(Liste!#REF!,"AAAAAGeWKVA=")</f>
        <v>#REF!</v>
      </c>
      <c r="CD9" t="e">
        <f>AND(Liste!#REF!,"AAAAAGeWKVE=")</f>
        <v>#REF!</v>
      </c>
      <c r="CE9" t="e">
        <f>AND(Liste!#REF!,"AAAAAGeWKVI=")</f>
        <v>#REF!</v>
      </c>
      <c r="CF9" t="e">
        <f>AND(Liste!#REF!,"AAAAAGeWKVM=")</f>
        <v>#REF!</v>
      </c>
      <c r="CG9" t="e">
        <f>AND(Liste!#REF!,"AAAAAGeWKVQ=")</f>
        <v>#REF!</v>
      </c>
      <c r="CH9" t="e">
        <f>AND(Liste!#REF!,"AAAAAGeWKVU=")</f>
        <v>#REF!</v>
      </c>
      <c r="CI9" t="e">
        <f>AND(Liste!#REF!,"AAAAAGeWKVY=")</f>
        <v>#REF!</v>
      </c>
      <c r="CJ9" t="e">
        <f>AND(Liste!#REF!,"AAAAAGeWKVc=")</f>
        <v>#REF!</v>
      </c>
      <c r="CK9" t="e">
        <f>AND(Liste!#REF!,"AAAAAGeWKVg=")</f>
        <v>#REF!</v>
      </c>
      <c r="CL9" t="e">
        <f>AND(Liste!#REF!,"AAAAAGeWKVk=")</f>
        <v>#REF!</v>
      </c>
      <c r="CM9" t="e">
        <f>AND(Liste!#REF!,"AAAAAGeWKVo=")</f>
        <v>#REF!</v>
      </c>
      <c r="CN9">
        <f>IF(Liste!75:75,"AAAAAGeWKVs=",0)</f>
        <v>0</v>
      </c>
      <c r="CO9" t="b">
        <f>AND(Liste!A75,"AAAAAGeWKVw=")</f>
        <v>1</v>
      </c>
      <c r="CP9" t="e">
        <f>AND(Liste!#REF!,"AAAAAGeWKV0=")</f>
        <v>#REF!</v>
      </c>
      <c r="CQ9" t="e">
        <f>AND(Liste!#REF!,"AAAAAGeWKV4=")</f>
        <v>#REF!</v>
      </c>
      <c r="CR9" t="e">
        <f>AND(Liste!#REF!,"AAAAAGeWKV8=")</f>
        <v>#REF!</v>
      </c>
      <c r="CS9" t="e">
        <f>AND(Liste!F122,"AAAAAGeWKWA=")</f>
        <v>#VALUE!</v>
      </c>
      <c r="CT9" t="e">
        <f>AND(Liste!G122,"AAAAAGeWKWE=")</f>
        <v>#VALUE!</v>
      </c>
      <c r="CU9" t="e">
        <f>AND(Liste!H122,"AAAAAGeWKWI=")</f>
        <v>#VALUE!</v>
      </c>
      <c r="CV9" t="e">
        <f>AND(Liste!I122,"AAAAAGeWKWM=")</f>
        <v>#VALUE!</v>
      </c>
      <c r="CW9" t="e">
        <f>AND(Liste!J122,"AAAAAGeWKWQ=")</f>
        <v>#VALUE!</v>
      </c>
      <c r="CX9" t="e">
        <f>AND(Liste!#REF!,"AAAAAGeWKWU=")</f>
        <v>#REF!</v>
      </c>
      <c r="CY9" t="e">
        <f>AND(Liste!#REF!,"AAAAAGeWKWY=")</f>
        <v>#REF!</v>
      </c>
      <c r="CZ9" t="e">
        <f>AND(Liste!#REF!,"AAAAAGeWKWc=")</f>
        <v>#REF!</v>
      </c>
      <c r="DA9" t="e">
        <f>AND(Liste!#REF!,"AAAAAGeWKWg=")</f>
        <v>#REF!</v>
      </c>
      <c r="DB9" t="e">
        <f>AND(Liste!#REF!,"AAAAAGeWKWk=")</f>
        <v>#REF!</v>
      </c>
      <c r="DC9" t="e">
        <f>AND(Liste!#REF!,"AAAAAGeWKWo=")</f>
        <v>#REF!</v>
      </c>
      <c r="DD9" t="e">
        <f>AND(Liste!#REF!,"AAAAAGeWKWs=")</f>
        <v>#REF!</v>
      </c>
      <c r="DE9" t="e">
        <f>AND(Liste!#REF!,"AAAAAGeWKWw=")</f>
        <v>#REF!</v>
      </c>
      <c r="DF9" t="e">
        <f>AND(Liste!#REF!,"AAAAAGeWKW0=")</f>
        <v>#REF!</v>
      </c>
      <c r="DG9" t="e">
        <f>AND(Liste!#REF!,"AAAAAGeWKW4=")</f>
        <v>#REF!</v>
      </c>
      <c r="DH9" t="e">
        <f>AND(Liste!#REF!,"AAAAAGeWKW8=")</f>
        <v>#REF!</v>
      </c>
      <c r="DI9" t="e">
        <f>AND(Liste!#REF!,"AAAAAGeWKXA=")</f>
        <v>#REF!</v>
      </c>
      <c r="DJ9" t="e">
        <f>AND(Liste!#REF!,"AAAAAGeWKXE=")</f>
        <v>#REF!</v>
      </c>
      <c r="DK9" t="e">
        <f>AND(Liste!#REF!,"AAAAAGeWKXI=")</f>
        <v>#REF!</v>
      </c>
      <c r="DL9" t="e">
        <f>AND(Liste!#REF!,"AAAAAGeWKXM=")</f>
        <v>#REF!</v>
      </c>
      <c r="DM9" t="e">
        <f>AND(Liste!#REF!,"AAAAAGeWKXQ=")</f>
        <v>#REF!</v>
      </c>
      <c r="DN9" t="e">
        <f>AND(Liste!#REF!,"AAAAAGeWKXU=")</f>
        <v>#REF!</v>
      </c>
      <c r="DO9" t="e">
        <f>AND(Liste!#REF!,"AAAAAGeWKXY=")</f>
        <v>#REF!</v>
      </c>
      <c r="DP9" t="e">
        <f>AND(Liste!#REF!,"AAAAAGeWKXc=")</f>
        <v>#REF!</v>
      </c>
      <c r="DQ9" t="e">
        <f>AND(Liste!#REF!,"AAAAAGeWKXg=")</f>
        <v>#REF!</v>
      </c>
      <c r="DR9" t="e">
        <f>AND(Liste!#REF!,"AAAAAGeWKXk=")</f>
        <v>#REF!</v>
      </c>
      <c r="DS9">
        <f>IF(Liste!76:76,"AAAAAGeWKXo=",0)</f>
        <v>0</v>
      </c>
      <c r="DT9" t="b">
        <f>AND(Liste!A76,"AAAAAGeWKXs=")</f>
        <v>1</v>
      </c>
      <c r="DU9" t="e">
        <f>AND(Liste!#REF!,"AAAAAGeWKXw=")</f>
        <v>#REF!</v>
      </c>
      <c r="DV9" t="e">
        <f>AND(Liste!#REF!,"AAAAAGeWKX0=")</f>
        <v>#REF!</v>
      </c>
      <c r="DW9" t="e">
        <f>AND(Liste!#REF!,"AAAAAGeWKX4=")</f>
        <v>#REF!</v>
      </c>
      <c r="DX9" t="e">
        <f>AND(Liste!F123,"AAAAAGeWKX8=")</f>
        <v>#VALUE!</v>
      </c>
      <c r="DY9" t="e">
        <f>AND(Liste!G123,"AAAAAGeWKYA=")</f>
        <v>#VALUE!</v>
      </c>
      <c r="DZ9" t="e">
        <f>AND(Liste!H123,"AAAAAGeWKYE=")</f>
        <v>#VALUE!</v>
      </c>
      <c r="EA9" t="e">
        <f>AND(Liste!I123,"AAAAAGeWKYI=")</f>
        <v>#VALUE!</v>
      </c>
      <c r="EB9" t="e">
        <f>AND(Liste!J123,"AAAAAGeWKYM=")</f>
        <v>#VALUE!</v>
      </c>
      <c r="EC9" t="e">
        <f>AND(Liste!#REF!,"AAAAAGeWKYQ=")</f>
        <v>#REF!</v>
      </c>
      <c r="ED9" t="e">
        <f>AND(Liste!#REF!,"AAAAAGeWKYU=")</f>
        <v>#REF!</v>
      </c>
      <c r="EE9" t="e">
        <f>AND(Liste!#REF!,"AAAAAGeWKYY=")</f>
        <v>#REF!</v>
      </c>
      <c r="EF9" t="e">
        <f>AND(Liste!#REF!,"AAAAAGeWKYc=")</f>
        <v>#REF!</v>
      </c>
      <c r="EG9" t="e">
        <f>AND(Liste!#REF!,"AAAAAGeWKYg=")</f>
        <v>#REF!</v>
      </c>
      <c r="EH9" t="e">
        <f>AND(Liste!#REF!,"AAAAAGeWKYk=")</f>
        <v>#REF!</v>
      </c>
      <c r="EI9" t="e">
        <f>AND(Liste!#REF!,"AAAAAGeWKYo=")</f>
        <v>#REF!</v>
      </c>
      <c r="EJ9" t="e">
        <f>AND(Liste!#REF!,"AAAAAGeWKYs=")</f>
        <v>#REF!</v>
      </c>
      <c r="EK9" t="e">
        <f>AND(Liste!#REF!,"AAAAAGeWKYw=")</f>
        <v>#REF!</v>
      </c>
      <c r="EL9" t="e">
        <f>AND(Liste!#REF!,"AAAAAGeWKY0=")</f>
        <v>#REF!</v>
      </c>
      <c r="EM9" t="e">
        <f>AND(Liste!#REF!,"AAAAAGeWKY4=")</f>
        <v>#REF!</v>
      </c>
      <c r="EN9" t="e">
        <f>AND(Liste!#REF!,"AAAAAGeWKY8=")</f>
        <v>#REF!</v>
      </c>
      <c r="EO9" t="e">
        <f>AND(Liste!#REF!,"AAAAAGeWKZA=")</f>
        <v>#REF!</v>
      </c>
      <c r="EP9" t="e">
        <f>AND(Liste!#REF!,"AAAAAGeWKZE=")</f>
        <v>#REF!</v>
      </c>
      <c r="EQ9" t="e">
        <f>AND(Liste!#REF!,"AAAAAGeWKZI=")</f>
        <v>#REF!</v>
      </c>
      <c r="ER9" t="e">
        <f>AND(Liste!#REF!,"AAAAAGeWKZM=")</f>
        <v>#REF!</v>
      </c>
      <c r="ES9" t="e">
        <f>AND(Liste!#REF!,"AAAAAGeWKZQ=")</f>
        <v>#REF!</v>
      </c>
      <c r="ET9" t="e">
        <f>AND(Liste!#REF!,"AAAAAGeWKZU=")</f>
        <v>#REF!</v>
      </c>
      <c r="EU9" t="e">
        <f>AND(Liste!#REF!,"AAAAAGeWKZY=")</f>
        <v>#REF!</v>
      </c>
      <c r="EV9" t="e">
        <f>AND(Liste!#REF!,"AAAAAGeWKZc=")</f>
        <v>#REF!</v>
      </c>
      <c r="EW9" t="e">
        <f>AND(Liste!#REF!,"AAAAAGeWKZg=")</f>
        <v>#REF!</v>
      </c>
      <c r="EX9">
        <f>IF(Liste!77:77,"AAAAAGeWKZk=",0)</f>
        <v>0</v>
      </c>
      <c r="EY9" t="b">
        <f>AND(Liste!A77,"AAAAAGeWKZo=")</f>
        <v>1</v>
      </c>
      <c r="EZ9" t="e">
        <f>AND(Liste!#REF!,"AAAAAGeWKZs=")</f>
        <v>#REF!</v>
      </c>
      <c r="FA9" t="e">
        <f>AND(Liste!#REF!,"AAAAAGeWKZw=")</f>
        <v>#REF!</v>
      </c>
      <c r="FB9" t="e">
        <f>AND(Liste!#REF!,"AAAAAGeWKZ0=")</f>
        <v>#REF!</v>
      </c>
      <c r="FC9" t="e">
        <f>AND(Liste!F124,"AAAAAGeWKZ4=")</f>
        <v>#VALUE!</v>
      </c>
      <c r="FD9" t="e">
        <f>AND(Liste!G124,"AAAAAGeWKZ8=")</f>
        <v>#VALUE!</v>
      </c>
      <c r="FE9" t="e">
        <f>AND(Liste!H124,"AAAAAGeWKaA=")</f>
        <v>#VALUE!</v>
      </c>
      <c r="FF9" t="e">
        <f>AND(Liste!I124,"AAAAAGeWKaE=")</f>
        <v>#VALUE!</v>
      </c>
      <c r="FG9" t="e">
        <f>AND(Liste!J124,"AAAAAGeWKaI=")</f>
        <v>#VALUE!</v>
      </c>
      <c r="FH9" t="e">
        <f>AND(Liste!#REF!,"AAAAAGeWKaM=")</f>
        <v>#REF!</v>
      </c>
      <c r="FI9" t="e">
        <f>AND(Liste!#REF!,"AAAAAGeWKaQ=")</f>
        <v>#REF!</v>
      </c>
      <c r="FJ9" t="e">
        <f>AND(Liste!#REF!,"AAAAAGeWKaU=")</f>
        <v>#REF!</v>
      </c>
      <c r="FK9" t="e">
        <f>AND(Liste!#REF!,"AAAAAGeWKaY=")</f>
        <v>#REF!</v>
      </c>
      <c r="FL9" t="e">
        <f>AND(Liste!#REF!,"AAAAAGeWKac=")</f>
        <v>#REF!</v>
      </c>
      <c r="FM9" t="e">
        <f>AND(Liste!#REF!,"AAAAAGeWKag=")</f>
        <v>#REF!</v>
      </c>
      <c r="FN9" t="e">
        <f>AND(Liste!#REF!,"AAAAAGeWKak=")</f>
        <v>#REF!</v>
      </c>
      <c r="FO9" t="e">
        <f>AND(Liste!#REF!,"AAAAAGeWKao=")</f>
        <v>#REF!</v>
      </c>
      <c r="FP9" t="e">
        <f>AND(Liste!#REF!,"AAAAAGeWKas=")</f>
        <v>#REF!</v>
      </c>
      <c r="FQ9" t="e">
        <f>AND(Liste!#REF!,"AAAAAGeWKaw=")</f>
        <v>#REF!</v>
      </c>
      <c r="FR9" t="e">
        <f>AND(Liste!#REF!,"AAAAAGeWKa0=")</f>
        <v>#REF!</v>
      </c>
      <c r="FS9" t="e">
        <f>AND(Liste!#REF!,"AAAAAGeWKa4=")</f>
        <v>#REF!</v>
      </c>
      <c r="FT9" t="e">
        <f>AND(Liste!#REF!,"AAAAAGeWKa8=")</f>
        <v>#REF!</v>
      </c>
      <c r="FU9" t="e">
        <f>AND(Liste!#REF!,"AAAAAGeWKbA=")</f>
        <v>#REF!</v>
      </c>
      <c r="FV9" t="e">
        <f>AND(Liste!#REF!,"AAAAAGeWKbE=")</f>
        <v>#REF!</v>
      </c>
      <c r="FW9" t="e">
        <f>AND(Liste!#REF!,"AAAAAGeWKbI=")</f>
        <v>#REF!</v>
      </c>
      <c r="FX9" t="e">
        <f>AND(Liste!#REF!,"AAAAAGeWKbM=")</f>
        <v>#REF!</v>
      </c>
      <c r="FY9" t="e">
        <f>AND(Liste!#REF!,"AAAAAGeWKbQ=")</f>
        <v>#REF!</v>
      </c>
      <c r="FZ9" t="e">
        <f>AND(Liste!#REF!,"AAAAAGeWKbU=")</f>
        <v>#REF!</v>
      </c>
      <c r="GA9" t="e">
        <f>AND(Liste!#REF!,"AAAAAGeWKbY=")</f>
        <v>#REF!</v>
      </c>
      <c r="GB9" t="e">
        <f>AND(Liste!#REF!,"AAAAAGeWKbc=")</f>
        <v>#REF!</v>
      </c>
      <c r="GC9">
        <f>IF(Liste!78:78,"AAAAAGeWKbg=",0)</f>
        <v>0</v>
      </c>
      <c r="GD9" t="b">
        <f>AND(Liste!A78,"AAAAAGeWKbk=")</f>
        <v>1</v>
      </c>
      <c r="GE9" t="e">
        <f>AND(Liste!#REF!,"AAAAAGeWKbo=")</f>
        <v>#REF!</v>
      </c>
      <c r="GF9" t="e">
        <f>AND(Liste!#REF!,"AAAAAGeWKbs=")</f>
        <v>#REF!</v>
      </c>
      <c r="GG9" t="e">
        <f>AND(Liste!#REF!,"AAAAAGeWKbw=")</f>
        <v>#REF!</v>
      </c>
      <c r="GH9" t="e">
        <f>AND(Liste!F125,"AAAAAGeWKb0=")</f>
        <v>#VALUE!</v>
      </c>
      <c r="GI9" t="e">
        <f>AND(Liste!G125,"AAAAAGeWKb4=")</f>
        <v>#VALUE!</v>
      </c>
      <c r="GJ9" t="e">
        <f>AND(Liste!H125,"AAAAAGeWKb8=")</f>
        <v>#VALUE!</v>
      </c>
      <c r="GK9" t="e">
        <f>AND(Liste!I125,"AAAAAGeWKcA=")</f>
        <v>#VALUE!</v>
      </c>
      <c r="GL9" t="e">
        <f>AND(Liste!J125,"AAAAAGeWKcE=")</f>
        <v>#VALUE!</v>
      </c>
      <c r="GM9" t="e">
        <f>AND(Liste!#REF!,"AAAAAGeWKcI=")</f>
        <v>#REF!</v>
      </c>
      <c r="GN9" t="e">
        <f>AND(Liste!#REF!,"AAAAAGeWKcM=")</f>
        <v>#REF!</v>
      </c>
      <c r="GO9" t="e">
        <f>AND(Liste!#REF!,"AAAAAGeWKcQ=")</f>
        <v>#REF!</v>
      </c>
      <c r="GP9" t="e">
        <f>AND(Liste!#REF!,"AAAAAGeWKcU=")</f>
        <v>#REF!</v>
      </c>
      <c r="GQ9" t="e">
        <f>AND(Liste!#REF!,"AAAAAGeWKcY=")</f>
        <v>#REF!</v>
      </c>
      <c r="GR9" t="e">
        <f>AND(Liste!#REF!,"AAAAAGeWKcc=")</f>
        <v>#REF!</v>
      </c>
      <c r="GS9" t="e">
        <f>AND(Liste!#REF!,"AAAAAGeWKcg=")</f>
        <v>#REF!</v>
      </c>
      <c r="GT9" t="e">
        <f>AND(Liste!#REF!,"AAAAAGeWKck=")</f>
        <v>#REF!</v>
      </c>
      <c r="GU9" t="e">
        <f>AND(Liste!#REF!,"AAAAAGeWKco=")</f>
        <v>#REF!</v>
      </c>
      <c r="GV9" t="e">
        <f>AND(Liste!#REF!,"AAAAAGeWKcs=")</f>
        <v>#REF!</v>
      </c>
      <c r="GW9" t="e">
        <f>AND(Liste!#REF!,"AAAAAGeWKcw=")</f>
        <v>#REF!</v>
      </c>
      <c r="GX9" t="e">
        <f>AND(Liste!#REF!,"AAAAAGeWKc0=")</f>
        <v>#REF!</v>
      </c>
      <c r="GY9" t="e">
        <f>AND(Liste!#REF!,"AAAAAGeWKc4=")</f>
        <v>#REF!</v>
      </c>
      <c r="GZ9" t="e">
        <f>AND(Liste!#REF!,"AAAAAGeWKc8=")</f>
        <v>#REF!</v>
      </c>
      <c r="HA9" t="e">
        <f>AND(Liste!#REF!,"AAAAAGeWKdA=")</f>
        <v>#REF!</v>
      </c>
      <c r="HB9" t="e">
        <f>AND(Liste!#REF!,"AAAAAGeWKdE=")</f>
        <v>#REF!</v>
      </c>
      <c r="HC9" t="e">
        <f>AND(Liste!#REF!,"AAAAAGeWKdI=")</f>
        <v>#REF!</v>
      </c>
      <c r="HD9" t="e">
        <f>AND(Liste!#REF!,"AAAAAGeWKdM=")</f>
        <v>#REF!</v>
      </c>
      <c r="HE9" t="e">
        <f>AND(Liste!#REF!,"AAAAAGeWKdQ=")</f>
        <v>#REF!</v>
      </c>
      <c r="HF9" t="e">
        <f>AND(Liste!#REF!,"AAAAAGeWKdU=")</f>
        <v>#REF!</v>
      </c>
      <c r="HG9" t="e">
        <f>AND(Liste!#REF!,"AAAAAGeWKdY=")</f>
        <v>#REF!</v>
      </c>
      <c r="HH9">
        <f>IF(Liste!79:79,"AAAAAGeWKdc=",0)</f>
        <v>0</v>
      </c>
      <c r="HI9" t="b">
        <f>AND(Liste!A79,"AAAAAGeWKdg=")</f>
        <v>1</v>
      </c>
      <c r="HJ9" t="e">
        <f>AND(Liste!#REF!,"AAAAAGeWKdk=")</f>
        <v>#REF!</v>
      </c>
      <c r="HK9" t="e">
        <f>AND(Liste!#REF!,"AAAAAGeWKdo=")</f>
        <v>#REF!</v>
      </c>
      <c r="HL9" t="e">
        <f>AND(Liste!#REF!,"AAAAAGeWKds=")</f>
        <v>#REF!</v>
      </c>
      <c r="HM9" t="e">
        <f>AND(Liste!F126,"AAAAAGeWKdw=")</f>
        <v>#VALUE!</v>
      </c>
      <c r="HN9" t="e">
        <f>AND(Liste!G126,"AAAAAGeWKd0=")</f>
        <v>#VALUE!</v>
      </c>
      <c r="HO9" t="e">
        <f>AND(Liste!H126,"AAAAAGeWKd4=")</f>
        <v>#VALUE!</v>
      </c>
      <c r="HP9" t="e">
        <f>AND(Liste!I126,"AAAAAGeWKd8=")</f>
        <v>#VALUE!</v>
      </c>
      <c r="HQ9" t="e">
        <f>AND(Liste!J126,"AAAAAGeWKeA=")</f>
        <v>#VALUE!</v>
      </c>
      <c r="HR9" t="e">
        <f>AND(Liste!#REF!,"AAAAAGeWKeE=")</f>
        <v>#REF!</v>
      </c>
      <c r="HS9" t="e">
        <f>AND(Liste!#REF!,"AAAAAGeWKeI=")</f>
        <v>#REF!</v>
      </c>
      <c r="HT9" t="e">
        <f>AND(Liste!#REF!,"AAAAAGeWKeM=")</f>
        <v>#REF!</v>
      </c>
      <c r="HU9" t="e">
        <f>AND(Liste!#REF!,"AAAAAGeWKeQ=")</f>
        <v>#REF!</v>
      </c>
      <c r="HV9" t="e">
        <f>AND(Liste!#REF!,"AAAAAGeWKeU=")</f>
        <v>#REF!</v>
      </c>
      <c r="HW9" t="e">
        <f>AND(Liste!#REF!,"AAAAAGeWKeY=")</f>
        <v>#REF!</v>
      </c>
      <c r="HX9" t="e">
        <f>AND(Liste!#REF!,"AAAAAGeWKec=")</f>
        <v>#REF!</v>
      </c>
      <c r="HY9" t="e">
        <f>AND(Liste!#REF!,"AAAAAGeWKeg=")</f>
        <v>#REF!</v>
      </c>
      <c r="HZ9" t="e">
        <f>AND(Liste!#REF!,"AAAAAGeWKek=")</f>
        <v>#REF!</v>
      </c>
      <c r="IA9" t="e">
        <f>AND(Liste!#REF!,"AAAAAGeWKeo=")</f>
        <v>#REF!</v>
      </c>
      <c r="IB9" t="e">
        <f>AND(Liste!#REF!,"AAAAAGeWKes=")</f>
        <v>#REF!</v>
      </c>
      <c r="IC9" t="e">
        <f>AND(Liste!#REF!,"AAAAAGeWKew=")</f>
        <v>#REF!</v>
      </c>
      <c r="ID9" t="e">
        <f>AND(Liste!#REF!,"AAAAAGeWKe0=")</f>
        <v>#REF!</v>
      </c>
      <c r="IE9" t="e">
        <f>AND(Liste!#REF!,"AAAAAGeWKe4=")</f>
        <v>#REF!</v>
      </c>
      <c r="IF9" t="e">
        <f>AND(Liste!#REF!,"AAAAAGeWKe8=")</f>
        <v>#REF!</v>
      </c>
      <c r="IG9" t="e">
        <f>AND(Liste!#REF!,"AAAAAGeWKfA=")</f>
        <v>#REF!</v>
      </c>
      <c r="IH9" t="e">
        <f>AND(Liste!#REF!,"AAAAAGeWKfE=")</f>
        <v>#REF!</v>
      </c>
      <c r="II9" t="e">
        <f>AND(Liste!#REF!,"AAAAAGeWKfI=")</f>
        <v>#REF!</v>
      </c>
      <c r="IJ9" t="e">
        <f>AND(Liste!#REF!,"AAAAAGeWKfM=")</f>
        <v>#REF!</v>
      </c>
      <c r="IK9" t="e">
        <f>AND(Liste!#REF!,"AAAAAGeWKfQ=")</f>
        <v>#REF!</v>
      </c>
      <c r="IL9" t="e">
        <f>AND(Liste!#REF!,"AAAAAGeWKfU=")</f>
        <v>#REF!</v>
      </c>
      <c r="IM9">
        <f>IF(Liste!80:80,"AAAAAGeWKfY=",0)</f>
        <v>0</v>
      </c>
      <c r="IN9" t="b">
        <f>AND(Liste!A80,"AAAAAGeWKfc=")</f>
        <v>1</v>
      </c>
      <c r="IO9" t="e">
        <f>AND(Liste!#REF!,"AAAAAGeWKfg=")</f>
        <v>#REF!</v>
      </c>
      <c r="IP9" t="e">
        <f>AND(Liste!#REF!,"AAAAAGeWKfk=")</f>
        <v>#REF!</v>
      </c>
      <c r="IQ9" t="e">
        <f>AND(Liste!#REF!,"AAAAAGeWKfo=")</f>
        <v>#REF!</v>
      </c>
      <c r="IR9" t="e">
        <f>AND(Liste!F127,"AAAAAGeWKfs=")</f>
        <v>#VALUE!</v>
      </c>
      <c r="IS9" t="e">
        <f>AND(Liste!G127,"AAAAAGeWKfw=")</f>
        <v>#VALUE!</v>
      </c>
      <c r="IT9" t="e">
        <f>AND(Liste!H127,"AAAAAGeWKf0=")</f>
        <v>#VALUE!</v>
      </c>
      <c r="IU9" t="e">
        <f>AND(Liste!I127,"AAAAAGeWKf4=")</f>
        <v>#VALUE!</v>
      </c>
      <c r="IV9" t="e">
        <f>AND(Liste!J127,"AAAAAGeWKf8=")</f>
        <v>#VALUE!</v>
      </c>
    </row>
    <row r="10" spans="1:256" x14ac:dyDescent="0.2">
      <c r="A10" t="e">
        <f>AND(Liste!#REF!,"AAAAAH5NTwA=")</f>
        <v>#REF!</v>
      </c>
      <c r="B10" t="e">
        <f>AND(Liste!#REF!,"AAAAAH5NTwE=")</f>
        <v>#REF!</v>
      </c>
      <c r="C10" t="e">
        <f>AND(Liste!#REF!,"AAAAAH5NTwI=")</f>
        <v>#REF!</v>
      </c>
      <c r="D10" t="e">
        <f>AND(Liste!#REF!,"AAAAAH5NTwM=")</f>
        <v>#REF!</v>
      </c>
      <c r="E10" t="e">
        <f>AND(Liste!#REF!,"AAAAAH5NTwQ=")</f>
        <v>#REF!</v>
      </c>
      <c r="F10" t="e">
        <f>AND(Liste!#REF!,"AAAAAH5NTwU=")</f>
        <v>#REF!</v>
      </c>
      <c r="G10" t="e">
        <f>AND(Liste!#REF!,"AAAAAH5NTwY=")</f>
        <v>#REF!</v>
      </c>
      <c r="H10" t="e">
        <f>AND(Liste!#REF!,"AAAAAH5NTwc=")</f>
        <v>#REF!</v>
      </c>
      <c r="I10" t="e">
        <f>AND(Liste!#REF!,"AAAAAH5NTwg=")</f>
        <v>#REF!</v>
      </c>
      <c r="J10" t="e">
        <f>AND(Liste!#REF!,"AAAAAH5NTwk=")</f>
        <v>#REF!</v>
      </c>
      <c r="K10" t="e">
        <f>AND(Liste!#REF!,"AAAAAH5NTwo=")</f>
        <v>#REF!</v>
      </c>
      <c r="L10" t="e">
        <f>AND(Liste!#REF!,"AAAAAH5NTws=")</f>
        <v>#REF!</v>
      </c>
      <c r="M10" t="e">
        <f>AND(Liste!#REF!,"AAAAAH5NTww=")</f>
        <v>#REF!</v>
      </c>
      <c r="N10" t="e">
        <f>AND(Liste!#REF!,"AAAAAH5NTw0=")</f>
        <v>#REF!</v>
      </c>
      <c r="O10" t="e">
        <f>AND(Liste!#REF!,"AAAAAH5NTw4=")</f>
        <v>#REF!</v>
      </c>
      <c r="P10" t="e">
        <f>AND(Liste!#REF!,"AAAAAH5NTw8=")</f>
        <v>#REF!</v>
      </c>
      <c r="Q10" t="e">
        <f>AND(Liste!#REF!,"AAAAAH5NTxA=")</f>
        <v>#REF!</v>
      </c>
      <c r="R10" t="e">
        <f>AND(Liste!#REF!,"AAAAAH5NTxE=")</f>
        <v>#REF!</v>
      </c>
      <c r="S10" t="e">
        <f>AND(Liste!#REF!,"AAAAAH5NTxI=")</f>
        <v>#REF!</v>
      </c>
      <c r="T10" t="e">
        <f>AND(Liste!#REF!,"AAAAAH5NTxM=")</f>
        <v>#REF!</v>
      </c>
      <c r="U10" t="e">
        <f>AND(Liste!#REF!,"AAAAAH5NTxQ=")</f>
        <v>#REF!</v>
      </c>
      <c r="V10">
        <f>IF(Liste!83:83,"AAAAAH5NTxU=",0)</f>
        <v>0</v>
      </c>
      <c r="W10" t="b">
        <f>AND(Liste!A83,"AAAAAH5NTxY=")</f>
        <v>1</v>
      </c>
      <c r="X10" t="e">
        <f>AND(Liste!#REF!,"AAAAAH5NTxc=")</f>
        <v>#REF!</v>
      </c>
      <c r="Y10" t="e">
        <f>AND(Liste!#REF!,"AAAAAH5NTxg=")</f>
        <v>#REF!</v>
      </c>
      <c r="Z10" t="e">
        <f>AND(Liste!#REF!,"AAAAAH5NTxk=")</f>
        <v>#REF!</v>
      </c>
      <c r="AA10" t="e">
        <f>AND(Liste!F128,"AAAAAH5NTxo=")</f>
        <v>#VALUE!</v>
      </c>
      <c r="AB10" t="e">
        <f>AND(Liste!G128,"AAAAAH5NTxs=")</f>
        <v>#VALUE!</v>
      </c>
      <c r="AC10" t="e">
        <f>AND(Liste!H128,"AAAAAH5NTxw=")</f>
        <v>#VALUE!</v>
      </c>
      <c r="AD10" t="e">
        <f>AND(Liste!I128,"AAAAAH5NTx0=")</f>
        <v>#VALUE!</v>
      </c>
      <c r="AE10" t="e">
        <f>AND(Liste!J128,"AAAAAH5NTx4=")</f>
        <v>#VALUE!</v>
      </c>
      <c r="AF10" t="e">
        <f>AND(Liste!#REF!,"AAAAAH5NTx8=")</f>
        <v>#REF!</v>
      </c>
      <c r="AG10" t="e">
        <f>AND(Liste!#REF!,"AAAAAH5NTyA=")</f>
        <v>#REF!</v>
      </c>
      <c r="AH10" t="e">
        <f>AND(Liste!#REF!,"AAAAAH5NTyE=")</f>
        <v>#REF!</v>
      </c>
      <c r="AI10" t="e">
        <f>AND(Liste!#REF!,"AAAAAH5NTyI=")</f>
        <v>#REF!</v>
      </c>
      <c r="AJ10" t="e">
        <f>AND(Liste!#REF!,"AAAAAH5NTyM=")</f>
        <v>#REF!</v>
      </c>
      <c r="AK10" t="e">
        <f>AND(Liste!#REF!,"AAAAAH5NTyQ=")</f>
        <v>#REF!</v>
      </c>
      <c r="AL10" t="e">
        <f>AND(Liste!#REF!,"AAAAAH5NTyU=")</f>
        <v>#REF!</v>
      </c>
      <c r="AM10" t="e">
        <f>AND(Liste!#REF!,"AAAAAH5NTyY=")</f>
        <v>#REF!</v>
      </c>
      <c r="AN10" t="e">
        <f>AND(Liste!#REF!,"AAAAAH5NTyc=")</f>
        <v>#REF!</v>
      </c>
      <c r="AO10" t="e">
        <f>AND(Liste!#REF!,"AAAAAH5NTyg=")</f>
        <v>#REF!</v>
      </c>
      <c r="AP10" t="e">
        <f>AND(Liste!#REF!,"AAAAAH5NTyk=")</f>
        <v>#REF!</v>
      </c>
      <c r="AQ10" t="e">
        <f>AND(Liste!#REF!,"AAAAAH5NTyo=")</f>
        <v>#REF!</v>
      </c>
      <c r="AR10" t="e">
        <f>AND(Liste!#REF!,"AAAAAH5NTys=")</f>
        <v>#REF!</v>
      </c>
      <c r="AS10" t="e">
        <f>AND(Liste!#REF!,"AAAAAH5NTyw=")</f>
        <v>#REF!</v>
      </c>
      <c r="AT10" t="e">
        <f>AND(Liste!#REF!,"AAAAAH5NTy0=")</f>
        <v>#REF!</v>
      </c>
      <c r="AU10" t="e">
        <f>AND(Liste!#REF!,"AAAAAH5NTy4=")</f>
        <v>#REF!</v>
      </c>
      <c r="AV10" t="e">
        <f>AND(Liste!#REF!,"AAAAAH5NTy8=")</f>
        <v>#REF!</v>
      </c>
      <c r="AW10" t="e">
        <f>AND(Liste!#REF!,"AAAAAH5NTzA=")</f>
        <v>#REF!</v>
      </c>
      <c r="AX10" t="e">
        <f>AND(Liste!#REF!,"AAAAAH5NTzE=")</f>
        <v>#REF!</v>
      </c>
      <c r="AY10" t="e">
        <f>AND(Liste!#REF!,"AAAAAH5NTzI=")</f>
        <v>#REF!</v>
      </c>
      <c r="AZ10" t="e">
        <f>AND(Liste!#REF!,"AAAAAH5NTzM=")</f>
        <v>#REF!</v>
      </c>
      <c r="BA10">
        <f>IF(Liste!84:84,"AAAAAH5NTzQ=",0)</f>
        <v>0</v>
      </c>
      <c r="BB10" t="b">
        <f>AND(Liste!A84,"AAAAAH5NTzU=")</f>
        <v>1</v>
      </c>
      <c r="BC10" t="e">
        <f>AND(Liste!#REF!,"AAAAAH5NTzY=")</f>
        <v>#REF!</v>
      </c>
      <c r="BD10" t="e">
        <f>AND(Liste!#REF!,"AAAAAH5NTzc=")</f>
        <v>#REF!</v>
      </c>
      <c r="BE10" t="e">
        <f>AND(Liste!#REF!,"AAAAAH5NTzg=")</f>
        <v>#REF!</v>
      </c>
      <c r="BF10" t="e">
        <f>AND(Liste!F129,"AAAAAH5NTzk=")</f>
        <v>#VALUE!</v>
      </c>
      <c r="BG10" t="e">
        <f>AND(Liste!G129,"AAAAAH5NTzo=")</f>
        <v>#VALUE!</v>
      </c>
      <c r="BH10" t="e">
        <f>AND(Liste!H129,"AAAAAH5NTzs=")</f>
        <v>#VALUE!</v>
      </c>
      <c r="BI10" t="e">
        <f>AND(Liste!I129,"AAAAAH5NTzw=")</f>
        <v>#VALUE!</v>
      </c>
      <c r="BJ10" t="e">
        <f>AND(Liste!J129,"AAAAAH5NTz0=")</f>
        <v>#VALUE!</v>
      </c>
      <c r="BK10" t="e">
        <f>AND(Liste!#REF!,"AAAAAH5NTz4=")</f>
        <v>#REF!</v>
      </c>
      <c r="BL10" t="e">
        <f>AND(Liste!#REF!,"AAAAAH5NTz8=")</f>
        <v>#REF!</v>
      </c>
      <c r="BM10" t="e">
        <f>AND(Liste!#REF!,"AAAAAH5NT0A=")</f>
        <v>#REF!</v>
      </c>
      <c r="BN10" t="e">
        <f>AND(Liste!#REF!,"AAAAAH5NT0E=")</f>
        <v>#REF!</v>
      </c>
      <c r="BO10" t="e">
        <f>AND(Liste!#REF!,"AAAAAH5NT0I=")</f>
        <v>#REF!</v>
      </c>
      <c r="BP10" t="e">
        <f>AND(Liste!#REF!,"AAAAAH5NT0M=")</f>
        <v>#REF!</v>
      </c>
      <c r="BQ10" t="e">
        <f>AND(Liste!#REF!,"AAAAAH5NT0Q=")</f>
        <v>#REF!</v>
      </c>
      <c r="BR10" t="e">
        <f>AND(Liste!#REF!,"AAAAAH5NT0U=")</f>
        <v>#REF!</v>
      </c>
      <c r="BS10" t="e">
        <f>AND(Liste!#REF!,"AAAAAH5NT0Y=")</f>
        <v>#REF!</v>
      </c>
      <c r="BT10" t="e">
        <f>AND(Liste!#REF!,"AAAAAH5NT0c=")</f>
        <v>#REF!</v>
      </c>
      <c r="BU10" t="e">
        <f>AND(Liste!#REF!,"AAAAAH5NT0g=")</f>
        <v>#REF!</v>
      </c>
      <c r="BV10" t="e">
        <f>AND(Liste!#REF!,"AAAAAH5NT0k=")</f>
        <v>#REF!</v>
      </c>
      <c r="BW10" t="e">
        <f>AND(Liste!#REF!,"AAAAAH5NT0o=")</f>
        <v>#REF!</v>
      </c>
      <c r="BX10" t="e">
        <f>AND(Liste!#REF!,"AAAAAH5NT0s=")</f>
        <v>#REF!</v>
      </c>
      <c r="BY10" t="e">
        <f>AND(Liste!#REF!,"AAAAAH5NT0w=")</f>
        <v>#REF!</v>
      </c>
      <c r="BZ10" t="e">
        <f>AND(Liste!#REF!,"AAAAAH5NT00=")</f>
        <v>#REF!</v>
      </c>
      <c r="CA10" t="e">
        <f>AND(Liste!#REF!,"AAAAAH5NT04=")</f>
        <v>#REF!</v>
      </c>
      <c r="CB10" t="e">
        <f>AND(Liste!#REF!,"AAAAAH5NT08=")</f>
        <v>#REF!</v>
      </c>
      <c r="CC10" t="e">
        <f>AND(Liste!#REF!,"AAAAAH5NT1A=")</f>
        <v>#REF!</v>
      </c>
      <c r="CD10" t="e">
        <f>AND(Liste!#REF!,"AAAAAH5NT1E=")</f>
        <v>#REF!</v>
      </c>
      <c r="CE10" t="e">
        <f>AND(Liste!#REF!,"AAAAAH5NT1I=")</f>
        <v>#REF!</v>
      </c>
      <c r="CF10" t="e">
        <f>IF(Liste!#REF!,"AAAAAH5NT1M=",0)</f>
        <v>#REF!</v>
      </c>
      <c r="CG10" t="e">
        <f>AND(Liste!#REF!,"AAAAAH5NT1Q=")</f>
        <v>#REF!</v>
      </c>
      <c r="CH10" t="e">
        <f>AND(Liste!#REF!,"AAAAAH5NT1U=")</f>
        <v>#REF!</v>
      </c>
      <c r="CI10" t="e">
        <f>AND(Liste!#REF!,"AAAAAH5NT1Y=")</f>
        <v>#REF!</v>
      </c>
      <c r="CJ10" t="e">
        <f>AND(Liste!#REF!,"AAAAAH5NT1c=")</f>
        <v>#REF!</v>
      </c>
      <c r="CK10" t="e">
        <f>AND(Liste!#REF!,"AAAAAH5NT1g=")</f>
        <v>#REF!</v>
      </c>
      <c r="CL10" t="e">
        <f>AND(Liste!#REF!,"AAAAAH5NT1k=")</f>
        <v>#REF!</v>
      </c>
      <c r="CM10" t="e">
        <f>AND(Liste!#REF!,"AAAAAH5NT1o=")</f>
        <v>#REF!</v>
      </c>
      <c r="CN10" t="e">
        <f>AND(Liste!#REF!,"AAAAAH5NT1s=")</f>
        <v>#REF!</v>
      </c>
      <c r="CO10" t="e">
        <f>AND(Liste!#REF!,"AAAAAH5NT1w=")</f>
        <v>#REF!</v>
      </c>
      <c r="CP10" t="e">
        <f>AND(Liste!#REF!,"AAAAAH5NT10=")</f>
        <v>#REF!</v>
      </c>
      <c r="CQ10" t="e">
        <f>AND(Liste!#REF!,"AAAAAH5NT14=")</f>
        <v>#REF!</v>
      </c>
      <c r="CR10" t="e">
        <f>AND(Liste!#REF!,"AAAAAH5NT18=")</f>
        <v>#REF!</v>
      </c>
      <c r="CS10" t="e">
        <f>AND(Liste!#REF!,"AAAAAH5NT2A=")</f>
        <v>#REF!</v>
      </c>
      <c r="CT10" t="e">
        <f>AND(Liste!#REF!,"AAAAAH5NT2E=")</f>
        <v>#REF!</v>
      </c>
      <c r="CU10" t="e">
        <f>AND(Liste!#REF!,"AAAAAH5NT2I=")</f>
        <v>#REF!</v>
      </c>
      <c r="CV10" t="e">
        <f>AND(Liste!#REF!,"AAAAAH5NT2M=")</f>
        <v>#REF!</v>
      </c>
      <c r="CW10" t="e">
        <f>AND(Liste!#REF!,"AAAAAH5NT2Q=")</f>
        <v>#REF!</v>
      </c>
      <c r="CX10" t="e">
        <f>AND(Liste!#REF!,"AAAAAH5NT2U=")</f>
        <v>#REF!</v>
      </c>
      <c r="CY10" t="e">
        <f>AND(Liste!#REF!,"AAAAAH5NT2Y=")</f>
        <v>#REF!</v>
      </c>
      <c r="CZ10" t="e">
        <f>AND(Liste!#REF!,"AAAAAH5NT2c=")</f>
        <v>#REF!</v>
      </c>
      <c r="DA10" t="e">
        <f>AND(Liste!#REF!,"AAAAAH5NT2g=")</f>
        <v>#REF!</v>
      </c>
      <c r="DB10" t="e">
        <f>AND(Liste!#REF!,"AAAAAH5NT2k=")</f>
        <v>#REF!</v>
      </c>
      <c r="DC10" t="e">
        <f>AND(Liste!#REF!,"AAAAAH5NT2o=")</f>
        <v>#REF!</v>
      </c>
      <c r="DD10" t="e">
        <f>AND(Liste!#REF!,"AAAAAH5NT2s=")</f>
        <v>#REF!</v>
      </c>
      <c r="DE10" t="e">
        <f>AND(Liste!#REF!,"AAAAAH5NT2w=")</f>
        <v>#REF!</v>
      </c>
      <c r="DF10" t="e">
        <f>AND(Liste!#REF!,"AAAAAH5NT20=")</f>
        <v>#REF!</v>
      </c>
      <c r="DG10" t="e">
        <f>AND(Liste!#REF!,"AAAAAH5NT24=")</f>
        <v>#REF!</v>
      </c>
      <c r="DH10" t="e">
        <f>AND(Liste!#REF!,"AAAAAH5NT28=")</f>
        <v>#REF!</v>
      </c>
      <c r="DI10" t="e">
        <f>AND(Liste!#REF!,"AAAAAH5NT3A=")</f>
        <v>#REF!</v>
      </c>
      <c r="DJ10" t="e">
        <f>AND(Liste!#REF!,"AAAAAH5NT3E=")</f>
        <v>#REF!</v>
      </c>
      <c r="DK10" t="e">
        <f>IF(Liste!#REF!,"AAAAAH5NT3I=",0)</f>
        <v>#REF!</v>
      </c>
      <c r="DL10" t="e">
        <f>AND(Liste!#REF!,"AAAAAH5NT3M=")</f>
        <v>#REF!</v>
      </c>
      <c r="DM10" t="e">
        <f>AND(Liste!#REF!,"AAAAAH5NT3Q=")</f>
        <v>#REF!</v>
      </c>
      <c r="DN10" t="e">
        <f>AND(Liste!#REF!,"AAAAAH5NT3U=")</f>
        <v>#REF!</v>
      </c>
      <c r="DO10" t="e">
        <f>AND(Liste!#REF!,"AAAAAH5NT3Y=")</f>
        <v>#REF!</v>
      </c>
      <c r="DP10" t="e">
        <f>AND(Liste!#REF!,"AAAAAH5NT3c=")</f>
        <v>#REF!</v>
      </c>
      <c r="DQ10" t="e">
        <f>AND(Liste!#REF!,"AAAAAH5NT3g=")</f>
        <v>#REF!</v>
      </c>
      <c r="DR10" t="e">
        <f>AND(Liste!#REF!,"AAAAAH5NT3k=")</f>
        <v>#REF!</v>
      </c>
      <c r="DS10" t="e">
        <f>AND(Liste!#REF!,"AAAAAH5NT3o=")</f>
        <v>#REF!</v>
      </c>
      <c r="DT10" t="e">
        <f>AND(Liste!#REF!,"AAAAAH5NT3s=")</f>
        <v>#REF!</v>
      </c>
      <c r="DU10" t="e">
        <f>AND(Liste!#REF!,"AAAAAH5NT3w=")</f>
        <v>#REF!</v>
      </c>
      <c r="DV10" t="e">
        <f>AND(Liste!#REF!,"AAAAAH5NT30=")</f>
        <v>#REF!</v>
      </c>
      <c r="DW10" t="e">
        <f>AND(Liste!#REF!,"AAAAAH5NT34=")</f>
        <v>#REF!</v>
      </c>
      <c r="DX10" t="e">
        <f>AND(Liste!#REF!,"AAAAAH5NT38=")</f>
        <v>#REF!</v>
      </c>
      <c r="DY10" t="e">
        <f>AND(Liste!#REF!,"AAAAAH5NT4A=")</f>
        <v>#REF!</v>
      </c>
      <c r="DZ10" t="e">
        <f>AND(Liste!#REF!,"AAAAAH5NT4E=")</f>
        <v>#REF!</v>
      </c>
      <c r="EA10" t="e">
        <f>AND(Liste!#REF!,"AAAAAH5NT4I=")</f>
        <v>#REF!</v>
      </c>
      <c r="EB10" t="e">
        <f>AND(Liste!#REF!,"AAAAAH5NT4M=")</f>
        <v>#REF!</v>
      </c>
      <c r="EC10" t="e">
        <f>AND(Liste!#REF!,"AAAAAH5NT4Q=")</f>
        <v>#REF!</v>
      </c>
      <c r="ED10" t="e">
        <f>AND(Liste!#REF!,"AAAAAH5NT4U=")</f>
        <v>#REF!</v>
      </c>
      <c r="EE10" t="e">
        <f>AND(Liste!#REF!,"AAAAAH5NT4Y=")</f>
        <v>#REF!</v>
      </c>
      <c r="EF10" t="e">
        <f>AND(Liste!#REF!,"AAAAAH5NT4c=")</f>
        <v>#REF!</v>
      </c>
      <c r="EG10" t="e">
        <f>AND(Liste!#REF!,"AAAAAH5NT4g=")</f>
        <v>#REF!</v>
      </c>
      <c r="EH10" t="e">
        <f>AND(Liste!#REF!,"AAAAAH5NT4k=")</f>
        <v>#REF!</v>
      </c>
      <c r="EI10" t="e">
        <f>AND(Liste!#REF!,"AAAAAH5NT4o=")</f>
        <v>#REF!</v>
      </c>
      <c r="EJ10" t="e">
        <f>AND(Liste!#REF!,"AAAAAH5NT4s=")</f>
        <v>#REF!</v>
      </c>
      <c r="EK10" t="e">
        <f>AND(Liste!#REF!,"AAAAAH5NT4w=")</f>
        <v>#REF!</v>
      </c>
      <c r="EL10" t="e">
        <f>AND(Liste!#REF!,"AAAAAH5NT40=")</f>
        <v>#REF!</v>
      </c>
      <c r="EM10" t="e">
        <f>AND(Liste!#REF!,"AAAAAH5NT44=")</f>
        <v>#REF!</v>
      </c>
      <c r="EN10" t="e">
        <f>AND(Liste!#REF!,"AAAAAH5NT48=")</f>
        <v>#REF!</v>
      </c>
      <c r="EO10" t="e">
        <f>AND(Liste!#REF!,"AAAAAH5NT5A=")</f>
        <v>#REF!</v>
      </c>
      <c r="EP10" t="e">
        <f>IF(Liste!#REF!,"AAAAAH5NT5E=",0)</f>
        <v>#REF!</v>
      </c>
      <c r="EQ10" t="e">
        <f>AND(Liste!#REF!,"AAAAAH5NT5I=")</f>
        <v>#REF!</v>
      </c>
      <c r="ER10" t="e">
        <f>AND(Liste!#REF!,"AAAAAH5NT5M=")</f>
        <v>#REF!</v>
      </c>
      <c r="ES10" t="e">
        <f>AND(Liste!#REF!,"AAAAAH5NT5Q=")</f>
        <v>#REF!</v>
      </c>
      <c r="ET10" t="e">
        <f>AND(Liste!#REF!,"AAAAAH5NT5U=")</f>
        <v>#REF!</v>
      </c>
      <c r="EU10" t="e">
        <f>AND(Liste!#REF!,"AAAAAH5NT5Y=")</f>
        <v>#REF!</v>
      </c>
      <c r="EV10" t="e">
        <f>AND(Liste!#REF!,"AAAAAH5NT5c=")</f>
        <v>#REF!</v>
      </c>
      <c r="EW10" t="e">
        <f>AND(Liste!#REF!,"AAAAAH5NT5g=")</f>
        <v>#REF!</v>
      </c>
      <c r="EX10" t="e">
        <f>AND(Liste!#REF!,"AAAAAH5NT5k=")</f>
        <v>#REF!</v>
      </c>
      <c r="EY10" t="e">
        <f>AND(Liste!#REF!,"AAAAAH5NT5o=")</f>
        <v>#REF!</v>
      </c>
      <c r="EZ10" t="e">
        <f>AND(Liste!#REF!,"AAAAAH5NT5s=")</f>
        <v>#REF!</v>
      </c>
      <c r="FA10" t="e">
        <f>AND(Liste!#REF!,"AAAAAH5NT5w=")</f>
        <v>#REF!</v>
      </c>
      <c r="FB10" t="e">
        <f>AND(Liste!#REF!,"AAAAAH5NT50=")</f>
        <v>#REF!</v>
      </c>
      <c r="FC10" t="e">
        <f>AND(Liste!#REF!,"AAAAAH5NT54=")</f>
        <v>#REF!</v>
      </c>
      <c r="FD10" t="e">
        <f>AND(Liste!#REF!,"AAAAAH5NT58=")</f>
        <v>#REF!</v>
      </c>
      <c r="FE10" t="e">
        <f>AND(Liste!#REF!,"AAAAAH5NT6A=")</f>
        <v>#REF!</v>
      </c>
      <c r="FF10" t="e">
        <f>AND(Liste!#REF!,"AAAAAH5NT6E=")</f>
        <v>#REF!</v>
      </c>
      <c r="FG10" t="e">
        <f>AND(Liste!#REF!,"AAAAAH5NT6I=")</f>
        <v>#REF!</v>
      </c>
      <c r="FH10" t="e">
        <f>AND(Liste!#REF!,"AAAAAH5NT6M=")</f>
        <v>#REF!</v>
      </c>
      <c r="FI10" t="e">
        <f>AND(Liste!#REF!,"AAAAAH5NT6Q=")</f>
        <v>#REF!</v>
      </c>
      <c r="FJ10" t="e">
        <f>AND(Liste!#REF!,"AAAAAH5NT6U=")</f>
        <v>#REF!</v>
      </c>
      <c r="FK10" t="e">
        <f>AND(Liste!#REF!,"AAAAAH5NT6Y=")</f>
        <v>#REF!</v>
      </c>
      <c r="FL10" t="e">
        <f>AND(Liste!#REF!,"AAAAAH5NT6c=")</f>
        <v>#REF!</v>
      </c>
      <c r="FM10" t="e">
        <f>AND(Liste!#REF!,"AAAAAH5NT6g=")</f>
        <v>#REF!</v>
      </c>
      <c r="FN10" t="e">
        <f>AND(Liste!#REF!,"AAAAAH5NT6k=")</f>
        <v>#REF!</v>
      </c>
      <c r="FO10" t="e">
        <f>AND(Liste!#REF!,"AAAAAH5NT6o=")</f>
        <v>#REF!</v>
      </c>
      <c r="FP10" t="e">
        <f>AND(Liste!#REF!,"AAAAAH5NT6s=")</f>
        <v>#REF!</v>
      </c>
      <c r="FQ10" t="e">
        <f>AND(Liste!#REF!,"AAAAAH5NT6w=")</f>
        <v>#REF!</v>
      </c>
      <c r="FR10" t="e">
        <f>AND(Liste!#REF!,"AAAAAH5NT60=")</f>
        <v>#REF!</v>
      </c>
      <c r="FS10" t="e">
        <f>AND(Liste!#REF!,"AAAAAH5NT64=")</f>
        <v>#REF!</v>
      </c>
      <c r="FT10" t="e">
        <f>AND(Liste!#REF!,"AAAAAH5NT68=")</f>
        <v>#REF!</v>
      </c>
      <c r="FU10" t="e">
        <f>IF(Liste!#REF!,"AAAAAH5NT7A=",0)</f>
        <v>#REF!</v>
      </c>
      <c r="FV10" t="e">
        <f>AND(Liste!#REF!,"AAAAAH5NT7E=")</f>
        <v>#REF!</v>
      </c>
      <c r="FW10" t="e">
        <f>AND(Liste!#REF!,"AAAAAH5NT7I=")</f>
        <v>#REF!</v>
      </c>
      <c r="FX10" t="e">
        <f>AND(Liste!#REF!,"AAAAAH5NT7M=")</f>
        <v>#REF!</v>
      </c>
      <c r="FY10" t="e">
        <f>AND(Liste!#REF!,"AAAAAH5NT7Q=")</f>
        <v>#REF!</v>
      </c>
      <c r="FZ10" t="e">
        <f>AND(Liste!#REF!,"AAAAAH5NT7U=")</f>
        <v>#REF!</v>
      </c>
      <c r="GA10" t="e">
        <f>AND(Liste!#REF!,"AAAAAH5NT7Y=")</f>
        <v>#REF!</v>
      </c>
      <c r="GB10" t="e">
        <f>AND(Liste!#REF!,"AAAAAH5NT7c=")</f>
        <v>#REF!</v>
      </c>
      <c r="GC10" t="e">
        <f>AND(Liste!#REF!,"AAAAAH5NT7g=")</f>
        <v>#REF!</v>
      </c>
      <c r="GD10" t="e">
        <f>AND(Liste!#REF!,"AAAAAH5NT7k=")</f>
        <v>#REF!</v>
      </c>
      <c r="GE10" t="e">
        <f>AND(Liste!#REF!,"AAAAAH5NT7o=")</f>
        <v>#REF!</v>
      </c>
      <c r="GF10" t="e">
        <f>AND(Liste!#REF!,"AAAAAH5NT7s=")</f>
        <v>#REF!</v>
      </c>
      <c r="GG10" t="e">
        <f>AND(Liste!#REF!,"AAAAAH5NT7w=")</f>
        <v>#REF!</v>
      </c>
      <c r="GH10" t="e">
        <f>AND(Liste!#REF!,"AAAAAH5NT70=")</f>
        <v>#REF!</v>
      </c>
      <c r="GI10" t="e">
        <f>AND(Liste!#REF!,"AAAAAH5NT74=")</f>
        <v>#REF!</v>
      </c>
      <c r="GJ10" t="e">
        <f>AND(Liste!#REF!,"AAAAAH5NT78=")</f>
        <v>#REF!</v>
      </c>
      <c r="GK10" t="e">
        <f>AND(Liste!#REF!,"AAAAAH5NT8A=")</f>
        <v>#REF!</v>
      </c>
      <c r="GL10" t="e">
        <f>AND(Liste!#REF!,"AAAAAH5NT8E=")</f>
        <v>#REF!</v>
      </c>
      <c r="GM10" t="e">
        <f>AND(Liste!#REF!,"AAAAAH5NT8I=")</f>
        <v>#REF!</v>
      </c>
      <c r="GN10" t="e">
        <f>AND(Liste!#REF!,"AAAAAH5NT8M=")</f>
        <v>#REF!</v>
      </c>
      <c r="GO10" t="e">
        <f>AND(Liste!#REF!,"AAAAAH5NT8Q=")</f>
        <v>#REF!</v>
      </c>
      <c r="GP10" t="e">
        <f>AND(Liste!#REF!,"AAAAAH5NT8U=")</f>
        <v>#REF!</v>
      </c>
      <c r="GQ10" t="e">
        <f>AND(Liste!#REF!,"AAAAAH5NT8Y=")</f>
        <v>#REF!</v>
      </c>
      <c r="GR10" t="e">
        <f>AND(Liste!#REF!,"AAAAAH5NT8c=")</f>
        <v>#REF!</v>
      </c>
      <c r="GS10" t="e">
        <f>AND(Liste!#REF!,"AAAAAH5NT8g=")</f>
        <v>#REF!</v>
      </c>
      <c r="GT10" t="e">
        <f>AND(Liste!#REF!,"AAAAAH5NT8k=")</f>
        <v>#REF!</v>
      </c>
      <c r="GU10" t="e">
        <f>AND(Liste!#REF!,"AAAAAH5NT8o=")</f>
        <v>#REF!</v>
      </c>
      <c r="GV10" t="e">
        <f>AND(Liste!#REF!,"AAAAAH5NT8s=")</f>
        <v>#REF!</v>
      </c>
      <c r="GW10" t="e">
        <f>AND(Liste!#REF!,"AAAAAH5NT8w=")</f>
        <v>#REF!</v>
      </c>
      <c r="GX10" t="e">
        <f>AND(Liste!#REF!,"AAAAAH5NT80=")</f>
        <v>#REF!</v>
      </c>
      <c r="GY10" t="e">
        <f>AND(Liste!#REF!,"AAAAAH5NT84=")</f>
        <v>#REF!</v>
      </c>
      <c r="GZ10" t="e">
        <f>IF(Liste!#REF!,"AAAAAH5NT88=",0)</f>
        <v>#REF!</v>
      </c>
      <c r="HA10" t="e">
        <f>AND(Liste!#REF!,"AAAAAH5NT9A=")</f>
        <v>#REF!</v>
      </c>
      <c r="HB10" t="e">
        <f>AND(Liste!#REF!,"AAAAAH5NT9E=")</f>
        <v>#REF!</v>
      </c>
      <c r="HC10" t="e">
        <f>AND(Liste!#REF!,"AAAAAH5NT9I=")</f>
        <v>#REF!</v>
      </c>
      <c r="HD10" t="e">
        <f>AND(Liste!#REF!,"AAAAAH5NT9M=")</f>
        <v>#REF!</v>
      </c>
      <c r="HE10" t="e">
        <f>AND(Liste!#REF!,"AAAAAH5NT9Q=")</f>
        <v>#REF!</v>
      </c>
      <c r="HF10" t="e">
        <f>AND(Liste!#REF!,"AAAAAH5NT9U=")</f>
        <v>#REF!</v>
      </c>
      <c r="HG10" t="e">
        <f>AND(Liste!#REF!,"AAAAAH5NT9Y=")</f>
        <v>#REF!</v>
      </c>
      <c r="HH10" t="e">
        <f>AND(Liste!#REF!,"AAAAAH5NT9c=")</f>
        <v>#REF!</v>
      </c>
      <c r="HI10" t="e">
        <f>AND(Liste!#REF!,"AAAAAH5NT9g=")</f>
        <v>#REF!</v>
      </c>
      <c r="HJ10" t="e">
        <f>AND(Liste!#REF!,"AAAAAH5NT9k=")</f>
        <v>#REF!</v>
      </c>
      <c r="HK10" t="e">
        <f>AND(Liste!#REF!,"AAAAAH5NT9o=")</f>
        <v>#REF!</v>
      </c>
      <c r="HL10" t="e">
        <f>AND(Liste!#REF!,"AAAAAH5NT9s=")</f>
        <v>#REF!</v>
      </c>
      <c r="HM10" t="e">
        <f>AND(Liste!#REF!,"AAAAAH5NT9w=")</f>
        <v>#REF!</v>
      </c>
      <c r="HN10" t="e">
        <f>AND(Liste!#REF!,"AAAAAH5NT90=")</f>
        <v>#REF!</v>
      </c>
      <c r="HO10" t="e">
        <f>AND(Liste!#REF!,"AAAAAH5NT94=")</f>
        <v>#REF!</v>
      </c>
      <c r="HP10" t="e">
        <f>AND(Liste!#REF!,"AAAAAH5NT98=")</f>
        <v>#REF!</v>
      </c>
      <c r="HQ10" t="e">
        <f>AND(Liste!#REF!,"AAAAAH5NT+A=")</f>
        <v>#REF!</v>
      </c>
      <c r="HR10" t="e">
        <f>AND(Liste!#REF!,"AAAAAH5NT+E=")</f>
        <v>#REF!</v>
      </c>
      <c r="HS10" t="e">
        <f>AND(Liste!#REF!,"AAAAAH5NT+I=")</f>
        <v>#REF!</v>
      </c>
      <c r="HT10" t="e">
        <f>AND(Liste!#REF!,"AAAAAH5NT+M=")</f>
        <v>#REF!</v>
      </c>
      <c r="HU10" t="e">
        <f>AND(Liste!#REF!,"AAAAAH5NT+Q=")</f>
        <v>#REF!</v>
      </c>
      <c r="HV10" t="e">
        <f>AND(Liste!#REF!,"AAAAAH5NT+U=")</f>
        <v>#REF!</v>
      </c>
      <c r="HW10" t="e">
        <f>AND(Liste!#REF!,"AAAAAH5NT+Y=")</f>
        <v>#REF!</v>
      </c>
      <c r="HX10" t="e">
        <f>AND(Liste!#REF!,"AAAAAH5NT+c=")</f>
        <v>#REF!</v>
      </c>
      <c r="HY10" t="e">
        <f>AND(Liste!#REF!,"AAAAAH5NT+g=")</f>
        <v>#REF!</v>
      </c>
      <c r="HZ10" t="e">
        <f>AND(Liste!#REF!,"AAAAAH5NT+k=")</f>
        <v>#REF!</v>
      </c>
      <c r="IA10" t="e">
        <f>AND(Liste!#REF!,"AAAAAH5NT+o=")</f>
        <v>#REF!</v>
      </c>
      <c r="IB10" t="e">
        <f>AND(Liste!#REF!,"AAAAAH5NT+s=")</f>
        <v>#REF!</v>
      </c>
      <c r="IC10" t="e">
        <f>AND(Liste!#REF!,"AAAAAH5NT+w=")</f>
        <v>#REF!</v>
      </c>
      <c r="ID10" t="e">
        <f>AND(Liste!#REF!,"AAAAAH5NT+0=")</f>
        <v>#REF!</v>
      </c>
      <c r="IE10" t="e">
        <f>IF(Liste!#REF!,"AAAAAH5NT+4=",0)</f>
        <v>#REF!</v>
      </c>
      <c r="IF10" t="e">
        <f>AND(Liste!#REF!,"AAAAAH5NT+8=")</f>
        <v>#REF!</v>
      </c>
      <c r="IG10" t="e">
        <f>AND(Liste!#REF!,"AAAAAH5NT/A=")</f>
        <v>#REF!</v>
      </c>
      <c r="IH10" t="e">
        <f>AND(Liste!#REF!,"AAAAAH5NT/E=")</f>
        <v>#REF!</v>
      </c>
      <c r="II10" t="e">
        <f>AND(Liste!#REF!,"AAAAAH5NT/I=")</f>
        <v>#REF!</v>
      </c>
      <c r="IJ10" t="e">
        <f>AND(Liste!#REF!,"AAAAAH5NT/M=")</f>
        <v>#REF!</v>
      </c>
      <c r="IK10" t="e">
        <f>AND(Liste!#REF!,"AAAAAH5NT/Q=")</f>
        <v>#REF!</v>
      </c>
      <c r="IL10" t="e">
        <f>AND(Liste!#REF!,"AAAAAH5NT/U=")</f>
        <v>#REF!</v>
      </c>
      <c r="IM10" t="e">
        <f>AND(Liste!#REF!,"AAAAAH5NT/Y=")</f>
        <v>#REF!</v>
      </c>
      <c r="IN10" t="e">
        <f>AND(Liste!#REF!,"AAAAAH5NT/c=")</f>
        <v>#REF!</v>
      </c>
      <c r="IO10" t="e">
        <f>AND(Liste!#REF!,"AAAAAH5NT/g=")</f>
        <v>#REF!</v>
      </c>
      <c r="IP10" t="e">
        <f>AND(Liste!#REF!,"AAAAAH5NT/k=")</f>
        <v>#REF!</v>
      </c>
      <c r="IQ10" t="e">
        <f>AND(Liste!#REF!,"AAAAAH5NT/o=")</f>
        <v>#REF!</v>
      </c>
      <c r="IR10" t="e">
        <f>AND(Liste!#REF!,"AAAAAH5NT/s=")</f>
        <v>#REF!</v>
      </c>
      <c r="IS10" t="e">
        <f>AND(Liste!#REF!,"AAAAAH5NT/w=")</f>
        <v>#REF!</v>
      </c>
      <c r="IT10" t="e">
        <f>AND(Liste!#REF!,"AAAAAH5NT/0=")</f>
        <v>#REF!</v>
      </c>
      <c r="IU10" t="e">
        <f>AND(Liste!#REF!,"AAAAAH5NT/4=")</f>
        <v>#REF!</v>
      </c>
      <c r="IV10" t="e">
        <f>AND(Liste!#REF!,"AAAAAH5NT/8=")</f>
        <v>#REF!</v>
      </c>
    </row>
    <row r="11" spans="1:256" x14ac:dyDescent="0.2">
      <c r="A11" t="e">
        <f>AND(Liste!#REF!,"AAAAADt9wgA=")</f>
        <v>#REF!</v>
      </c>
      <c r="B11" t="e">
        <f>AND(Liste!#REF!,"AAAAADt9wgE=")</f>
        <v>#REF!</v>
      </c>
      <c r="C11" t="e">
        <f>AND(Liste!#REF!,"AAAAADt9wgI=")</f>
        <v>#REF!</v>
      </c>
      <c r="D11" t="e">
        <f>AND(Liste!#REF!,"AAAAADt9wgM=")</f>
        <v>#REF!</v>
      </c>
      <c r="E11" t="e">
        <f>AND(Liste!#REF!,"AAAAADt9wgQ=")</f>
        <v>#REF!</v>
      </c>
      <c r="F11" t="e">
        <f>AND(Liste!#REF!,"AAAAADt9wgU=")</f>
        <v>#REF!</v>
      </c>
      <c r="G11" t="e">
        <f>AND(Liste!#REF!,"AAAAADt9wgY=")</f>
        <v>#REF!</v>
      </c>
      <c r="H11" t="e">
        <f>AND(Liste!#REF!,"AAAAADt9wgc=")</f>
        <v>#REF!</v>
      </c>
      <c r="I11" t="e">
        <f>AND(Liste!#REF!,"AAAAADt9wgg=")</f>
        <v>#REF!</v>
      </c>
      <c r="J11" t="e">
        <f>AND(Liste!#REF!,"AAAAADt9wgk=")</f>
        <v>#REF!</v>
      </c>
      <c r="K11" t="e">
        <f>AND(Liste!#REF!,"AAAAADt9wgo=")</f>
        <v>#REF!</v>
      </c>
      <c r="L11" t="e">
        <f>AND(Liste!#REF!,"AAAAADt9wgs=")</f>
        <v>#REF!</v>
      </c>
      <c r="M11" t="e">
        <f>AND(Liste!#REF!,"AAAAADt9wgw=")</f>
        <v>#REF!</v>
      </c>
      <c r="N11" t="e">
        <f>IF(Liste!#REF!,"AAAAADt9wg0=",0)</f>
        <v>#REF!</v>
      </c>
      <c r="O11" t="e">
        <f>AND(Liste!#REF!,"AAAAADt9wg4=")</f>
        <v>#REF!</v>
      </c>
      <c r="P11" t="e">
        <f>AND(Liste!#REF!,"AAAAADt9wg8=")</f>
        <v>#REF!</v>
      </c>
      <c r="Q11" t="e">
        <f>AND(Liste!#REF!,"AAAAADt9whA=")</f>
        <v>#REF!</v>
      </c>
      <c r="R11" t="e">
        <f>AND(Liste!#REF!,"AAAAADt9whE=")</f>
        <v>#REF!</v>
      </c>
      <c r="S11" t="e">
        <f>AND(Liste!#REF!,"AAAAADt9whI=")</f>
        <v>#REF!</v>
      </c>
      <c r="T11" t="e">
        <f>AND(Liste!#REF!,"AAAAADt9whM=")</f>
        <v>#REF!</v>
      </c>
      <c r="U11" t="e">
        <f>AND(Liste!#REF!,"AAAAADt9whQ=")</f>
        <v>#REF!</v>
      </c>
      <c r="V11" t="e">
        <f>AND(Liste!#REF!,"AAAAADt9whU=")</f>
        <v>#REF!</v>
      </c>
      <c r="W11" t="e">
        <f>AND(Liste!#REF!,"AAAAADt9whY=")</f>
        <v>#REF!</v>
      </c>
      <c r="X11" t="e">
        <f>AND(Liste!#REF!,"AAAAADt9whc=")</f>
        <v>#REF!</v>
      </c>
      <c r="Y11" t="e">
        <f>AND(Liste!#REF!,"AAAAADt9whg=")</f>
        <v>#REF!</v>
      </c>
      <c r="Z11" t="e">
        <f>AND(Liste!#REF!,"AAAAADt9whk=")</f>
        <v>#REF!</v>
      </c>
      <c r="AA11" t="e">
        <f>AND(Liste!#REF!,"AAAAADt9who=")</f>
        <v>#REF!</v>
      </c>
      <c r="AB11" t="e">
        <f>AND(Liste!#REF!,"AAAAADt9whs=")</f>
        <v>#REF!</v>
      </c>
      <c r="AC11" t="e">
        <f>AND(Liste!#REF!,"AAAAADt9whw=")</f>
        <v>#REF!</v>
      </c>
      <c r="AD11" t="e">
        <f>AND(Liste!#REF!,"AAAAADt9wh0=")</f>
        <v>#REF!</v>
      </c>
      <c r="AE11" t="e">
        <f>AND(Liste!#REF!,"AAAAADt9wh4=")</f>
        <v>#REF!</v>
      </c>
      <c r="AF11" t="e">
        <f>AND(Liste!#REF!,"AAAAADt9wh8=")</f>
        <v>#REF!</v>
      </c>
      <c r="AG11" t="e">
        <f>AND(Liste!#REF!,"AAAAADt9wiA=")</f>
        <v>#REF!</v>
      </c>
      <c r="AH11" t="e">
        <f>AND(Liste!#REF!,"AAAAADt9wiE=")</f>
        <v>#REF!</v>
      </c>
      <c r="AI11" t="e">
        <f>AND(Liste!#REF!,"AAAAADt9wiI=")</f>
        <v>#REF!</v>
      </c>
      <c r="AJ11" t="e">
        <f>AND(Liste!#REF!,"AAAAADt9wiM=")</f>
        <v>#REF!</v>
      </c>
      <c r="AK11" t="e">
        <f>AND(Liste!#REF!,"AAAAADt9wiQ=")</f>
        <v>#REF!</v>
      </c>
      <c r="AL11" t="e">
        <f>AND(Liste!#REF!,"AAAAADt9wiU=")</f>
        <v>#REF!</v>
      </c>
      <c r="AM11" t="e">
        <f>AND(Liste!#REF!,"AAAAADt9wiY=")</f>
        <v>#REF!</v>
      </c>
      <c r="AN11" t="e">
        <f>AND(Liste!#REF!,"AAAAADt9wic=")</f>
        <v>#REF!</v>
      </c>
      <c r="AO11" t="e">
        <f>AND(Liste!#REF!,"AAAAADt9wig=")</f>
        <v>#REF!</v>
      </c>
      <c r="AP11" t="e">
        <f>AND(Liste!#REF!,"AAAAADt9wik=")</f>
        <v>#REF!</v>
      </c>
      <c r="AQ11" t="e">
        <f>AND(Liste!#REF!,"AAAAADt9wio=")</f>
        <v>#REF!</v>
      </c>
      <c r="AR11" t="e">
        <f>AND(Liste!#REF!,"AAAAADt9wis=")</f>
        <v>#REF!</v>
      </c>
      <c r="AS11" t="e">
        <f>IF(Liste!#REF!,"AAAAADt9wiw=",0)</f>
        <v>#REF!</v>
      </c>
      <c r="AT11" t="e">
        <f>AND(Liste!#REF!,"AAAAADt9wi0=")</f>
        <v>#REF!</v>
      </c>
      <c r="AU11" t="e">
        <f>AND(Liste!#REF!,"AAAAADt9wi4=")</f>
        <v>#REF!</v>
      </c>
      <c r="AV11" t="e">
        <f>AND(Liste!#REF!,"AAAAADt9wi8=")</f>
        <v>#REF!</v>
      </c>
      <c r="AW11" t="e">
        <f>AND(Liste!#REF!,"AAAAADt9wjA=")</f>
        <v>#REF!</v>
      </c>
      <c r="AX11" t="e">
        <f>AND(Liste!#REF!,"AAAAADt9wjE=")</f>
        <v>#REF!</v>
      </c>
      <c r="AY11" t="e">
        <f>AND(Liste!#REF!,"AAAAADt9wjI=")</f>
        <v>#REF!</v>
      </c>
      <c r="AZ11" t="e">
        <f>AND(Liste!#REF!,"AAAAADt9wjM=")</f>
        <v>#REF!</v>
      </c>
      <c r="BA11" t="e">
        <f>AND(Liste!#REF!,"AAAAADt9wjQ=")</f>
        <v>#REF!</v>
      </c>
      <c r="BB11" t="e">
        <f>AND(Liste!#REF!,"AAAAADt9wjU=")</f>
        <v>#REF!</v>
      </c>
      <c r="BC11" t="e">
        <f>AND(Liste!#REF!,"AAAAADt9wjY=")</f>
        <v>#REF!</v>
      </c>
      <c r="BD11" t="e">
        <f>AND(Liste!#REF!,"AAAAADt9wjc=")</f>
        <v>#REF!</v>
      </c>
      <c r="BE11" t="e">
        <f>AND(Liste!#REF!,"AAAAADt9wjg=")</f>
        <v>#REF!</v>
      </c>
      <c r="BF11" t="e">
        <f>AND(Liste!#REF!,"AAAAADt9wjk=")</f>
        <v>#REF!</v>
      </c>
      <c r="BG11" t="e">
        <f>AND(Liste!#REF!,"AAAAADt9wjo=")</f>
        <v>#REF!</v>
      </c>
      <c r="BH11" t="e">
        <f>AND(Liste!#REF!,"AAAAADt9wjs=")</f>
        <v>#REF!</v>
      </c>
      <c r="BI11" t="e">
        <f>AND(Liste!#REF!,"AAAAADt9wjw=")</f>
        <v>#REF!</v>
      </c>
      <c r="BJ11" t="e">
        <f>AND(Liste!#REF!,"AAAAADt9wj0=")</f>
        <v>#REF!</v>
      </c>
      <c r="BK11" t="e">
        <f>AND(Liste!#REF!,"AAAAADt9wj4=")</f>
        <v>#REF!</v>
      </c>
      <c r="BL11" t="e">
        <f>AND(Liste!#REF!,"AAAAADt9wj8=")</f>
        <v>#REF!</v>
      </c>
      <c r="BM11" t="e">
        <f>AND(Liste!#REF!,"AAAAADt9wkA=")</f>
        <v>#REF!</v>
      </c>
      <c r="BN11" t="e">
        <f>AND(Liste!#REF!,"AAAAADt9wkE=")</f>
        <v>#REF!</v>
      </c>
      <c r="BO11" t="e">
        <f>AND(Liste!#REF!,"AAAAADt9wkI=")</f>
        <v>#REF!</v>
      </c>
      <c r="BP11" t="e">
        <f>AND(Liste!#REF!,"AAAAADt9wkM=")</f>
        <v>#REF!</v>
      </c>
      <c r="BQ11" t="e">
        <f>AND(Liste!#REF!,"AAAAADt9wkQ=")</f>
        <v>#REF!</v>
      </c>
      <c r="BR11" t="e">
        <f>AND(Liste!#REF!,"AAAAADt9wkU=")</f>
        <v>#REF!</v>
      </c>
      <c r="BS11" t="e">
        <f>AND(Liste!#REF!,"AAAAADt9wkY=")</f>
        <v>#REF!</v>
      </c>
      <c r="BT11" t="e">
        <f>AND(Liste!#REF!,"AAAAADt9wkc=")</f>
        <v>#REF!</v>
      </c>
      <c r="BU11" t="e">
        <f>AND(Liste!#REF!,"AAAAADt9wkg=")</f>
        <v>#REF!</v>
      </c>
      <c r="BV11" t="e">
        <f>AND(Liste!#REF!,"AAAAADt9wkk=")</f>
        <v>#REF!</v>
      </c>
      <c r="BW11" t="e">
        <f>AND(Liste!#REF!,"AAAAADt9wko=")</f>
        <v>#REF!</v>
      </c>
      <c r="BX11" t="e">
        <f>IF(Liste!#REF!,"AAAAADt9wks=",0)</f>
        <v>#REF!</v>
      </c>
      <c r="BY11" t="e">
        <f>AND(Liste!#REF!,"AAAAADt9wkw=")</f>
        <v>#REF!</v>
      </c>
      <c r="BZ11" t="e">
        <f>AND(Liste!#REF!,"AAAAADt9wk0=")</f>
        <v>#REF!</v>
      </c>
      <c r="CA11" t="e">
        <f>AND(Liste!#REF!,"AAAAADt9wk4=")</f>
        <v>#REF!</v>
      </c>
      <c r="CB11" t="e">
        <f>AND(Liste!#REF!,"AAAAADt9wk8=")</f>
        <v>#REF!</v>
      </c>
      <c r="CC11" t="e">
        <f>AND(Liste!#REF!,"AAAAADt9wlA=")</f>
        <v>#REF!</v>
      </c>
      <c r="CD11" t="e">
        <f>AND(Liste!#REF!,"AAAAADt9wlE=")</f>
        <v>#REF!</v>
      </c>
      <c r="CE11" t="e">
        <f>AND(Liste!#REF!,"AAAAADt9wlI=")</f>
        <v>#REF!</v>
      </c>
      <c r="CF11" t="e">
        <f>AND(Liste!#REF!,"AAAAADt9wlM=")</f>
        <v>#REF!</v>
      </c>
      <c r="CG11" t="e">
        <f>AND(Liste!#REF!,"AAAAADt9wlQ=")</f>
        <v>#REF!</v>
      </c>
      <c r="CH11" t="e">
        <f>AND(Liste!#REF!,"AAAAADt9wlU=")</f>
        <v>#REF!</v>
      </c>
      <c r="CI11" t="e">
        <f>AND(Liste!#REF!,"AAAAADt9wlY=")</f>
        <v>#REF!</v>
      </c>
      <c r="CJ11" t="e">
        <f>AND(Liste!#REF!,"AAAAADt9wlc=")</f>
        <v>#REF!</v>
      </c>
      <c r="CK11" t="e">
        <f>AND(Liste!#REF!,"AAAAADt9wlg=")</f>
        <v>#REF!</v>
      </c>
      <c r="CL11" t="e">
        <f>AND(Liste!#REF!,"AAAAADt9wlk=")</f>
        <v>#REF!</v>
      </c>
      <c r="CM11" t="e">
        <f>AND(Liste!#REF!,"AAAAADt9wlo=")</f>
        <v>#REF!</v>
      </c>
      <c r="CN11" t="e">
        <f>AND(Liste!#REF!,"AAAAADt9wls=")</f>
        <v>#REF!</v>
      </c>
      <c r="CO11" t="e">
        <f>AND(Liste!#REF!,"AAAAADt9wlw=")</f>
        <v>#REF!</v>
      </c>
      <c r="CP11" t="e">
        <f>AND(Liste!#REF!,"AAAAADt9wl0=")</f>
        <v>#REF!</v>
      </c>
      <c r="CQ11" t="e">
        <f>AND(Liste!#REF!,"AAAAADt9wl4=")</f>
        <v>#REF!</v>
      </c>
      <c r="CR11" t="e">
        <f>AND(Liste!#REF!,"AAAAADt9wl8=")</f>
        <v>#REF!</v>
      </c>
      <c r="CS11" t="e">
        <f>AND(Liste!#REF!,"AAAAADt9wmA=")</f>
        <v>#REF!</v>
      </c>
      <c r="CT11" t="e">
        <f>AND(Liste!#REF!,"AAAAADt9wmE=")</f>
        <v>#REF!</v>
      </c>
      <c r="CU11" t="e">
        <f>AND(Liste!#REF!,"AAAAADt9wmI=")</f>
        <v>#REF!</v>
      </c>
      <c r="CV11" t="e">
        <f>AND(Liste!#REF!,"AAAAADt9wmM=")</f>
        <v>#REF!</v>
      </c>
      <c r="CW11" t="e">
        <f>AND(Liste!#REF!,"AAAAADt9wmQ=")</f>
        <v>#REF!</v>
      </c>
      <c r="CX11" t="e">
        <f>AND(Liste!#REF!,"AAAAADt9wmU=")</f>
        <v>#REF!</v>
      </c>
      <c r="CY11" t="e">
        <f>AND(Liste!#REF!,"AAAAADt9wmY=")</f>
        <v>#REF!</v>
      </c>
      <c r="CZ11" t="e">
        <f>AND(Liste!#REF!,"AAAAADt9wmc=")</f>
        <v>#REF!</v>
      </c>
      <c r="DA11" t="e">
        <f>AND(Liste!#REF!,"AAAAADt9wmg=")</f>
        <v>#REF!</v>
      </c>
      <c r="DB11" t="e">
        <f>AND(Liste!#REF!,"AAAAADt9wmk=")</f>
        <v>#REF!</v>
      </c>
      <c r="DC11" t="e">
        <f>IF(Liste!#REF!,"AAAAADt9wmo=",0)</f>
        <v>#REF!</v>
      </c>
      <c r="DD11" t="e">
        <f>AND(Liste!#REF!,"AAAAADt9wms=")</f>
        <v>#REF!</v>
      </c>
      <c r="DE11" t="e">
        <f>AND(Liste!#REF!,"AAAAADt9wmw=")</f>
        <v>#REF!</v>
      </c>
      <c r="DF11" t="e">
        <f>AND(Liste!#REF!,"AAAAADt9wm0=")</f>
        <v>#REF!</v>
      </c>
      <c r="DG11" t="e">
        <f>AND(Liste!#REF!,"AAAAADt9wm4=")</f>
        <v>#REF!</v>
      </c>
      <c r="DH11" t="e">
        <f>AND(Liste!#REF!,"AAAAADt9wm8=")</f>
        <v>#REF!</v>
      </c>
      <c r="DI11" t="e">
        <f>AND(Liste!#REF!,"AAAAADt9wnA=")</f>
        <v>#REF!</v>
      </c>
      <c r="DJ11" t="e">
        <f>AND(Liste!#REF!,"AAAAADt9wnE=")</f>
        <v>#REF!</v>
      </c>
      <c r="DK11" t="e">
        <f>AND(Liste!#REF!,"AAAAADt9wnI=")</f>
        <v>#REF!</v>
      </c>
      <c r="DL11" t="e">
        <f>AND(Liste!#REF!,"AAAAADt9wnM=")</f>
        <v>#REF!</v>
      </c>
      <c r="DM11" t="e">
        <f>AND(Liste!#REF!,"AAAAADt9wnQ=")</f>
        <v>#REF!</v>
      </c>
      <c r="DN11" t="e">
        <f>AND(Liste!#REF!,"AAAAADt9wnU=")</f>
        <v>#REF!</v>
      </c>
      <c r="DO11" t="e">
        <f>AND(Liste!#REF!,"AAAAADt9wnY=")</f>
        <v>#REF!</v>
      </c>
      <c r="DP11" t="e">
        <f>AND(Liste!#REF!,"AAAAADt9wnc=")</f>
        <v>#REF!</v>
      </c>
      <c r="DQ11" t="e">
        <f>AND(Liste!#REF!,"AAAAADt9wng=")</f>
        <v>#REF!</v>
      </c>
      <c r="DR11" t="e">
        <f>AND(Liste!#REF!,"AAAAADt9wnk=")</f>
        <v>#REF!</v>
      </c>
      <c r="DS11" t="e">
        <f>AND(Liste!#REF!,"AAAAADt9wno=")</f>
        <v>#REF!</v>
      </c>
      <c r="DT11" t="e">
        <f>AND(Liste!#REF!,"AAAAADt9wns=")</f>
        <v>#REF!</v>
      </c>
      <c r="DU11" t="e">
        <f>AND(Liste!#REF!,"AAAAADt9wnw=")</f>
        <v>#REF!</v>
      </c>
      <c r="DV11" t="e">
        <f>AND(Liste!#REF!,"AAAAADt9wn0=")</f>
        <v>#REF!</v>
      </c>
      <c r="DW11" t="e">
        <f>AND(Liste!#REF!,"AAAAADt9wn4=")</f>
        <v>#REF!</v>
      </c>
      <c r="DX11" t="e">
        <f>AND(Liste!#REF!,"AAAAADt9wn8=")</f>
        <v>#REF!</v>
      </c>
      <c r="DY11" t="e">
        <f>AND(Liste!#REF!,"AAAAADt9woA=")</f>
        <v>#REF!</v>
      </c>
      <c r="DZ11" t="e">
        <f>AND(Liste!#REF!,"AAAAADt9woE=")</f>
        <v>#REF!</v>
      </c>
      <c r="EA11" t="e">
        <f>AND(Liste!#REF!,"AAAAADt9woI=")</f>
        <v>#REF!</v>
      </c>
      <c r="EB11" t="e">
        <f>AND(Liste!#REF!,"AAAAADt9woM=")</f>
        <v>#REF!</v>
      </c>
      <c r="EC11" t="e">
        <f>AND(Liste!#REF!,"AAAAADt9woQ=")</f>
        <v>#REF!</v>
      </c>
      <c r="ED11" t="e">
        <f>AND(Liste!#REF!,"AAAAADt9woU=")</f>
        <v>#REF!</v>
      </c>
      <c r="EE11" t="e">
        <f>AND(Liste!#REF!,"AAAAADt9woY=")</f>
        <v>#REF!</v>
      </c>
      <c r="EF11" t="e">
        <f>AND(Liste!#REF!,"AAAAADt9woc=")</f>
        <v>#REF!</v>
      </c>
      <c r="EG11" t="e">
        <f>AND(Liste!#REF!,"AAAAADt9wog=")</f>
        <v>#REF!</v>
      </c>
      <c r="EH11" t="e">
        <f>IF(Liste!#REF!,"AAAAADt9wok=",0)</f>
        <v>#REF!</v>
      </c>
      <c r="EI11" t="e">
        <f>AND(Liste!#REF!,"AAAAADt9woo=")</f>
        <v>#REF!</v>
      </c>
      <c r="EJ11" t="e">
        <f>AND(Liste!#REF!,"AAAAADt9wos=")</f>
        <v>#REF!</v>
      </c>
      <c r="EK11" t="e">
        <f>AND(Liste!#REF!,"AAAAADt9wow=")</f>
        <v>#REF!</v>
      </c>
      <c r="EL11" t="e">
        <f>AND(Liste!#REF!,"AAAAADt9wo0=")</f>
        <v>#REF!</v>
      </c>
      <c r="EM11" t="e">
        <f>AND(Liste!#REF!,"AAAAADt9wo4=")</f>
        <v>#REF!</v>
      </c>
      <c r="EN11" t="e">
        <f>AND(Liste!#REF!,"AAAAADt9wo8=")</f>
        <v>#REF!</v>
      </c>
      <c r="EO11" t="e">
        <f>AND(Liste!#REF!,"AAAAADt9wpA=")</f>
        <v>#REF!</v>
      </c>
      <c r="EP11" t="e">
        <f>AND(Liste!#REF!,"AAAAADt9wpE=")</f>
        <v>#REF!</v>
      </c>
      <c r="EQ11" t="e">
        <f>AND(Liste!#REF!,"AAAAADt9wpI=")</f>
        <v>#REF!</v>
      </c>
      <c r="ER11" t="e">
        <f>AND(Liste!#REF!,"AAAAADt9wpM=")</f>
        <v>#REF!</v>
      </c>
      <c r="ES11" t="e">
        <f>AND(Liste!#REF!,"AAAAADt9wpQ=")</f>
        <v>#REF!</v>
      </c>
      <c r="ET11" t="e">
        <f>AND(Liste!#REF!,"AAAAADt9wpU=")</f>
        <v>#REF!</v>
      </c>
      <c r="EU11" t="e">
        <f>AND(Liste!#REF!,"AAAAADt9wpY=")</f>
        <v>#REF!</v>
      </c>
      <c r="EV11" t="e">
        <f>AND(Liste!#REF!,"AAAAADt9wpc=")</f>
        <v>#REF!</v>
      </c>
      <c r="EW11" t="e">
        <f>AND(Liste!#REF!,"AAAAADt9wpg=")</f>
        <v>#REF!</v>
      </c>
      <c r="EX11" t="e">
        <f>AND(Liste!#REF!,"AAAAADt9wpk=")</f>
        <v>#REF!</v>
      </c>
      <c r="EY11" t="e">
        <f>AND(Liste!#REF!,"AAAAADt9wpo=")</f>
        <v>#REF!</v>
      </c>
      <c r="EZ11" t="e">
        <f>AND(Liste!#REF!,"AAAAADt9wps=")</f>
        <v>#REF!</v>
      </c>
      <c r="FA11" t="e">
        <f>AND(Liste!#REF!,"AAAAADt9wpw=")</f>
        <v>#REF!</v>
      </c>
      <c r="FB11" t="e">
        <f>AND(Liste!#REF!,"AAAAADt9wp0=")</f>
        <v>#REF!</v>
      </c>
      <c r="FC11" t="e">
        <f>AND(Liste!#REF!,"AAAAADt9wp4=")</f>
        <v>#REF!</v>
      </c>
      <c r="FD11" t="e">
        <f>AND(Liste!#REF!,"AAAAADt9wp8=")</f>
        <v>#REF!</v>
      </c>
      <c r="FE11" t="e">
        <f>AND(Liste!#REF!,"AAAAADt9wqA=")</f>
        <v>#REF!</v>
      </c>
      <c r="FF11" t="e">
        <f>AND(Liste!#REF!,"AAAAADt9wqE=")</f>
        <v>#REF!</v>
      </c>
      <c r="FG11" t="e">
        <f>AND(Liste!#REF!,"AAAAADt9wqI=")</f>
        <v>#REF!</v>
      </c>
      <c r="FH11" t="e">
        <f>AND(Liste!#REF!,"AAAAADt9wqM=")</f>
        <v>#REF!</v>
      </c>
      <c r="FI11" t="e">
        <f>AND(Liste!#REF!,"AAAAADt9wqQ=")</f>
        <v>#REF!</v>
      </c>
      <c r="FJ11" t="e">
        <f>AND(Liste!#REF!,"AAAAADt9wqU=")</f>
        <v>#REF!</v>
      </c>
      <c r="FK11" t="e">
        <f>AND(Liste!#REF!,"AAAAADt9wqY=")</f>
        <v>#REF!</v>
      </c>
      <c r="FL11" t="e">
        <f>AND(Liste!#REF!,"AAAAADt9wqc=")</f>
        <v>#REF!</v>
      </c>
      <c r="FM11" t="e">
        <f>IF(Liste!#REF!,"AAAAADt9wqg=",0)</f>
        <v>#REF!</v>
      </c>
      <c r="FN11" t="e">
        <f>AND(Liste!#REF!,"AAAAADt9wqk=")</f>
        <v>#REF!</v>
      </c>
      <c r="FO11" t="e">
        <f>AND(Liste!#REF!,"AAAAADt9wqo=")</f>
        <v>#REF!</v>
      </c>
      <c r="FP11" t="e">
        <f>AND(Liste!#REF!,"AAAAADt9wqs=")</f>
        <v>#REF!</v>
      </c>
      <c r="FQ11" t="e">
        <f>AND(Liste!#REF!,"AAAAADt9wqw=")</f>
        <v>#REF!</v>
      </c>
      <c r="FR11" t="e">
        <f>AND(Liste!#REF!,"AAAAADt9wq0=")</f>
        <v>#REF!</v>
      </c>
      <c r="FS11" t="e">
        <f>AND(Liste!#REF!,"AAAAADt9wq4=")</f>
        <v>#REF!</v>
      </c>
      <c r="FT11" t="e">
        <f>AND(Liste!#REF!,"AAAAADt9wq8=")</f>
        <v>#REF!</v>
      </c>
      <c r="FU11" t="e">
        <f>AND(Liste!#REF!,"AAAAADt9wrA=")</f>
        <v>#REF!</v>
      </c>
      <c r="FV11" t="e">
        <f>AND(Liste!#REF!,"AAAAADt9wrE=")</f>
        <v>#REF!</v>
      </c>
      <c r="FW11" t="e">
        <f>AND(Liste!#REF!,"AAAAADt9wrI=")</f>
        <v>#REF!</v>
      </c>
      <c r="FX11" t="e">
        <f>AND(Liste!#REF!,"AAAAADt9wrM=")</f>
        <v>#REF!</v>
      </c>
      <c r="FY11" t="e">
        <f>AND(Liste!#REF!,"AAAAADt9wrQ=")</f>
        <v>#REF!</v>
      </c>
      <c r="FZ11" t="e">
        <f>AND(Liste!#REF!,"AAAAADt9wrU=")</f>
        <v>#REF!</v>
      </c>
      <c r="GA11" t="e">
        <f>AND(Liste!#REF!,"AAAAADt9wrY=")</f>
        <v>#REF!</v>
      </c>
      <c r="GB11" t="e">
        <f>AND(Liste!#REF!,"AAAAADt9wrc=")</f>
        <v>#REF!</v>
      </c>
      <c r="GC11" t="e">
        <f>AND(Liste!#REF!,"AAAAADt9wrg=")</f>
        <v>#REF!</v>
      </c>
      <c r="GD11" t="e">
        <f>AND(Liste!#REF!,"AAAAADt9wrk=")</f>
        <v>#REF!</v>
      </c>
      <c r="GE11" t="e">
        <f>AND(Liste!#REF!,"AAAAADt9wro=")</f>
        <v>#REF!</v>
      </c>
      <c r="GF11" t="e">
        <f>AND(Liste!#REF!,"AAAAADt9wrs=")</f>
        <v>#REF!</v>
      </c>
      <c r="GG11" t="e">
        <f>AND(Liste!#REF!,"AAAAADt9wrw=")</f>
        <v>#REF!</v>
      </c>
      <c r="GH11" t="e">
        <f>AND(Liste!#REF!,"AAAAADt9wr0=")</f>
        <v>#REF!</v>
      </c>
      <c r="GI11" t="e">
        <f>AND(Liste!#REF!,"AAAAADt9wr4=")</f>
        <v>#REF!</v>
      </c>
      <c r="GJ11" t="e">
        <f>AND(Liste!#REF!,"AAAAADt9wr8=")</f>
        <v>#REF!</v>
      </c>
      <c r="GK11" t="e">
        <f>AND(Liste!#REF!,"AAAAADt9wsA=")</f>
        <v>#REF!</v>
      </c>
      <c r="GL11" t="e">
        <f>AND(Liste!#REF!,"AAAAADt9wsE=")</f>
        <v>#REF!</v>
      </c>
      <c r="GM11" t="e">
        <f>AND(Liste!#REF!,"AAAAADt9wsI=")</f>
        <v>#REF!</v>
      </c>
      <c r="GN11" t="e">
        <f>AND(Liste!#REF!,"AAAAADt9wsM=")</f>
        <v>#REF!</v>
      </c>
      <c r="GO11" t="e">
        <f>AND(Liste!#REF!,"AAAAADt9wsQ=")</f>
        <v>#REF!</v>
      </c>
      <c r="GP11" t="e">
        <f>AND(Liste!#REF!,"AAAAADt9wsU=")</f>
        <v>#REF!</v>
      </c>
      <c r="GQ11" t="e">
        <f>AND(Liste!#REF!,"AAAAADt9wsY=")</f>
        <v>#REF!</v>
      </c>
      <c r="GR11" t="e">
        <f>IF(Liste!#REF!,"AAAAADt9wsc=",0)</f>
        <v>#REF!</v>
      </c>
      <c r="GS11" t="e">
        <f>AND(Liste!#REF!,"AAAAADt9wsg=")</f>
        <v>#REF!</v>
      </c>
      <c r="GT11" t="e">
        <f>AND(Liste!#REF!,"AAAAADt9wsk=")</f>
        <v>#REF!</v>
      </c>
      <c r="GU11" t="e">
        <f>AND(Liste!#REF!,"AAAAADt9wso=")</f>
        <v>#REF!</v>
      </c>
      <c r="GV11" t="e">
        <f>AND(Liste!#REF!,"AAAAADt9wss=")</f>
        <v>#REF!</v>
      </c>
      <c r="GW11" t="e">
        <f>AND(Liste!#REF!,"AAAAADt9wsw=")</f>
        <v>#REF!</v>
      </c>
      <c r="GX11" t="e">
        <f>AND(Liste!#REF!,"AAAAADt9ws0=")</f>
        <v>#REF!</v>
      </c>
      <c r="GY11" t="e">
        <f>AND(Liste!#REF!,"AAAAADt9ws4=")</f>
        <v>#REF!</v>
      </c>
      <c r="GZ11" t="e">
        <f>AND(Liste!#REF!,"AAAAADt9ws8=")</f>
        <v>#REF!</v>
      </c>
      <c r="HA11" t="e">
        <f>AND(Liste!#REF!,"AAAAADt9wtA=")</f>
        <v>#REF!</v>
      </c>
      <c r="HB11" t="e">
        <f>AND(Liste!#REF!,"AAAAADt9wtE=")</f>
        <v>#REF!</v>
      </c>
      <c r="HC11" t="e">
        <f>AND(Liste!#REF!,"AAAAADt9wtI=")</f>
        <v>#REF!</v>
      </c>
      <c r="HD11" t="e">
        <f>AND(Liste!#REF!,"AAAAADt9wtM=")</f>
        <v>#REF!</v>
      </c>
      <c r="HE11" t="e">
        <f>AND(Liste!#REF!,"AAAAADt9wtQ=")</f>
        <v>#REF!</v>
      </c>
      <c r="HF11" t="e">
        <f>AND(Liste!#REF!,"AAAAADt9wtU=")</f>
        <v>#REF!</v>
      </c>
      <c r="HG11" t="e">
        <f>AND(Liste!#REF!,"AAAAADt9wtY=")</f>
        <v>#REF!</v>
      </c>
      <c r="HH11" t="e">
        <f>AND(Liste!#REF!,"AAAAADt9wtc=")</f>
        <v>#REF!</v>
      </c>
      <c r="HI11" t="e">
        <f>AND(Liste!#REF!,"AAAAADt9wtg=")</f>
        <v>#REF!</v>
      </c>
      <c r="HJ11" t="e">
        <f>AND(Liste!#REF!,"AAAAADt9wtk=")</f>
        <v>#REF!</v>
      </c>
      <c r="HK11" t="e">
        <f>AND(Liste!#REF!,"AAAAADt9wto=")</f>
        <v>#REF!</v>
      </c>
      <c r="HL11" t="e">
        <f>AND(Liste!#REF!,"AAAAADt9wts=")</f>
        <v>#REF!</v>
      </c>
      <c r="HM11" t="e">
        <f>AND(Liste!#REF!,"AAAAADt9wtw=")</f>
        <v>#REF!</v>
      </c>
      <c r="HN11" t="e">
        <f>AND(Liste!#REF!,"AAAAADt9wt0=")</f>
        <v>#REF!</v>
      </c>
      <c r="HO11" t="e">
        <f>AND(Liste!#REF!,"AAAAADt9wt4=")</f>
        <v>#REF!</v>
      </c>
      <c r="HP11" t="e">
        <f>AND(Liste!#REF!,"AAAAADt9wt8=")</f>
        <v>#REF!</v>
      </c>
      <c r="HQ11" t="e">
        <f>AND(Liste!#REF!,"AAAAADt9wuA=")</f>
        <v>#REF!</v>
      </c>
      <c r="HR11" t="e">
        <f>AND(Liste!#REF!,"AAAAADt9wuE=")</f>
        <v>#REF!</v>
      </c>
      <c r="HS11" t="e">
        <f>AND(Liste!#REF!,"AAAAADt9wuI=")</f>
        <v>#REF!</v>
      </c>
      <c r="HT11" t="e">
        <f>AND(Liste!#REF!,"AAAAADt9wuM=")</f>
        <v>#REF!</v>
      </c>
      <c r="HU11" t="e">
        <f>AND(Liste!#REF!,"AAAAADt9wuQ=")</f>
        <v>#REF!</v>
      </c>
      <c r="HV11" t="e">
        <f>AND(Liste!#REF!,"AAAAADt9wuU=")</f>
        <v>#REF!</v>
      </c>
      <c r="HW11" t="e">
        <f>IF(Liste!#REF!,"AAAAADt9wuY=",0)</f>
        <v>#REF!</v>
      </c>
      <c r="HX11" t="e">
        <f>AND(Liste!#REF!,"AAAAADt9wuc=")</f>
        <v>#REF!</v>
      </c>
      <c r="HY11" t="e">
        <f>AND(Liste!#REF!,"AAAAADt9wug=")</f>
        <v>#REF!</v>
      </c>
      <c r="HZ11" t="e">
        <f>AND(Liste!#REF!,"AAAAADt9wuk=")</f>
        <v>#REF!</v>
      </c>
      <c r="IA11" t="e">
        <f>AND(Liste!#REF!,"AAAAADt9wuo=")</f>
        <v>#REF!</v>
      </c>
      <c r="IB11" t="e">
        <f>AND(Liste!#REF!,"AAAAADt9wus=")</f>
        <v>#REF!</v>
      </c>
      <c r="IC11" t="e">
        <f>AND(Liste!#REF!,"AAAAADt9wuw=")</f>
        <v>#REF!</v>
      </c>
      <c r="ID11" t="e">
        <f>AND(Liste!#REF!,"AAAAADt9wu0=")</f>
        <v>#REF!</v>
      </c>
      <c r="IE11" t="e">
        <f>AND(Liste!#REF!,"AAAAADt9wu4=")</f>
        <v>#REF!</v>
      </c>
      <c r="IF11" t="e">
        <f>AND(Liste!#REF!,"AAAAADt9wu8=")</f>
        <v>#REF!</v>
      </c>
      <c r="IG11" t="e">
        <f>AND(Liste!#REF!,"AAAAADt9wvA=")</f>
        <v>#REF!</v>
      </c>
      <c r="IH11" t="e">
        <f>AND(Liste!#REF!,"AAAAADt9wvE=")</f>
        <v>#REF!</v>
      </c>
      <c r="II11" t="e">
        <f>AND(Liste!#REF!,"AAAAADt9wvI=")</f>
        <v>#REF!</v>
      </c>
      <c r="IJ11" t="e">
        <f>AND(Liste!#REF!,"AAAAADt9wvM=")</f>
        <v>#REF!</v>
      </c>
      <c r="IK11" t="e">
        <f>AND(Liste!#REF!,"AAAAADt9wvQ=")</f>
        <v>#REF!</v>
      </c>
      <c r="IL11" t="e">
        <f>AND(Liste!#REF!,"AAAAADt9wvU=")</f>
        <v>#REF!</v>
      </c>
      <c r="IM11" t="e">
        <f>AND(Liste!#REF!,"AAAAADt9wvY=")</f>
        <v>#REF!</v>
      </c>
      <c r="IN11" t="e">
        <f>AND(Liste!#REF!,"AAAAADt9wvc=")</f>
        <v>#REF!</v>
      </c>
      <c r="IO11" t="e">
        <f>AND(Liste!#REF!,"AAAAADt9wvg=")</f>
        <v>#REF!</v>
      </c>
      <c r="IP11" t="e">
        <f>AND(Liste!#REF!,"AAAAADt9wvk=")</f>
        <v>#REF!</v>
      </c>
      <c r="IQ11" t="e">
        <f>AND(Liste!#REF!,"AAAAADt9wvo=")</f>
        <v>#REF!</v>
      </c>
      <c r="IR11" t="e">
        <f>AND(Liste!#REF!,"AAAAADt9wvs=")</f>
        <v>#REF!</v>
      </c>
      <c r="IS11" t="e">
        <f>AND(Liste!#REF!,"AAAAADt9wvw=")</f>
        <v>#REF!</v>
      </c>
      <c r="IT11" t="e">
        <f>AND(Liste!#REF!,"AAAAADt9wv0=")</f>
        <v>#REF!</v>
      </c>
      <c r="IU11" t="e">
        <f>AND(Liste!#REF!,"AAAAADt9wv4=")</f>
        <v>#REF!</v>
      </c>
      <c r="IV11" t="e">
        <f>AND(Liste!#REF!,"AAAAADt9wv8=")</f>
        <v>#REF!</v>
      </c>
    </row>
    <row r="12" spans="1:256" x14ac:dyDescent="0.2">
      <c r="A12" t="e">
        <f>AND(Liste!#REF!,"AAAAAH2muQA=")</f>
        <v>#REF!</v>
      </c>
      <c r="B12" t="e">
        <f>AND(Liste!#REF!,"AAAAAH2muQE=")</f>
        <v>#REF!</v>
      </c>
      <c r="C12" t="e">
        <f>AND(Liste!#REF!,"AAAAAH2muQI=")</f>
        <v>#REF!</v>
      </c>
      <c r="D12" t="e">
        <f>AND(Liste!#REF!,"AAAAAH2muQM=")</f>
        <v>#REF!</v>
      </c>
      <c r="E12" t="e">
        <f>AND(Liste!#REF!,"AAAAAH2muQQ=")</f>
        <v>#REF!</v>
      </c>
      <c r="F12" t="e">
        <f>IF(Liste!85:85,"AAAAAH2muQU=",0)</f>
        <v>#VALUE!</v>
      </c>
      <c r="G12" t="e">
        <f>AND(Liste!A85,"AAAAAH2muQY=")</f>
        <v>#VALUE!</v>
      </c>
      <c r="H12" t="e">
        <f>AND(Liste!#REF!,"AAAAAH2muQc=")</f>
        <v>#REF!</v>
      </c>
      <c r="I12" t="e">
        <f>AND(Liste!#REF!,"AAAAAH2muQg=")</f>
        <v>#REF!</v>
      </c>
      <c r="J12" t="e">
        <f>AND(Liste!#REF!,"AAAAAH2muQk=")</f>
        <v>#REF!</v>
      </c>
      <c r="K12" t="e">
        <f>AND(Liste!F141,"AAAAAH2muQo=")</f>
        <v>#VALUE!</v>
      </c>
      <c r="L12" t="e">
        <f>AND(Liste!G141,"AAAAAH2muQs=")</f>
        <v>#VALUE!</v>
      </c>
      <c r="M12" t="e">
        <f>AND(Liste!H141,"AAAAAH2muQw=")</f>
        <v>#VALUE!</v>
      </c>
      <c r="N12" t="e">
        <f>AND(Liste!I141,"AAAAAH2muQ0=")</f>
        <v>#VALUE!</v>
      </c>
      <c r="O12" t="e">
        <f>AND(Liste!J141,"AAAAAH2muQ4=")</f>
        <v>#VALUE!</v>
      </c>
      <c r="P12" t="e">
        <f>AND(Liste!#REF!,"AAAAAH2muQ8=")</f>
        <v>#REF!</v>
      </c>
      <c r="Q12" t="e">
        <f>AND(Liste!#REF!,"AAAAAH2muRA=")</f>
        <v>#REF!</v>
      </c>
      <c r="R12" t="e">
        <f>AND(Liste!#REF!,"AAAAAH2muRE=")</f>
        <v>#REF!</v>
      </c>
      <c r="S12" t="e">
        <f>AND(Liste!#REF!,"AAAAAH2muRI=")</f>
        <v>#REF!</v>
      </c>
      <c r="T12" t="e">
        <f>AND(Liste!#REF!,"AAAAAH2muRM=")</f>
        <v>#REF!</v>
      </c>
      <c r="U12" t="e">
        <f>AND(Liste!#REF!,"AAAAAH2muRQ=")</f>
        <v>#REF!</v>
      </c>
      <c r="V12" t="e">
        <f>AND(Liste!#REF!,"AAAAAH2muRU=")</f>
        <v>#REF!</v>
      </c>
      <c r="W12" t="e">
        <f>AND(Liste!#REF!,"AAAAAH2muRY=")</f>
        <v>#REF!</v>
      </c>
      <c r="X12" t="e">
        <f>AND(Liste!#REF!,"AAAAAH2muRc=")</f>
        <v>#REF!</v>
      </c>
      <c r="Y12" t="e">
        <f>AND(Liste!#REF!,"AAAAAH2muRg=")</f>
        <v>#REF!</v>
      </c>
      <c r="Z12" t="e">
        <f>AND(Liste!#REF!,"AAAAAH2muRk=")</f>
        <v>#REF!</v>
      </c>
      <c r="AA12" t="e">
        <f>AND(Liste!#REF!,"AAAAAH2muRo=")</f>
        <v>#REF!</v>
      </c>
      <c r="AB12" t="e">
        <f>AND(Liste!#REF!,"AAAAAH2muRs=")</f>
        <v>#REF!</v>
      </c>
      <c r="AC12" t="e">
        <f>AND(Liste!#REF!,"AAAAAH2muRw=")</f>
        <v>#REF!</v>
      </c>
      <c r="AD12" t="e">
        <f>AND(Liste!#REF!,"AAAAAH2muR0=")</f>
        <v>#REF!</v>
      </c>
      <c r="AE12" t="e">
        <f>AND(Liste!#REF!,"AAAAAH2muR4=")</f>
        <v>#REF!</v>
      </c>
      <c r="AF12" t="e">
        <f>AND(Liste!#REF!,"AAAAAH2muR8=")</f>
        <v>#REF!</v>
      </c>
      <c r="AG12" t="e">
        <f>AND(Liste!#REF!,"AAAAAH2muSA=")</f>
        <v>#REF!</v>
      </c>
      <c r="AH12" t="e">
        <f>AND(Liste!#REF!,"AAAAAH2muSE=")</f>
        <v>#REF!</v>
      </c>
      <c r="AI12" t="e">
        <f>AND(Liste!#REF!,"AAAAAH2muSI=")</f>
        <v>#REF!</v>
      </c>
      <c r="AJ12" t="e">
        <f>AND(Liste!#REF!,"AAAAAH2muSM=")</f>
        <v>#REF!</v>
      </c>
      <c r="AK12">
        <f>IF(Liste!86:86,"AAAAAH2muSQ=",0)</f>
        <v>0</v>
      </c>
      <c r="AL12" t="e">
        <f>AND(Liste!A86,"AAAAAH2muSU=")</f>
        <v>#VALUE!</v>
      </c>
      <c r="AM12" t="e">
        <f>AND(Liste!#REF!,"AAAAAH2muSY=")</f>
        <v>#REF!</v>
      </c>
      <c r="AN12" t="e">
        <f>AND(Liste!#REF!,"AAAAAH2muSc=")</f>
        <v>#REF!</v>
      </c>
      <c r="AO12" t="e">
        <f>AND(Liste!#REF!,"AAAAAH2muSg=")</f>
        <v>#REF!</v>
      </c>
      <c r="AP12" t="e">
        <f>AND(Liste!F142,"AAAAAH2muSk=")</f>
        <v>#VALUE!</v>
      </c>
      <c r="AQ12" t="e">
        <f>AND(Liste!G142,"AAAAAH2muSo=")</f>
        <v>#VALUE!</v>
      </c>
      <c r="AR12" t="e">
        <f>AND(Liste!H142,"AAAAAH2muSs=")</f>
        <v>#VALUE!</v>
      </c>
      <c r="AS12" t="e">
        <f>AND(Liste!I142,"AAAAAH2muSw=")</f>
        <v>#VALUE!</v>
      </c>
      <c r="AT12" t="e">
        <f>AND(Liste!J142,"AAAAAH2muS0=")</f>
        <v>#VALUE!</v>
      </c>
      <c r="AU12" t="e">
        <f>AND(Liste!#REF!,"AAAAAH2muS4=")</f>
        <v>#REF!</v>
      </c>
      <c r="AV12" t="e">
        <f>AND(Liste!#REF!,"AAAAAH2muS8=")</f>
        <v>#REF!</v>
      </c>
      <c r="AW12" t="e">
        <f>AND(Liste!#REF!,"AAAAAH2muTA=")</f>
        <v>#REF!</v>
      </c>
      <c r="AX12" t="e">
        <f>AND(Liste!#REF!,"AAAAAH2muTE=")</f>
        <v>#REF!</v>
      </c>
      <c r="AY12" t="e">
        <f>AND(Liste!#REF!,"AAAAAH2muTI=")</f>
        <v>#REF!</v>
      </c>
      <c r="AZ12" t="e">
        <f>AND(Liste!#REF!,"AAAAAH2muTM=")</f>
        <v>#REF!</v>
      </c>
      <c r="BA12" t="e">
        <f>AND(Liste!#REF!,"AAAAAH2muTQ=")</f>
        <v>#REF!</v>
      </c>
      <c r="BB12" t="e">
        <f>AND(Liste!#REF!,"AAAAAH2muTU=")</f>
        <v>#REF!</v>
      </c>
      <c r="BC12" t="e">
        <f>AND(Liste!#REF!,"AAAAAH2muTY=")</f>
        <v>#REF!</v>
      </c>
      <c r="BD12" t="e">
        <f>AND(Liste!#REF!,"AAAAAH2muTc=")</f>
        <v>#REF!</v>
      </c>
      <c r="BE12" t="e">
        <f>AND(Liste!#REF!,"AAAAAH2muTg=")</f>
        <v>#REF!</v>
      </c>
      <c r="BF12" t="e">
        <f>AND(Liste!#REF!,"AAAAAH2muTk=")</f>
        <v>#REF!</v>
      </c>
      <c r="BG12" t="e">
        <f>AND(Liste!#REF!,"AAAAAH2muTo=")</f>
        <v>#REF!</v>
      </c>
      <c r="BH12" t="e">
        <f>AND(Liste!#REF!,"AAAAAH2muTs=")</f>
        <v>#REF!</v>
      </c>
      <c r="BI12" t="e">
        <f>AND(Liste!#REF!,"AAAAAH2muTw=")</f>
        <v>#REF!</v>
      </c>
      <c r="BJ12" t="e">
        <f>AND(Liste!#REF!,"AAAAAH2muT0=")</f>
        <v>#REF!</v>
      </c>
      <c r="BK12" t="e">
        <f>AND(Liste!#REF!,"AAAAAH2muT4=")</f>
        <v>#REF!</v>
      </c>
      <c r="BL12" t="e">
        <f>AND(Liste!#REF!,"AAAAAH2muT8=")</f>
        <v>#REF!</v>
      </c>
      <c r="BM12" t="e">
        <f>AND(Liste!#REF!,"AAAAAH2muUA=")</f>
        <v>#REF!</v>
      </c>
      <c r="BN12" t="e">
        <f>AND(Liste!#REF!,"AAAAAH2muUE=")</f>
        <v>#REF!</v>
      </c>
      <c r="BO12" t="e">
        <f>AND(Liste!#REF!,"AAAAAH2muUI=")</f>
        <v>#REF!</v>
      </c>
      <c r="BP12">
        <f>IF(Liste!87:87,"AAAAAH2muUM=",0)</f>
        <v>0</v>
      </c>
      <c r="BQ12" t="b">
        <f>AND(Liste!A87,"AAAAAH2muUQ=")</f>
        <v>1</v>
      </c>
      <c r="BR12" t="e">
        <f>AND(Liste!#REF!,"AAAAAH2muUU=")</f>
        <v>#REF!</v>
      </c>
      <c r="BS12" t="e">
        <f>AND(Liste!#REF!,"AAAAAH2muUY=")</f>
        <v>#REF!</v>
      </c>
      <c r="BT12" t="e">
        <f>AND(Liste!#REF!,"AAAAAH2muUc=")</f>
        <v>#REF!</v>
      </c>
      <c r="BU12" t="e">
        <f>AND(Liste!F143,"AAAAAH2muUg=")</f>
        <v>#VALUE!</v>
      </c>
      <c r="BV12" t="e">
        <f>AND(Liste!G143,"AAAAAH2muUk=")</f>
        <v>#VALUE!</v>
      </c>
      <c r="BW12" t="e">
        <f>AND(Liste!H143,"AAAAAH2muUo=")</f>
        <v>#VALUE!</v>
      </c>
      <c r="BX12" t="e">
        <f>AND(Liste!I143,"AAAAAH2muUs=")</f>
        <v>#VALUE!</v>
      </c>
      <c r="BY12" t="e">
        <f>AND(Liste!J143,"AAAAAH2muUw=")</f>
        <v>#VALUE!</v>
      </c>
      <c r="BZ12" t="e">
        <f>AND(Liste!#REF!,"AAAAAH2muU0=")</f>
        <v>#REF!</v>
      </c>
      <c r="CA12" t="e">
        <f>AND(Liste!#REF!,"AAAAAH2muU4=")</f>
        <v>#REF!</v>
      </c>
      <c r="CB12" t="e">
        <f>AND(Liste!#REF!,"AAAAAH2muU8=")</f>
        <v>#REF!</v>
      </c>
      <c r="CC12" t="e">
        <f>AND(Liste!#REF!,"AAAAAH2muVA=")</f>
        <v>#REF!</v>
      </c>
      <c r="CD12" t="e">
        <f>AND(Liste!#REF!,"AAAAAH2muVE=")</f>
        <v>#REF!</v>
      </c>
      <c r="CE12" t="e">
        <f>AND(Liste!#REF!,"AAAAAH2muVI=")</f>
        <v>#REF!</v>
      </c>
      <c r="CF12" t="e">
        <f>AND(Liste!#REF!,"AAAAAH2muVM=")</f>
        <v>#REF!</v>
      </c>
      <c r="CG12" t="e">
        <f>AND(Liste!#REF!,"AAAAAH2muVQ=")</f>
        <v>#REF!</v>
      </c>
      <c r="CH12" t="e">
        <f>AND(Liste!#REF!,"AAAAAH2muVU=")</f>
        <v>#REF!</v>
      </c>
      <c r="CI12" t="e">
        <f>AND(Liste!#REF!,"AAAAAH2muVY=")</f>
        <v>#REF!</v>
      </c>
      <c r="CJ12" t="e">
        <f>AND(Liste!#REF!,"AAAAAH2muVc=")</f>
        <v>#REF!</v>
      </c>
      <c r="CK12" t="e">
        <f>AND(Liste!#REF!,"AAAAAH2muVg=")</f>
        <v>#REF!</v>
      </c>
      <c r="CL12" t="e">
        <f>AND(Liste!#REF!,"AAAAAH2muVk=")</f>
        <v>#REF!</v>
      </c>
      <c r="CM12" t="e">
        <f>AND(Liste!#REF!,"AAAAAH2muVo=")</f>
        <v>#REF!</v>
      </c>
      <c r="CN12" t="e">
        <f>AND(Liste!#REF!,"AAAAAH2muVs=")</f>
        <v>#REF!</v>
      </c>
      <c r="CO12" t="e">
        <f>AND(Liste!#REF!,"AAAAAH2muVw=")</f>
        <v>#REF!</v>
      </c>
      <c r="CP12" t="e">
        <f>AND(Liste!#REF!,"AAAAAH2muV0=")</f>
        <v>#REF!</v>
      </c>
      <c r="CQ12" t="e">
        <f>AND(Liste!#REF!,"AAAAAH2muV4=")</f>
        <v>#REF!</v>
      </c>
      <c r="CR12" t="e">
        <f>AND(Liste!#REF!,"AAAAAH2muV8=")</f>
        <v>#REF!</v>
      </c>
      <c r="CS12" t="e">
        <f>AND(Liste!#REF!,"AAAAAH2muWA=")</f>
        <v>#REF!</v>
      </c>
      <c r="CT12" t="e">
        <f>AND(Liste!#REF!,"AAAAAH2muWE=")</f>
        <v>#REF!</v>
      </c>
      <c r="CU12">
        <f>IF(Liste!88:88,"AAAAAH2muWI=",0)</f>
        <v>0</v>
      </c>
      <c r="CV12" t="b">
        <f>AND(Liste!A88,"AAAAAH2muWM=")</f>
        <v>1</v>
      </c>
      <c r="CW12" t="e">
        <f>AND(Liste!#REF!,"AAAAAH2muWQ=")</f>
        <v>#REF!</v>
      </c>
      <c r="CX12" t="e">
        <f>AND(Liste!#REF!,"AAAAAH2muWU=")</f>
        <v>#REF!</v>
      </c>
      <c r="CY12" t="e">
        <f>AND(Liste!#REF!,"AAAAAH2muWY=")</f>
        <v>#REF!</v>
      </c>
      <c r="CZ12" t="e">
        <f>AND(Liste!F144,"AAAAAH2muWc=")</f>
        <v>#VALUE!</v>
      </c>
      <c r="DA12" t="e">
        <f>AND(Liste!G144,"AAAAAH2muWg=")</f>
        <v>#VALUE!</v>
      </c>
      <c r="DB12" t="e">
        <f>AND(Liste!H144,"AAAAAH2muWk=")</f>
        <v>#VALUE!</v>
      </c>
      <c r="DC12" t="e">
        <f>AND(Liste!I144,"AAAAAH2muWo=")</f>
        <v>#VALUE!</v>
      </c>
      <c r="DD12" t="e">
        <f>AND(Liste!J144,"AAAAAH2muWs=")</f>
        <v>#VALUE!</v>
      </c>
      <c r="DE12" t="e">
        <f>AND(Liste!#REF!,"AAAAAH2muWw=")</f>
        <v>#REF!</v>
      </c>
      <c r="DF12" t="e">
        <f>AND(Liste!#REF!,"AAAAAH2muW0=")</f>
        <v>#REF!</v>
      </c>
      <c r="DG12" t="e">
        <f>AND(Liste!#REF!,"AAAAAH2muW4=")</f>
        <v>#REF!</v>
      </c>
      <c r="DH12" t="e">
        <f>AND(Liste!#REF!,"AAAAAH2muW8=")</f>
        <v>#REF!</v>
      </c>
      <c r="DI12" t="e">
        <f>AND(Liste!#REF!,"AAAAAH2muXA=")</f>
        <v>#REF!</v>
      </c>
      <c r="DJ12" t="e">
        <f>AND(Liste!#REF!,"AAAAAH2muXE=")</f>
        <v>#REF!</v>
      </c>
      <c r="DK12" t="e">
        <f>AND(Liste!#REF!,"AAAAAH2muXI=")</f>
        <v>#REF!</v>
      </c>
      <c r="DL12" t="e">
        <f>AND(Liste!#REF!,"AAAAAH2muXM=")</f>
        <v>#REF!</v>
      </c>
      <c r="DM12" t="e">
        <f>AND(Liste!#REF!,"AAAAAH2muXQ=")</f>
        <v>#REF!</v>
      </c>
      <c r="DN12" t="e">
        <f>AND(Liste!#REF!,"AAAAAH2muXU=")</f>
        <v>#REF!</v>
      </c>
      <c r="DO12" t="e">
        <f>AND(Liste!#REF!,"AAAAAH2muXY=")</f>
        <v>#REF!</v>
      </c>
      <c r="DP12" t="e">
        <f>AND(Liste!#REF!,"AAAAAH2muXc=")</f>
        <v>#REF!</v>
      </c>
      <c r="DQ12" t="e">
        <f>AND(Liste!#REF!,"AAAAAH2muXg=")</f>
        <v>#REF!</v>
      </c>
      <c r="DR12" t="e">
        <f>AND(Liste!#REF!,"AAAAAH2muXk=")</f>
        <v>#REF!</v>
      </c>
      <c r="DS12" t="e">
        <f>AND(Liste!#REF!,"AAAAAH2muXo=")</f>
        <v>#REF!</v>
      </c>
      <c r="DT12" t="e">
        <f>AND(Liste!#REF!,"AAAAAH2muXs=")</f>
        <v>#REF!</v>
      </c>
      <c r="DU12" t="e">
        <f>AND(Liste!#REF!,"AAAAAH2muXw=")</f>
        <v>#REF!</v>
      </c>
      <c r="DV12" t="e">
        <f>AND(Liste!#REF!,"AAAAAH2muX0=")</f>
        <v>#REF!</v>
      </c>
      <c r="DW12" t="e">
        <f>AND(Liste!#REF!,"AAAAAH2muX4=")</f>
        <v>#REF!</v>
      </c>
      <c r="DX12" t="e">
        <f>AND(Liste!#REF!,"AAAAAH2muX8=")</f>
        <v>#REF!</v>
      </c>
      <c r="DY12" t="e">
        <f>AND(Liste!#REF!,"AAAAAH2muYA=")</f>
        <v>#REF!</v>
      </c>
      <c r="DZ12">
        <f>IF(Liste!89:89,"AAAAAH2muYE=",0)</f>
        <v>0</v>
      </c>
      <c r="EA12" t="b">
        <f>AND(Liste!A89,"AAAAAH2muYI=")</f>
        <v>1</v>
      </c>
      <c r="EB12" t="e">
        <f>AND(Liste!#REF!,"AAAAAH2muYM=")</f>
        <v>#REF!</v>
      </c>
      <c r="EC12" t="e">
        <f>AND(Liste!#REF!,"AAAAAH2muYQ=")</f>
        <v>#REF!</v>
      </c>
      <c r="ED12" t="e">
        <f>AND(Liste!#REF!,"AAAAAH2muYU=")</f>
        <v>#REF!</v>
      </c>
      <c r="EE12" t="e">
        <f>AND(Liste!F145,"AAAAAH2muYY=")</f>
        <v>#VALUE!</v>
      </c>
      <c r="EF12" t="e">
        <f>AND(Liste!G145,"AAAAAH2muYc=")</f>
        <v>#VALUE!</v>
      </c>
      <c r="EG12" t="e">
        <f>AND(Liste!H145,"AAAAAH2muYg=")</f>
        <v>#VALUE!</v>
      </c>
      <c r="EH12" t="e">
        <f>AND(Liste!I145,"AAAAAH2muYk=")</f>
        <v>#VALUE!</v>
      </c>
      <c r="EI12" t="e">
        <f>AND(Liste!J145,"AAAAAH2muYo=")</f>
        <v>#VALUE!</v>
      </c>
      <c r="EJ12" t="e">
        <f>AND(Liste!#REF!,"AAAAAH2muYs=")</f>
        <v>#REF!</v>
      </c>
      <c r="EK12" t="e">
        <f>AND(Liste!#REF!,"AAAAAH2muYw=")</f>
        <v>#REF!</v>
      </c>
      <c r="EL12" t="e">
        <f>AND(Liste!#REF!,"AAAAAH2muY0=")</f>
        <v>#REF!</v>
      </c>
      <c r="EM12" t="e">
        <f>AND(Liste!#REF!,"AAAAAH2muY4=")</f>
        <v>#REF!</v>
      </c>
      <c r="EN12" t="e">
        <f>AND(Liste!#REF!,"AAAAAH2muY8=")</f>
        <v>#REF!</v>
      </c>
      <c r="EO12" t="e">
        <f>AND(Liste!#REF!,"AAAAAH2muZA=")</f>
        <v>#REF!</v>
      </c>
      <c r="EP12" t="e">
        <f>AND(Liste!#REF!,"AAAAAH2muZE=")</f>
        <v>#REF!</v>
      </c>
      <c r="EQ12" t="e">
        <f>AND(Liste!#REF!,"AAAAAH2muZI=")</f>
        <v>#REF!</v>
      </c>
      <c r="ER12" t="e">
        <f>AND(Liste!#REF!,"AAAAAH2muZM=")</f>
        <v>#REF!</v>
      </c>
      <c r="ES12" t="e">
        <f>AND(Liste!#REF!,"AAAAAH2muZQ=")</f>
        <v>#REF!</v>
      </c>
      <c r="ET12" t="e">
        <f>AND(Liste!#REF!,"AAAAAH2muZU=")</f>
        <v>#REF!</v>
      </c>
      <c r="EU12" t="e">
        <f>AND(Liste!#REF!,"AAAAAH2muZY=")</f>
        <v>#REF!</v>
      </c>
      <c r="EV12" t="e">
        <f>AND(Liste!#REF!,"AAAAAH2muZc=")</f>
        <v>#REF!</v>
      </c>
      <c r="EW12" t="e">
        <f>AND(Liste!#REF!,"AAAAAH2muZg=")</f>
        <v>#REF!</v>
      </c>
      <c r="EX12" t="e">
        <f>AND(Liste!#REF!,"AAAAAH2muZk=")</f>
        <v>#REF!</v>
      </c>
      <c r="EY12" t="e">
        <f>AND(Liste!#REF!,"AAAAAH2muZo=")</f>
        <v>#REF!</v>
      </c>
      <c r="EZ12" t="e">
        <f>AND(Liste!#REF!,"AAAAAH2muZs=")</f>
        <v>#REF!</v>
      </c>
      <c r="FA12" t="e">
        <f>AND(Liste!#REF!,"AAAAAH2muZw=")</f>
        <v>#REF!</v>
      </c>
      <c r="FB12" t="e">
        <f>AND(Liste!#REF!,"AAAAAH2muZ0=")</f>
        <v>#REF!</v>
      </c>
      <c r="FC12" t="e">
        <f>AND(Liste!#REF!,"AAAAAH2muZ4=")</f>
        <v>#REF!</v>
      </c>
      <c r="FD12" t="e">
        <f>AND(Liste!#REF!,"AAAAAH2muZ8=")</f>
        <v>#REF!</v>
      </c>
      <c r="FE12">
        <f>IF(Liste!90:90,"AAAAAH2muaA=",0)</f>
        <v>0</v>
      </c>
      <c r="FF12" t="b">
        <f>AND(Liste!A90,"AAAAAH2muaE=")</f>
        <v>1</v>
      </c>
      <c r="FG12" t="e">
        <f>AND(Liste!#REF!,"AAAAAH2muaI=")</f>
        <v>#REF!</v>
      </c>
      <c r="FH12" t="e">
        <f>AND(Liste!#REF!,"AAAAAH2muaM=")</f>
        <v>#REF!</v>
      </c>
      <c r="FI12" t="e">
        <f>AND(Liste!#REF!,"AAAAAH2muaQ=")</f>
        <v>#REF!</v>
      </c>
      <c r="FJ12" t="e">
        <f>AND(Liste!F146,"AAAAAH2muaU=")</f>
        <v>#VALUE!</v>
      </c>
      <c r="FK12" t="e">
        <f>AND(Liste!G146,"AAAAAH2muaY=")</f>
        <v>#VALUE!</v>
      </c>
      <c r="FL12" t="e">
        <f>AND(Liste!H146,"AAAAAH2muac=")</f>
        <v>#VALUE!</v>
      </c>
      <c r="FM12" t="e">
        <f>AND(Liste!I146,"AAAAAH2muag=")</f>
        <v>#VALUE!</v>
      </c>
      <c r="FN12" t="e">
        <f>AND(Liste!J146,"AAAAAH2muak=")</f>
        <v>#VALUE!</v>
      </c>
      <c r="FO12" t="e">
        <f>AND(Liste!#REF!,"AAAAAH2muao=")</f>
        <v>#REF!</v>
      </c>
      <c r="FP12" t="e">
        <f>AND(Liste!#REF!,"AAAAAH2muas=")</f>
        <v>#REF!</v>
      </c>
      <c r="FQ12" t="e">
        <f>AND(Liste!#REF!,"AAAAAH2muaw=")</f>
        <v>#REF!</v>
      </c>
      <c r="FR12" t="e">
        <f>AND(Liste!#REF!,"AAAAAH2mua0=")</f>
        <v>#REF!</v>
      </c>
      <c r="FS12" t="e">
        <f>AND(Liste!#REF!,"AAAAAH2mua4=")</f>
        <v>#REF!</v>
      </c>
      <c r="FT12" t="e">
        <f>AND(Liste!#REF!,"AAAAAH2mua8=")</f>
        <v>#REF!</v>
      </c>
      <c r="FU12" t="e">
        <f>AND(Liste!#REF!,"AAAAAH2mubA=")</f>
        <v>#REF!</v>
      </c>
      <c r="FV12" t="e">
        <f>AND(Liste!#REF!,"AAAAAH2mubE=")</f>
        <v>#REF!</v>
      </c>
      <c r="FW12" t="e">
        <f>AND(Liste!#REF!,"AAAAAH2mubI=")</f>
        <v>#REF!</v>
      </c>
      <c r="FX12" t="e">
        <f>AND(Liste!#REF!,"AAAAAH2mubM=")</f>
        <v>#REF!</v>
      </c>
      <c r="FY12" t="e">
        <f>AND(Liste!#REF!,"AAAAAH2mubQ=")</f>
        <v>#REF!</v>
      </c>
      <c r="FZ12" t="e">
        <f>AND(Liste!#REF!,"AAAAAH2mubU=")</f>
        <v>#REF!</v>
      </c>
      <c r="GA12" t="e">
        <f>AND(Liste!#REF!,"AAAAAH2mubY=")</f>
        <v>#REF!</v>
      </c>
      <c r="GB12" t="e">
        <f>AND(Liste!#REF!,"AAAAAH2mubc=")</f>
        <v>#REF!</v>
      </c>
      <c r="GC12" t="e">
        <f>AND(Liste!#REF!,"AAAAAH2mubg=")</f>
        <v>#REF!</v>
      </c>
      <c r="GD12" t="e">
        <f>AND(Liste!#REF!,"AAAAAH2mubk=")</f>
        <v>#REF!</v>
      </c>
      <c r="GE12" t="e">
        <f>AND(Liste!#REF!,"AAAAAH2mubo=")</f>
        <v>#REF!</v>
      </c>
      <c r="GF12" t="e">
        <f>AND(Liste!#REF!,"AAAAAH2mubs=")</f>
        <v>#REF!</v>
      </c>
      <c r="GG12" t="e">
        <f>AND(Liste!#REF!,"AAAAAH2mubw=")</f>
        <v>#REF!</v>
      </c>
      <c r="GH12" t="e">
        <f>AND(Liste!#REF!,"AAAAAH2mub0=")</f>
        <v>#REF!</v>
      </c>
      <c r="GI12" t="e">
        <f>AND(Liste!#REF!,"AAAAAH2mub4=")</f>
        <v>#REF!</v>
      </c>
      <c r="GJ12">
        <f>IF(Liste!91:91,"AAAAAH2mub8=",0)</f>
        <v>0</v>
      </c>
      <c r="GK12" t="b">
        <f>AND(Liste!A91,"AAAAAH2mucA=")</f>
        <v>1</v>
      </c>
      <c r="GL12" t="e">
        <f>AND(Liste!#REF!,"AAAAAH2mucE=")</f>
        <v>#REF!</v>
      </c>
      <c r="GM12" t="e">
        <f>AND(Liste!#REF!,"AAAAAH2mucI=")</f>
        <v>#REF!</v>
      </c>
      <c r="GN12" t="e">
        <f>AND(Liste!#REF!,"AAAAAH2mucM=")</f>
        <v>#REF!</v>
      </c>
      <c r="GO12" t="e">
        <f>AND(Liste!F147,"AAAAAH2mucQ=")</f>
        <v>#VALUE!</v>
      </c>
      <c r="GP12" t="e">
        <f>AND(Liste!G147,"AAAAAH2mucU=")</f>
        <v>#VALUE!</v>
      </c>
      <c r="GQ12" t="e">
        <f>AND(Liste!H147,"AAAAAH2mucY=")</f>
        <v>#VALUE!</v>
      </c>
      <c r="GR12" t="e">
        <f>AND(Liste!I147,"AAAAAH2mucc=")</f>
        <v>#VALUE!</v>
      </c>
      <c r="GS12" t="e">
        <f>AND(Liste!J147,"AAAAAH2mucg=")</f>
        <v>#VALUE!</v>
      </c>
      <c r="GT12" t="e">
        <f>AND(Liste!#REF!,"AAAAAH2muck=")</f>
        <v>#REF!</v>
      </c>
      <c r="GU12" t="e">
        <f>AND(Liste!#REF!,"AAAAAH2muco=")</f>
        <v>#REF!</v>
      </c>
      <c r="GV12" t="e">
        <f>AND(Liste!#REF!,"AAAAAH2mucs=")</f>
        <v>#REF!</v>
      </c>
      <c r="GW12" t="e">
        <f>AND(Liste!#REF!,"AAAAAH2mucw=")</f>
        <v>#REF!</v>
      </c>
      <c r="GX12" t="e">
        <f>AND(Liste!#REF!,"AAAAAH2muc0=")</f>
        <v>#REF!</v>
      </c>
      <c r="GY12" t="e">
        <f>AND(Liste!#REF!,"AAAAAH2muc4=")</f>
        <v>#REF!</v>
      </c>
      <c r="GZ12" t="e">
        <f>AND(Liste!#REF!,"AAAAAH2muc8=")</f>
        <v>#REF!</v>
      </c>
      <c r="HA12" t="e">
        <f>AND(Liste!#REF!,"AAAAAH2mudA=")</f>
        <v>#REF!</v>
      </c>
      <c r="HB12" t="e">
        <f>AND(Liste!#REF!,"AAAAAH2mudE=")</f>
        <v>#REF!</v>
      </c>
      <c r="HC12" t="e">
        <f>AND(Liste!#REF!,"AAAAAH2mudI=")</f>
        <v>#REF!</v>
      </c>
      <c r="HD12" t="e">
        <f>AND(Liste!#REF!,"AAAAAH2mudM=")</f>
        <v>#REF!</v>
      </c>
      <c r="HE12" t="e">
        <f>AND(Liste!#REF!,"AAAAAH2mudQ=")</f>
        <v>#REF!</v>
      </c>
      <c r="HF12" t="e">
        <f>AND(Liste!#REF!,"AAAAAH2mudU=")</f>
        <v>#REF!</v>
      </c>
      <c r="HG12" t="e">
        <f>AND(Liste!#REF!,"AAAAAH2mudY=")</f>
        <v>#REF!</v>
      </c>
      <c r="HH12" t="e">
        <f>AND(Liste!#REF!,"AAAAAH2mudc=")</f>
        <v>#REF!</v>
      </c>
      <c r="HI12" t="e">
        <f>AND(Liste!#REF!,"AAAAAH2mudg=")</f>
        <v>#REF!</v>
      </c>
      <c r="HJ12" t="e">
        <f>AND(Liste!#REF!,"AAAAAH2mudk=")</f>
        <v>#REF!</v>
      </c>
      <c r="HK12" t="e">
        <f>AND(Liste!#REF!,"AAAAAH2mudo=")</f>
        <v>#REF!</v>
      </c>
      <c r="HL12" t="e">
        <f>AND(Liste!#REF!,"AAAAAH2muds=")</f>
        <v>#REF!</v>
      </c>
      <c r="HM12" t="e">
        <f>AND(Liste!#REF!,"AAAAAH2mudw=")</f>
        <v>#REF!</v>
      </c>
      <c r="HN12" t="e">
        <f>AND(Liste!#REF!,"AAAAAH2mud0=")</f>
        <v>#REF!</v>
      </c>
      <c r="HO12">
        <f>IF(Liste!92:92,"AAAAAH2mud4=",0)</f>
        <v>0</v>
      </c>
      <c r="HP12" t="b">
        <f>AND(Liste!A92,"AAAAAH2mud8=")</f>
        <v>1</v>
      </c>
      <c r="HQ12" t="e">
        <f>AND(Liste!#REF!,"AAAAAH2mueA=")</f>
        <v>#REF!</v>
      </c>
      <c r="HR12" t="e">
        <f>AND(Liste!#REF!,"AAAAAH2mueE=")</f>
        <v>#REF!</v>
      </c>
      <c r="HS12" t="e">
        <f>AND(Liste!#REF!,"AAAAAH2mueI=")</f>
        <v>#REF!</v>
      </c>
      <c r="HT12" t="e">
        <f>AND(Liste!F159,"AAAAAH2mueM=")</f>
        <v>#VALUE!</v>
      </c>
      <c r="HU12" t="e">
        <f>AND(Liste!G159,"AAAAAH2mueQ=")</f>
        <v>#VALUE!</v>
      </c>
      <c r="HV12" t="e">
        <f>AND(Liste!H159,"AAAAAH2mueU=")</f>
        <v>#VALUE!</v>
      </c>
      <c r="HW12" t="e">
        <f>AND(Liste!I159,"AAAAAH2mueY=")</f>
        <v>#VALUE!</v>
      </c>
      <c r="HX12" t="e">
        <f>AND(Liste!J159,"AAAAAH2muec=")</f>
        <v>#VALUE!</v>
      </c>
      <c r="HY12" t="e">
        <f>AND(Liste!#REF!,"AAAAAH2mueg=")</f>
        <v>#REF!</v>
      </c>
      <c r="HZ12" t="e">
        <f>AND(Liste!#REF!,"AAAAAH2muek=")</f>
        <v>#REF!</v>
      </c>
      <c r="IA12" t="e">
        <f>AND(Liste!#REF!,"AAAAAH2mueo=")</f>
        <v>#REF!</v>
      </c>
      <c r="IB12" t="e">
        <f>AND(Liste!#REF!,"AAAAAH2mues=")</f>
        <v>#REF!</v>
      </c>
      <c r="IC12" t="e">
        <f>AND(Liste!#REF!,"AAAAAH2muew=")</f>
        <v>#REF!</v>
      </c>
      <c r="ID12" t="e">
        <f>AND(Liste!#REF!,"AAAAAH2mue0=")</f>
        <v>#REF!</v>
      </c>
      <c r="IE12" t="e">
        <f>AND(Liste!#REF!,"AAAAAH2mue4=")</f>
        <v>#REF!</v>
      </c>
      <c r="IF12" t="e">
        <f>AND(Liste!#REF!,"AAAAAH2mue8=")</f>
        <v>#REF!</v>
      </c>
      <c r="IG12" t="e">
        <f>AND(Liste!#REF!,"AAAAAH2mufA=")</f>
        <v>#REF!</v>
      </c>
      <c r="IH12" t="e">
        <f>AND(Liste!#REF!,"AAAAAH2mufE=")</f>
        <v>#REF!</v>
      </c>
      <c r="II12" t="e">
        <f>AND(Liste!#REF!,"AAAAAH2mufI=")</f>
        <v>#REF!</v>
      </c>
      <c r="IJ12" t="e">
        <f>AND(Liste!#REF!,"AAAAAH2mufM=")</f>
        <v>#REF!</v>
      </c>
      <c r="IK12" t="e">
        <f>AND(Liste!#REF!,"AAAAAH2mufQ=")</f>
        <v>#REF!</v>
      </c>
      <c r="IL12" t="e">
        <f>AND(Liste!#REF!,"AAAAAH2mufU=")</f>
        <v>#REF!</v>
      </c>
      <c r="IM12" t="e">
        <f>AND(Liste!#REF!,"AAAAAH2mufY=")</f>
        <v>#REF!</v>
      </c>
      <c r="IN12" t="e">
        <f>AND(Liste!#REF!,"AAAAAH2mufc=")</f>
        <v>#REF!</v>
      </c>
      <c r="IO12" t="e">
        <f>AND(Liste!#REF!,"AAAAAH2mufg=")</f>
        <v>#REF!</v>
      </c>
      <c r="IP12" t="e">
        <f>AND(Liste!#REF!,"AAAAAH2mufk=")</f>
        <v>#REF!</v>
      </c>
      <c r="IQ12" t="e">
        <f>AND(Liste!#REF!,"AAAAAH2mufo=")</f>
        <v>#REF!</v>
      </c>
      <c r="IR12" t="e">
        <f>AND(Liste!#REF!,"AAAAAH2mufs=")</f>
        <v>#REF!</v>
      </c>
      <c r="IS12" t="e">
        <f>AND(Liste!#REF!,"AAAAAH2mufw=")</f>
        <v>#REF!</v>
      </c>
      <c r="IT12">
        <f>IF(Liste!103:103,"AAAAAH2muf0=",0)</f>
        <v>0</v>
      </c>
      <c r="IU12" t="b">
        <f>AND(Liste!A103,"AAAAAH2muf4=")</f>
        <v>1</v>
      </c>
      <c r="IV12" t="e">
        <f>AND(Liste!#REF!,"AAAAAH2muf8=")</f>
        <v>#REF!</v>
      </c>
    </row>
    <row r="13" spans="1:256" x14ac:dyDescent="0.2">
      <c r="A13" t="e">
        <f>AND(Liste!#REF!,"AAAAAFe8vQA=")</f>
        <v>#REF!</v>
      </c>
      <c r="B13" t="e">
        <f>AND(Liste!#REF!,"AAAAAFe8vQE=")</f>
        <v>#REF!</v>
      </c>
      <c r="C13" t="e">
        <f>AND(Liste!F160,"AAAAAFe8vQI=")</f>
        <v>#VALUE!</v>
      </c>
      <c r="D13" t="e">
        <f>AND(Liste!G160,"AAAAAFe8vQM=")</f>
        <v>#VALUE!</v>
      </c>
      <c r="E13" t="e">
        <f>AND(Liste!H160,"AAAAAFe8vQQ=")</f>
        <v>#VALUE!</v>
      </c>
      <c r="F13" t="e">
        <f>AND(Liste!I160,"AAAAAFe8vQU=")</f>
        <v>#VALUE!</v>
      </c>
      <c r="G13" t="e">
        <f>AND(Liste!J160,"AAAAAFe8vQY=")</f>
        <v>#VALUE!</v>
      </c>
      <c r="H13" t="e">
        <f>AND(Liste!#REF!,"AAAAAFe8vQc=")</f>
        <v>#REF!</v>
      </c>
      <c r="I13" t="e">
        <f>AND(Liste!#REF!,"AAAAAFe8vQg=")</f>
        <v>#REF!</v>
      </c>
      <c r="J13" t="e">
        <f>AND(Liste!#REF!,"AAAAAFe8vQk=")</f>
        <v>#REF!</v>
      </c>
      <c r="K13" t="e">
        <f>AND(Liste!#REF!,"AAAAAFe8vQo=")</f>
        <v>#REF!</v>
      </c>
      <c r="L13" t="e">
        <f>AND(Liste!#REF!,"AAAAAFe8vQs=")</f>
        <v>#REF!</v>
      </c>
      <c r="M13" t="e">
        <f>AND(Liste!#REF!,"AAAAAFe8vQw=")</f>
        <v>#REF!</v>
      </c>
      <c r="N13" t="e">
        <f>AND(Liste!#REF!,"AAAAAFe8vQ0=")</f>
        <v>#REF!</v>
      </c>
      <c r="O13" t="e">
        <f>AND(Liste!#REF!,"AAAAAFe8vQ4=")</f>
        <v>#REF!</v>
      </c>
      <c r="P13" t="e">
        <f>AND(Liste!#REF!,"AAAAAFe8vQ8=")</f>
        <v>#REF!</v>
      </c>
      <c r="Q13" t="e">
        <f>AND(Liste!#REF!,"AAAAAFe8vRA=")</f>
        <v>#REF!</v>
      </c>
      <c r="R13" t="e">
        <f>AND(Liste!#REF!,"AAAAAFe8vRE=")</f>
        <v>#REF!</v>
      </c>
      <c r="S13" t="e">
        <f>AND(Liste!#REF!,"AAAAAFe8vRI=")</f>
        <v>#REF!</v>
      </c>
      <c r="T13" t="e">
        <f>AND(Liste!#REF!,"AAAAAFe8vRM=")</f>
        <v>#REF!</v>
      </c>
      <c r="U13" t="e">
        <f>AND(Liste!#REF!,"AAAAAFe8vRQ=")</f>
        <v>#REF!</v>
      </c>
      <c r="V13" t="e">
        <f>AND(Liste!#REF!,"AAAAAFe8vRU=")</f>
        <v>#REF!</v>
      </c>
      <c r="W13" t="e">
        <f>AND(Liste!#REF!,"AAAAAFe8vRY=")</f>
        <v>#REF!</v>
      </c>
      <c r="X13" t="e">
        <f>AND(Liste!#REF!,"AAAAAFe8vRc=")</f>
        <v>#REF!</v>
      </c>
      <c r="Y13" t="e">
        <f>AND(Liste!#REF!,"AAAAAFe8vRg=")</f>
        <v>#REF!</v>
      </c>
      <c r="Z13" t="e">
        <f>AND(Liste!#REF!,"AAAAAFe8vRk=")</f>
        <v>#REF!</v>
      </c>
      <c r="AA13" t="e">
        <f>AND(Liste!#REF!,"AAAAAFe8vRo=")</f>
        <v>#REF!</v>
      </c>
      <c r="AB13" t="e">
        <f>AND(Liste!#REF!,"AAAAAFe8vRs=")</f>
        <v>#REF!</v>
      </c>
      <c r="AC13">
        <f>IF(Liste!104:104,"AAAAAFe8vRw=",0)</f>
        <v>0</v>
      </c>
      <c r="AD13" t="b">
        <f>AND(Liste!A104,"AAAAAFe8vR0=")</f>
        <v>1</v>
      </c>
      <c r="AE13" t="e">
        <f>AND(Liste!#REF!,"AAAAAFe8vR4=")</f>
        <v>#REF!</v>
      </c>
      <c r="AF13" t="e">
        <f>AND(Liste!#REF!,"AAAAAFe8vR8=")</f>
        <v>#REF!</v>
      </c>
      <c r="AG13" t="e">
        <f>AND(Liste!#REF!,"AAAAAFe8vSA=")</f>
        <v>#REF!</v>
      </c>
      <c r="AH13" t="e">
        <f>AND(Liste!F161,"AAAAAFe8vSE=")</f>
        <v>#VALUE!</v>
      </c>
      <c r="AI13" t="e">
        <f>AND(Liste!G161,"AAAAAFe8vSI=")</f>
        <v>#VALUE!</v>
      </c>
      <c r="AJ13" t="e">
        <f>AND(Liste!H161,"AAAAAFe8vSM=")</f>
        <v>#VALUE!</v>
      </c>
      <c r="AK13" t="e">
        <f>AND(Liste!I161,"AAAAAFe8vSQ=")</f>
        <v>#VALUE!</v>
      </c>
      <c r="AL13" t="e">
        <f>AND(Liste!J161,"AAAAAFe8vSU=")</f>
        <v>#VALUE!</v>
      </c>
      <c r="AM13" t="e">
        <f>AND(Liste!#REF!,"AAAAAFe8vSY=")</f>
        <v>#REF!</v>
      </c>
      <c r="AN13" t="e">
        <f>AND(Liste!#REF!,"AAAAAFe8vSc=")</f>
        <v>#REF!</v>
      </c>
      <c r="AO13" t="e">
        <f>AND(Liste!#REF!,"AAAAAFe8vSg=")</f>
        <v>#REF!</v>
      </c>
      <c r="AP13" t="e">
        <f>AND(Liste!#REF!,"AAAAAFe8vSk=")</f>
        <v>#REF!</v>
      </c>
      <c r="AQ13" t="e">
        <f>AND(Liste!#REF!,"AAAAAFe8vSo=")</f>
        <v>#REF!</v>
      </c>
      <c r="AR13" t="e">
        <f>AND(Liste!#REF!,"AAAAAFe8vSs=")</f>
        <v>#REF!</v>
      </c>
      <c r="AS13" t="e">
        <f>AND(Liste!#REF!,"AAAAAFe8vSw=")</f>
        <v>#REF!</v>
      </c>
      <c r="AT13" t="e">
        <f>AND(Liste!#REF!,"AAAAAFe8vS0=")</f>
        <v>#REF!</v>
      </c>
      <c r="AU13" t="e">
        <f>AND(Liste!#REF!,"AAAAAFe8vS4=")</f>
        <v>#REF!</v>
      </c>
      <c r="AV13" t="e">
        <f>AND(Liste!#REF!,"AAAAAFe8vS8=")</f>
        <v>#REF!</v>
      </c>
      <c r="AW13" t="e">
        <f>AND(Liste!#REF!,"AAAAAFe8vTA=")</f>
        <v>#REF!</v>
      </c>
      <c r="AX13" t="e">
        <f>AND(Liste!#REF!,"AAAAAFe8vTE=")</f>
        <v>#REF!</v>
      </c>
      <c r="AY13" t="e">
        <f>AND(Liste!#REF!,"AAAAAFe8vTI=")</f>
        <v>#REF!</v>
      </c>
      <c r="AZ13" t="e">
        <f>AND(Liste!#REF!,"AAAAAFe8vTM=")</f>
        <v>#REF!</v>
      </c>
      <c r="BA13" t="e">
        <f>AND(Liste!#REF!,"AAAAAFe8vTQ=")</f>
        <v>#REF!</v>
      </c>
      <c r="BB13" t="e">
        <f>AND(Liste!#REF!,"AAAAAFe8vTU=")</f>
        <v>#REF!</v>
      </c>
      <c r="BC13" t="e">
        <f>AND(Liste!#REF!,"AAAAAFe8vTY=")</f>
        <v>#REF!</v>
      </c>
      <c r="BD13" t="e">
        <f>AND(Liste!#REF!,"AAAAAFe8vTc=")</f>
        <v>#REF!</v>
      </c>
      <c r="BE13" t="e">
        <f>AND(Liste!#REF!,"AAAAAFe8vTg=")</f>
        <v>#REF!</v>
      </c>
      <c r="BF13" t="e">
        <f>AND(Liste!#REF!,"AAAAAFe8vTk=")</f>
        <v>#REF!</v>
      </c>
      <c r="BG13" t="e">
        <f>AND(Liste!#REF!,"AAAAAFe8vTo=")</f>
        <v>#REF!</v>
      </c>
      <c r="BH13">
        <f>IF(Liste!105:105,"AAAAAFe8vTs=",0)</f>
        <v>0</v>
      </c>
      <c r="BI13" t="b">
        <f>AND(Liste!A105,"AAAAAFe8vTw=")</f>
        <v>1</v>
      </c>
      <c r="BJ13" t="e">
        <f>AND(Liste!#REF!,"AAAAAFe8vT0=")</f>
        <v>#REF!</v>
      </c>
      <c r="BK13" t="e">
        <f>AND(Liste!#REF!,"AAAAAFe8vT4=")</f>
        <v>#REF!</v>
      </c>
      <c r="BL13" t="e">
        <f>AND(Liste!#REF!,"AAAAAFe8vT8=")</f>
        <v>#REF!</v>
      </c>
      <c r="BM13" t="e">
        <f>AND(Liste!F162,"AAAAAFe8vUA=")</f>
        <v>#VALUE!</v>
      </c>
      <c r="BN13" t="e">
        <f>AND(Liste!G162,"AAAAAFe8vUE=")</f>
        <v>#VALUE!</v>
      </c>
      <c r="BO13" t="e">
        <f>AND(Liste!H162,"AAAAAFe8vUI=")</f>
        <v>#VALUE!</v>
      </c>
      <c r="BP13" t="e">
        <f>AND(Liste!I162,"AAAAAFe8vUM=")</f>
        <v>#VALUE!</v>
      </c>
      <c r="BQ13" t="e">
        <f>AND(Liste!J162,"AAAAAFe8vUQ=")</f>
        <v>#VALUE!</v>
      </c>
      <c r="BR13" t="e">
        <f>AND(Liste!#REF!,"AAAAAFe8vUU=")</f>
        <v>#REF!</v>
      </c>
      <c r="BS13" t="e">
        <f>AND(Liste!#REF!,"AAAAAFe8vUY=")</f>
        <v>#REF!</v>
      </c>
      <c r="BT13" t="e">
        <f>AND(Liste!#REF!,"AAAAAFe8vUc=")</f>
        <v>#REF!</v>
      </c>
      <c r="BU13" t="e">
        <f>AND(Liste!#REF!,"AAAAAFe8vUg=")</f>
        <v>#REF!</v>
      </c>
      <c r="BV13" t="e">
        <f>AND(Liste!#REF!,"AAAAAFe8vUk=")</f>
        <v>#REF!</v>
      </c>
      <c r="BW13" t="e">
        <f>AND(Liste!#REF!,"AAAAAFe8vUo=")</f>
        <v>#REF!</v>
      </c>
      <c r="BX13" t="e">
        <f>AND(Liste!#REF!,"AAAAAFe8vUs=")</f>
        <v>#REF!</v>
      </c>
      <c r="BY13" t="e">
        <f>AND(Liste!#REF!,"AAAAAFe8vUw=")</f>
        <v>#REF!</v>
      </c>
      <c r="BZ13" t="e">
        <f>AND(Liste!#REF!,"AAAAAFe8vU0=")</f>
        <v>#REF!</v>
      </c>
      <c r="CA13" t="e">
        <f>AND(Liste!#REF!,"AAAAAFe8vU4=")</f>
        <v>#REF!</v>
      </c>
      <c r="CB13" t="e">
        <f>AND(Liste!#REF!,"AAAAAFe8vU8=")</f>
        <v>#REF!</v>
      </c>
      <c r="CC13" t="e">
        <f>AND(Liste!#REF!,"AAAAAFe8vVA=")</f>
        <v>#REF!</v>
      </c>
      <c r="CD13" t="e">
        <f>AND(Liste!#REF!,"AAAAAFe8vVE=")</f>
        <v>#REF!</v>
      </c>
      <c r="CE13" t="e">
        <f>AND(Liste!#REF!,"AAAAAFe8vVI=")</f>
        <v>#REF!</v>
      </c>
      <c r="CF13" t="e">
        <f>AND(Liste!#REF!,"AAAAAFe8vVM=")</f>
        <v>#REF!</v>
      </c>
      <c r="CG13" t="e">
        <f>AND(Liste!#REF!,"AAAAAFe8vVQ=")</f>
        <v>#REF!</v>
      </c>
      <c r="CH13" t="e">
        <f>AND(Liste!#REF!,"AAAAAFe8vVU=")</f>
        <v>#REF!</v>
      </c>
      <c r="CI13" t="e">
        <f>AND(Liste!#REF!,"AAAAAFe8vVY=")</f>
        <v>#REF!</v>
      </c>
      <c r="CJ13" t="e">
        <f>AND(Liste!#REF!,"AAAAAFe8vVc=")</f>
        <v>#REF!</v>
      </c>
      <c r="CK13" t="e">
        <f>AND(Liste!#REF!,"AAAAAFe8vVg=")</f>
        <v>#REF!</v>
      </c>
      <c r="CL13" t="e">
        <f>AND(Liste!#REF!,"AAAAAFe8vVk=")</f>
        <v>#REF!</v>
      </c>
      <c r="CM13">
        <f>IF(Liste!109:109,"AAAAAFe8vVo=",0)</f>
        <v>0</v>
      </c>
      <c r="CN13" t="b">
        <f>AND(Liste!A109,"AAAAAFe8vVs=")</f>
        <v>1</v>
      </c>
      <c r="CO13" t="e">
        <f>AND(Liste!#REF!,"AAAAAFe8vVw=")</f>
        <v>#REF!</v>
      </c>
      <c r="CP13" t="e">
        <f>AND(Liste!#REF!,"AAAAAFe8vV0=")</f>
        <v>#REF!</v>
      </c>
      <c r="CQ13" t="e">
        <f>AND(Liste!#REF!,"AAAAAFe8vV4=")</f>
        <v>#REF!</v>
      </c>
      <c r="CR13" t="e">
        <f>AND(Liste!F163,"AAAAAFe8vV8=")</f>
        <v>#VALUE!</v>
      </c>
      <c r="CS13" t="e">
        <f>AND(Liste!G163,"AAAAAFe8vWA=")</f>
        <v>#VALUE!</v>
      </c>
      <c r="CT13" t="e">
        <f>AND(Liste!H163,"AAAAAFe8vWE=")</f>
        <v>#VALUE!</v>
      </c>
      <c r="CU13" t="e">
        <f>AND(Liste!I163,"AAAAAFe8vWI=")</f>
        <v>#VALUE!</v>
      </c>
      <c r="CV13" t="e">
        <f>AND(Liste!J163,"AAAAAFe8vWM=")</f>
        <v>#VALUE!</v>
      </c>
      <c r="CW13" t="e">
        <f>AND(Liste!#REF!,"AAAAAFe8vWQ=")</f>
        <v>#REF!</v>
      </c>
      <c r="CX13" t="e">
        <f>AND(Liste!#REF!,"AAAAAFe8vWU=")</f>
        <v>#REF!</v>
      </c>
      <c r="CY13" t="e">
        <f>AND(Liste!#REF!,"AAAAAFe8vWY=")</f>
        <v>#REF!</v>
      </c>
      <c r="CZ13" t="e">
        <f>AND(Liste!#REF!,"AAAAAFe8vWc=")</f>
        <v>#REF!</v>
      </c>
      <c r="DA13" t="e">
        <f>AND(Liste!#REF!,"AAAAAFe8vWg=")</f>
        <v>#REF!</v>
      </c>
      <c r="DB13" t="e">
        <f>AND(Liste!#REF!,"AAAAAFe8vWk=")</f>
        <v>#REF!</v>
      </c>
      <c r="DC13" t="e">
        <f>AND(Liste!#REF!,"AAAAAFe8vWo=")</f>
        <v>#REF!</v>
      </c>
      <c r="DD13" t="e">
        <f>AND(Liste!#REF!,"AAAAAFe8vWs=")</f>
        <v>#REF!</v>
      </c>
      <c r="DE13" t="e">
        <f>AND(Liste!#REF!,"AAAAAFe8vWw=")</f>
        <v>#REF!</v>
      </c>
      <c r="DF13" t="e">
        <f>AND(Liste!#REF!,"AAAAAFe8vW0=")</f>
        <v>#REF!</v>
      </c>
      <c r="DG13" t="e">
        <f>AND(Liste!#REF!,"AAAAAFe8vW4=")</f>
        <v>#REF!</v>
      </c>
      <c r="DH13" t="e">
        <f>AND(Liste!#REF!,"AAAAAFe8vW8=")</f>
        <v>#REF!</v>
      </c>
      <c r="DI13" t="e">
        <f>AND(Liste!#REF!,"AAAAAFe8vXA=")</f>
        <v>#REF!</v>
      </c>
      <c r="DJ13" t="e">
        <f>AND(Liste!#REF!,"AAAAAFe8vXE=")</f>
        <v>#REF!</v>
      </c>
      <c r="DK13" t="e">
        <f>AND(Liste!#REF!,"AAAAAFe8vXI=")</f>
        <v>#REF!</v>
      </c>
      <c r="DL13" t="e">
        <f>AND(Liste!#REF!,"AAAAAFe8vXM=")</f>
        <v>#REF!</v>
      </c>
      <c r="DM13" t="e">
        <f>AND(Liste!#REF!,"AAAAAFe8vXQ=")</f>
        <v>#REF!</v>
      </c>
      <c r="DN13" t="e">
        <f>AND(Liste!#REF!,"AAAAAFe8vXU=")</f>
        <v>#REF!</v>
      </c>
      <c r="DO13" t="e">
        <f>AND(Liste!#REF!,"AAAAAFe8vXY=")</f>
        <v>#REF!</v>
      </c>
      <c r="DP13" t="e">
        <f>AND(Liste!#REF!,"AAAAAFe8vXc=")</f>
        <v>#REF!</v>
      </c>
      <c r="DQ13" t="e">
        <f>AND(Liste!#REF!,"AAAAAFe8vXg=")</f>
        <v>#REF!</v>
      </c>
      <c r="DR13">
        <f>IF(Liste!110:110,"AAAAAFe8vXk=",0)</f>
        <v>0</v>
      </c>
      <c r="DS13" t="b">
        <f>AND(Liste!A110,"AAAAAFe8vXo=")</f>
        <v>1</v>
      </c>
      <c r="DT13" t="e">
        <f>AND(Liste!#REF!,"AAAAAFe8vXs=")</f>
        <v>#REF!</v>
      </c>
      <c r="DU13" t="e">
        <f>AND(Liste!#REF!,"AAAAAFe8vXw=")</f>
        <v>#REF!</v>
      </c>
      <c r="DV13" t="e">
        <f>AND(Liste!#REF!,"AAAAAFe8vX0=")</f>
        <v>#REF!</v>
      </c>
      <c r="DW13" t="e">
        <f>AND(Liste!F164,"AAAAAFe8vX4=")</f>
        <v>#VALUE!</v>
      </c>
      <c r="DX13" t="e">
        <f>AND(Liste!G164,"AAAAAFe8vX8=")</f>
        <v>#VALUE!</v>
      </c>
      <c r="DY13" t="e">
        <f>AND(Liste!H164,"AAAAAFe8vYA=")</f>
        <v>#VALUE!</v>
      </c>
      <c r="DZ13" t="e">
        <f>AND(Liste!I164,"AAAAAFe8vYE=")</f>
        <v>#VALUE!</v>
      </c>
      <c r="EA13" t="e">
        <f>AND(Liste!J164,"AAAAAFe8vYI=")</f>
        <v>#VALUE!</v>
      </c>
      <c r="EB13" t="e">
        <f>AND(Liste!#REF!,"AAAAAFe8vYM=")</f>
        <v>#REF!</v>
      </c>
      <c r="EC13" t="e">
        <f>AND(Liste!#REF!,"AAAAAFe8vYQ=")</f>
        <v>#REF!</v>
      </c>
      <c r="ED13" t="e">
        <f>AND(Liste!#REF!,"AAAAAFe8vYU=")</f>
        <v>#REF!</v>
      </c>
      <c r="EE13" t="e">
        <f>AND(Liste!#REF!,"AAAAAFe8vYY=")</f>
        <v>#REF!</v>
      </c>
      <c r="EF13" t="e">
        <f>AND(Liste!#REF!,"AAAAAFe8vYc=")</f>
        <v>#REF!</v>
      </c>
      <c r="EG13" t="e">
        <f>AND(Liste!#REF!,"AAAAAFe8vYg=")</f>
        <v>#REF!</v>
      </c>
      <c r="EH13" t="e">
        <f>AND(Liste!#REF!,"AAAAAFe8vYk=")</f>
        <v>#REF!</v>
      </c>
      <c r="EI13" t="e">
        <f>AND(Liste!#REF!,"AAAAAFe8vYo=")</f>
        <v>#REF!</v>
      </c>
      <c r="EJ13" t="e">
        <f>AND(Liste!#REF!,"AAAAAFe8vYs=")</f>
        <v>#REF!</v>
      </c>
      <c r="EK13" t="e">
        <f>AND(Liste!#REF!,"AAAAAFe8vYw=")</f>
        <v>#REF!</v>
      </c>
      <c r="EL13" t="e">
        <f>AND(Liste!#REF!,"AAAAAFe8vY0=")</f>
        <v>#REF!</v>
      </c>
      <c r="EM13" t="e">
        <f>AND(Liste!#REF!,"AAAAAFe8vY4=")</f>
        <v>#REF!</v>
      </c>
      <c r="EN13" t="e">
        <f>AND(Liste!#REF!,"AAAAAFe8vY8=")</f>
        <v>#REF!</v>
      </c>
      <c r="EO13" t="e">
        <f>AND(Liste!#REF!,"AAAAAFe8vZA=")</f>
        <v>#REF!</v>
      </c>
      <c r="EP13" t="e">
        <f>AND(Liste!#REF!,"AAAAAFe8vZE=")</f>
        <v>#REF!</v>
      </c>
      <c r="EQ13" t="e">
        <f>AND(Liste!#REF!,"AAAAAFe8vZI=")</f>
        <v>#REF!</v>
      </c>
      <c r="ER13" t="e">
        <f>AND(Liste!#REF!,"AAAAAFe8vZM=")</f>
        <v>#REF!</v>
      </c>
      <c r="ES13" t="e">
        <f>AND(Liste!#REF!,"AAAAAFe8vZQ=")</f>
        <v>#REF!</v>
      </c>
      <c r="ET13" t="e">
        <f>AND(Liste!#REF!,"AAAAAFe8vZU=")</f>
        <v>#REF!</v>
      </c>
      <c r="EU13" t="e">
        <f>AND(Liste!#REF!,"AAAAAFe8vZY=")</f>
        <v>#REF!</v>
      </c>
      <c r="EV13" t="e">
        <f>AND(Liste!#REF!,"AAAAAFe8vZc=")</f>
        <v>#REF!</v>
      </c>
      <c r="EW13">
        <f>IF(Liste!112:112,"AAAAAFe8vZg=",0)</f>
        <v>0</v>
      </c>
      <c r="EX13" t="b">
        <f>AND(Liste!A112,"AAAAAFe8vZk=")</f>
        <v>1</v>
      </c>
      <c r="EY13" t="e">
        <f>AND(Liste!#REF!,"AAAAAFe8vZo=")</f>
        <v>#REF!</v>
      </c>
      <c r="EZ13" t="e">
        <f>AND(Liste!#REF!,"AAAAAFe8vZs=")</f>
        <v>#REF!</v>
      </c>
      <c r="FA13" t="e">
        <f>AND(Liste!#REF!,"AAAAAFe8vZw=")</f>
        <v>#REF!</v>
      </c>
      <c r="FB13" t="e">
        <f>AND(Liste!F165,"AAAAAFe8vZ0=")</f>
        <v>#VALUE!</v>
      </c>
      <c r="FC13" t="e">
        <f>AND(Liste!G165,"AAAAAFe8vZ4=")</f>
        <v>#VALUE!</v>
      </c>
      <c r="FD13" t="e">
        <f>AND(Liste!H165,"AAAAAFe8vZ8=")</f>
        <v>#VALUE!</v>
      </c>
      <c r="FE13" t="e">
        <f>AND(Liste!I165,"AAAAAFe8vaA=")</f>
        <v>#VALUE!</v>
      </c>
      <c r="FF13" t="e">
        <f>AND(Liste!J165,"AAAAAFe8vaE=")</f>
        <v>#VALUE!</v>
      </c>
      <c r="FG13" t="e">
        <f>AND(Liste!#REF!,"AAAAAFe8vaI=")</f>
        <v>#REF!</v>
      </c>
      <c r="FH13" t="e">
        <f>AND(Liste!#REF!,"AAAAAFe8vaM=")</f>
        <v>#REF!</v>
      </c>
      <c r="FI13" t="e">
        <f>AND(Liste!#REF!,"AAAAAFe8vaQ=")</f>
        <v>#REF!</v>
      </c>
      <c r="FJ13" t="e">
        <f>AND(Liste!#REF!,"AAAAAFe8vaU=")</f>
        <v>#REF!</v>
      </c>
      <c r="FK13" t="e">
        <f>AND(Liste!#REF!,"AAAAAFe8vaY=")</f>
        <v>#REF!</v>
      </c>
      <c r="FL13" t="e">
        <f>AND(Liste!#REF!,"AAAAAFe8vac=")</f>
        <v>#REF!</v>
      </c>
      <c r="FM13" t="e">
        <f>AND(Liste!#REF!,"AAAAAFe8vag=")</f>
        <v>#REF!</v>
      </c>
      <c r="FN13" t="e">
        <f>AND(Liste!#REF!,"AAAAAFe8vak=")</f>
        <v>#REF!</v>
      </c>
      <c r="FO13" t="e">
        <f>AND(Liste!#REF!,"AAAAAFe8vao=")</f>
        <v>#REF!</v>
      </c>
      <c r="FP13" t="e">
        <f>AND(Liste!#REF!,"AAAAAFe8vas=")</f>
        <v>#REF!</v>
      </c>
      <c r="FQ13" t="e">
        <f>AND(Liste!#REF!,"AAAAAFe8vaw=")</f>
        <v>#REF!</v>
      </c>
      <c r="FR13" t="e">
        <f>AND(Liste!#REF!,"AAAAAFe8va0=")</f>
        <v>#REF!</v>
      </c>
      <c r="FS13" t="e">
        <f>AND(Liste!#REF!,"AAAAAFe8va4=")</f>
        <v>#REF!</v>
      </c>
      <c r="FT13" t="e">
        <f>AND(Liste!#REF!,"AAAAAFe8va8=")</f>
        <v>#REF!</v>
      </c>
      <c r="FU13" t="e">
        <f>AND(Liste!#REF!,"AAAAAFe8vbA=")</f>
        <v>#REF!</v>
      </c>
      <c r="FV13" t="e">
        <f>AND(Liste!#REF!,"AAAAAFe8vbE=")</f>
        <v>#REF!</v>
      </c>
      <c r="FW13" t="e">
        <f>AND(Liste!#REF!,"AAAAAFe8vbI=")</f>
        <v>#REF!</v>
      </c>
      <c r="FX13" t="e">
        <f>AND(Liste!#REF!,"AAAAAFe8vbM=")</f>
        <v>#REF!</v>
      </c>
      <c r="FY13" t="e">
        <f>AND(Liste!#REF!,"AAAAAFe8vbQ=")</f>
        <v>#REF!</v>
      </c>
      <c r="FZ13" t="e">
        <f>AND(Liste!#REF!,"AAAAAFe8vbU=")</f>
        <v>#REF!</v>
      </c>
      <c r="GA13" t="e">
        <f>AND(Liste!#REF!,"AAAAAFe8vbY=")</f>
        <v>#REF!</v>
      </c>
      <c r="GB13" t="e">
        <f>IF(Liste!#REF!,"AAAAAFe8vbc=",0)</f>
        <v>#REF!</v>
      </c>
      <c r="GC13" t="e">
        <f>AND(Liste!#REF!,"AAAAAFe8vbg=")</f>
        <v>#REF!</v>
      </c>
      <c r="GD13" t="e">
        <f>AND(Liste!#REF!,"AAAAAFe8vbk=")</f>
        <v>#REF!</v>
      </c>
      <c r="GE13" t="e">
        <f>AND(Liste!#REF!,"AAAAAFe8vbo=")</f>
        <v>#REF!</v>
      </c>
      <c r="GF13" t="e">
        <f>AND(Liste!#REF!,"AAAAAFe8vbs=")</f>
        <v>#REF!</v>
      </c>
      <c r="GG13" t="e">
        <f>AND(Liste!F166,"AAAAAFe8vbw=")</f>
        <v>#VALUE!</v>
      </c>
      <c r="GH13" t="e">
        <f>AND(Liste!G166,"AAAAAFe8vb0=")</f>
        <v>#VALUE!</v>
      </c>
      <c r="GI13" t="e">
        <f>AND(Liste!H166,"AAAAAFe8vb4=")</f>
        <v>#VALUE!</v>
      </c>
      <c r="GJ13" t="e">
        <f>AND(Liste!I166,"AAAAAFe8vb8=")</f>
        <v>#VALUE!</v>
      </c>
      <c r="GK13" t="e">
        <f>AND(Liste!J166,"AAAAAFe8vcA=")</f>
        <v>#VALUE!</v>
      </c>
      <c r="GL13" t="e">
        <f>AND(Liste!#REF!,"AAAAAFe8vcE=")</f>
        <v>#REF!</v>
      </c>
      <c r="GM13" t="e">
        <f>AND(Liste!#REF!,"AAAAAFe8vcI=")</f>
        <v>#REF!</v>
      </c>
      <c r="GN13" t="e">
        <f>AND(Liste!#REF!,"AAAAAFe8vcM=")</f>
        <v>#REF!</v>
      </c>
      <c r="GO13" t="e">
        <f>AND(Liste!#REF!,"AAAAAFe8vcQ=")</f>
        <v>#REF!</v>
      </c>
      <c r="GP13" t="e">
        <f>AND(Liste!#REF!,"AAAAAFe8vcU=")</f>
        <v>#REF!</v>
      </c>
      <c r="GQ13" t="e">
        <f>AND(Liste!#REF!,"AAAAAFe8vcY=")</f>
        <v>#REF!</v>
      </c>
      <c r="GR13" t="e">
        <f>AND(Liste!#REF!,"AAAAAFe8vcc=")</f>
        <v>#REF!</v>
      </c>
      <c r="GS13" t="e">
        <f>AND(Liste!#REF!,"AAAAAFe8vcg=")</f>
        <v>#REF!</v>
      </c>
      <c r="GT13" t="e">
        <f>AND(Liste!#REF!,"AAAAAFe8vck=")</f>
        <v>#REF!</v>
      </c>
      <c r="GU13" t="e">
        <f>AND(Liste!#REF!,"AAAAAFe8vco=")</f>
        <v>#REF!</v>
      </c>
      <c r="GV13" t="e">
        <f>AND(Liste!#REF!,"AAAAAFe8vcs=")</f>
        <v>#REF!</v>
      </c>
      <c r="GW13" t="e">
        <f>AND(Liste!#REF!,"AAAAAFe8vcw=")</f>
        <v>#REF!</v>
      </c>
      <c r="GX13" t="e">
        <f>AND(Liste!#REF!,"AAAAAFe8vc0=")</f>
        <v>#REF!</v>
      </c>
      <c r="GY13" t="e">
        <f>AND(Liste!#REF!,"AAAAAFe8vc4=")</f>
        <v>#REF!</v>
      </c>
      <c r="GZ13" t="e">
        <f>AND(Liste!#REF!,"AAAAAFe8vc8=")</f>
        <v>#REF!</v>
      </c>
      <c r="HA13" t="e">
        <f>AND(Liste!#REF!,"AAAAAFe8vdA=")</f>
        <v>#REF!</v>
      </c>
      <c r="HB13" t="e">
        <f>AND(Liste!#REF!,"AAAAAFe8vdE=")</f>
        <v>#REF!</v>
      </c>
      <c r="HC13" t="e">
        <f>AND(Liste!#REF!,"AAAAAFe8vdI=")</f>
        <v>#REF!</v>
      </c>
      <c r="HD13" t="e">
        <f>AND(Liste!#REF!,"AAAAAFe8vdM=")</f>
        <v>#REF!</v>
      </c>
      <c r="HE13" t="e">
        <f>AND(Liste!#REF!,"AAAAAFe8vdQ=")</f>
        <v>#REF!</v>
      </c>
      <c r="HF13" t="e">
        <f>AND(Liste!#REF!,"AAAAAFe8vdU=")</f>
        <v>#REF!</v>
      </c>
      <c r="HG13" t="e">
        <f>IF(Liste!#REF!,"AAAAAFe8vdY=",0)</f>
        <v>#REF!</v>
      </c>
      <c r="HH13" t="e">
        <f>AND(Liste!#REF!,"AAAAAFe8vdc=")</f>
        <v>#REF!</v>
      </c>
      <c r="HI13" t="e">
        <f>AND(Liste!#REF!,"AAAAAFe8vdg=")</f>
        <v>#REF!</v>
      </c>
      <c r="HJ13" t="e">
        <f>AND(Liste!#REF!,"AAAAAFe8vdk=")</f>
        <v>#REF!</v>
      </c>
      <c r="HK13" t="e">
        <f>AND(Liste!#REF!,"AAAAAFe8vdo=")</f>
        <v>#REF!</v>
      </c>
      <c r="HL13" t="e">
        <f>AND(Liste!F167,"AAAAAFe8vds=")</f>
        <v>#VALUE!</v>
      </c>
      <c r="HM13" t="e">
        <f>AND(Liste!G167,"AAAAAFe8vdw=")</f>
        <v>#VALUE!</v>
      </c>
      <c r="HN13" t="e">
        <f>AND(Liste!H167,"AAAAAFe8vd0=")</f>
        <v>#VALUE!</v>
      </c>
      <c r="HO13" t="e">
        <f>AND(Liste!I167,"AAAAAFe8vd4=")</f>
        <v>#VALUE!</v>
      </c>
      <c r="HP13" t="e">
        <f>AND(Liste!J167,"AAAAAFe8vd8=")</f>
        <v>#VALUE!</v>
      </c>
      <c r="HQ13" t="e">
        <f>AND(Liste!#REF!,"AAAAAFe8veA=")</f>
        <v>#REF!</v>
      </c>
      <c r="HR13" t="e">
        <f>AND(Liste!#REF!,"AAAAAFe8veE=")</f>
        <v>#REF!</v>
      </c>
      <c r="HS13" t="e">
        <f>AND(Liste!#REF!,"AAAAAFe8veI=")</f>
        <v>#REF!</v>
      </c>
      <c r="HT13" t="e">
        <f>AND(Liste!#REF!,"AAAAAFe8veM=")</f>
        <v>#REF!</v>
      </c>
      <c r="HU13" t="e">
        <f>AND(Liste!#REF!,"AAAAAFe8veQ=")</f>
        <v>#REF!</v>
      </c>
      <c r="HV13" t="e">
        <f>AND(Liste!#REF!,"AAAAAFe8veU=")</f>
        <v>#REF!</v>
      </c>
      <c r="HW13" t="e">
        <f>AND(Liste!#REF!,"AAAAAFe8veY=")</f>
        <v>#REF!</v>
      </c>
      <c r="HX13" t="e">
        <f>AND(Liste!#REF!,"AAAAAFe8vec=")</f>
        <v>#REF!</v>
      </c>
      <c r="HY13" t="e">
        <f>AND(Liste!#REF!,"AAAAAFe8veg=")</f>
        <v>#REF!</v>
      </c>
      <c r="HZ13" t="e">
        <f>AND(Liste!#REF!,"AAAAAFe8vek=")</f>
        <v>#REF!</v>
      </c>
      <c r="IA13" t="e">
        <f>AND(Liste!#REF!,"AAAAAFe8veo=")</f>
        <v>#REF!</v>
      </c>
      <c r="IB13" t="e">
        <f>AND(Liste!#REF!,"AAAAAFe8ves=")</f>
        <v>#REF!</v>
      </c>
      <c r="IC13" t="e">
        <f>AND(Liste!#REF!,"AAAAAFe8vew=")</f>
        <v>#REF!</v>
      </c>
      <c r="ID13" t="e">
        <f>AND(Liste!#REF!,"AAAAAFe8ve0=")</f>
        <v>#REF!</v>
      </c>
      <c r="IE13" t="e">
        <f>AND(Liste!#REF!,"AAAAAFe8ve4=")</f>
        <v>#REF!</v>
      </c>
      <c r="IF13" t="e">
        <f>AND(Liste!#REF!,"AAAAAFe8ve8=")</f>
        <v>#REF!</v>
      </c>
      <c r="IG13" t="e">
        <f>AND(Liste!#REF!,"AAAAAFe8vfA=")</f>
        <v>#REF!</v>
      </c>
      <c r="IH13" t="e">
        <f>AND(Liste!#REF!,"AAAAAFe8vfE=")</f>
        <v>#REF!</v>
      </c>
      <c r="II13" t="e">
        <f>AND(Liste!#REF!,"AAAAAFe8vfI=")</f>
        <v>#REF!</v>
      </c>
      <c r="IJ13" t="e">
        <f>AND(Liste!#REF!,"AAAAAFe8vfM=")</f>
        <v>#REF!</v>
      </c>
      <c r="IK13" t="e">
        <f>AND(Liste!#REF!,"AAAAAFe8vfQ=")</f>
        <v>#REF!</v>
      </c>
      <c r="IL13" t="e">
        <f>IF(Liste!#REF!,"AAAAAFe8vfU=",0)</f>
        <v>#REF!</v>
      </c>
      <c r="IM13" t="e">
        <f>AND(Liste!#REF!,"AAAAAFe8vfY=")</f>
        <v>#REF!</v>
      </c>
      <c r="IN13" t="e">
        <f>AND(Liste!#REF!,"AAAAAFe8vfc=")</f>
        <v>#REF!</v>
      </c>
      <c r="IO13" t="e">
        <f>AND(Liste!#REF!,"AAAAAFe8vfg=")</f>
        <v>#REF!</v>
      </c>
      <c r="IP13" t="e">
        <f>AND(Liste!#REF!,"AAAAAFe8vfk=")</f>
        <v>#REF!</v>
      </c>
      <c r="IQ13" t="e">
        <f>AND(Liste!F168,"AAAAAFe8vfo=")</f>
        <v>#VALUE!</v>
      </c>
      <c r="IR13" t="e">
        <f>AND(Liste!G168,"AAAAAFe8vfs=")</f>
        <v>#VALUE!</v>
      </c>
      <c r="IS13" t="e">
        <f>AND(Liste!H168,"AAAAAFe8vfw=")</f>
        <v>#VALUE!</v>
      </c>
      <c r="IT13" t="e">
        <f>AND(Liste!I168,"AAAAAFe8vf0=")</f>
        <v>#VALUE!</v>
      </c>
      <c r="IU13" t="e">
        <f>AND(Liste!J168,"AAAAAFe8vf4=")</f>
        <v>#VALUE!</v>
      </c>
      <c r="IV13" t="e">
        <f>AND(Liste!#REF!,"AAAAAFe8vf8=")</f>
        <v>#REF!</v>
      </c>
    </row>
    <row r="14" spans="1:256" x14ac:dyDescent="0.2">
      <c r="A14" t="e">
        <f>AND(Liste!#REF!,"AAAAAE925wA=")</f>
        <v>#REF!</v>
      </c>
      <c r="B14" t="e">
        <f>AND(Liste!#REF!,"AAAAAE925wE=")</f>
        <v>#REF!</v>
      </c>
      <c r="C14" t="e">
        <f>AND(Liste!#REF!,"AAAAAE925wI=")</f>
        <v>#REF!</v>
      </c>
      <c r="D14" t="e">
        <f>AND(Liste!#REF!,"AAAAAE925wM=")</f>
        <v>#REF!</v>
      </c>
      <c r="E14" t="e">
        <f>AND(Liste!#REF!,"AAAAAE925wQ=")</f>
        <v>#REF!</v>
      </c>
      <c r="F14" t="e">
        <f>AND(Liste!#REF!,"AAAAAE925wU=")</f>
        <v>#REF!</v>
      </c>
      <c r="G14" t="e">
        <f>AND(Liste!#REF!,"AAAAAE925wY=")</f>
        <v>#REF!</v>
      </c>
      <c r="H14" t="e">
        <f>AND(Liste!#REF!,"AAAAAE925wc=")</f>
        <v>#REF!</v>
      </c>
      <c r="I14" t="e">
        <f>AND(Liste!#REF!,"AAAAAE925wg=")</f>
        <v>#REF!</v>
      </c>
      <c r="J14" t="e">
        <f>AND(Liste!#REF!,"AAAAAE925wk=")</f>
        <v>#REF!</v>
      </c>
      <c r="K14" t="e">
        <f>AND(Liste!#REF!,"AAAAAE925wo=")</f>
        <v>#REF!</v>
      </c>
      <c r="L14" t="e">
        <f>AND(Liste!#REF!,"AAAAAE925ws=")</f>
        <v>#REF!</v>
      </c>
      <c r="M14" t="e">
        <f>AND(Liste!#REF!,"AAAAAE925ww=")</f>
        <v>#REF!</v>
      </c>
      <c r="N14" t="e">
        <f>AND(Liste!#REF!,"AAAAAE925w0=")</f>
        <v>#REF!</v>
      </c>
      <c r="O14" t="e">
        <f>AND(Liste!#REF!,"AAAAAE925w4=")</f>
        <v>#REF!</v>
      </c>
      <c r="P14" t="e">
        <f>AND(Liste!#REF!,"AAAAAE925w8=")</f>
        <v>#REF!</v>
      </c>
      <c r="Q14" t="e">
        <f>AND(Liste!#REF!,"AAAAAE925xA=")</f>
        <v>#REF!</v>
      </c>
      <c r="R14" t="e">
        <f>AND(Liste!#REF!,"AAAAAE925xE=")</f>
        <v>#REF!</v>
      </c>
      <c r="S14" t="e">
        <f>AND(Liste!#REF!,"AAAAAE925xI=")</f>
        <v>#REF!</v>
      </c>
      <c r="T14" t="e">
        <f>AND(Liste!#REF!,"AAAAAE925xM=")</f>
        <v>#REF!</v>
      </c>
      <c r="U14" t="e">
        <f>IF(Liste!#REF!,"AAAAAE925xQ=",0)</f>
        <v>#REF!</v>
      </c>
      <c r="V14" t="e">
        <f>AND(Liste!#REF!,"AAAAAE925xU=")</f>
        <v>#REF!</v>
      </c>
      <c r="W14" t="e">
        <f>AND(Liste!#REF!,"AAAAAE925xY=")</f>
        <v>#REF!</v>
      </c>
      <c r="X14" t="e">
        <f>AND(Liste!#REF!,"AAAAAE925xc=")</f>
        <v>#REF!</v>
      </c>
      <c r="Y14" t="e">
        <f>AND(Liste!#REF!,"AAAAAE925xg=")</f>
        <v>#REF!</v>
      </c>
      <c r="Z14" t="e">
        <f>AND(Liste!#REF!,"AAAAAE925xk=")</f>
        <v>#REF!</v>
      </c>
      <c r="AA14" t="e">
        <f>AND(Liste!#REF!,"AAAAAE925xo=")</f>
        <v>#REF!</v>
      </c>
      <c r="AB14" t="e">
        <f>AND(Liste!#REF!,"AAAAAE925xs=")</f>
        <v>#REF!</v>
      </c>
      <c r="AC14" t="e">
        <f>AND(Liste!#REF!,"AAAAAE925xw=")</f>
        <v>#REF!</v>
      </c>
      <c r="AD14" t="e">
        <f>AND(Liste!#REF!,"AAAAAE925x0=")</f>
        <v>#REF!</v>
      </c>
      <c r="AE14" t="e">
        <f>AND(Liste!#REF!,"AAAAAE925x4=")</f>
        <v>#REF!</v>
      </c>
      <c r="AF14" t="e">
        <f>AND(Liste!#REF!,"AAAAAE925x8=")</f>
        <v>#REF!</v>
      </c>
      <c r="AG14" t="e">
        <f>AND(Liste!#REF!,"AAAAAE925yA=")</f>
        <v>#REF!</v>
      </c>
      <c r="AH14" t="e">
        <f>AND(Liste!#REF!,"AAAAAE925yE=")</f>
        <v>#REF!</v>
      </c>
      <c r="AI14" t="e">
        <f>AND(Liste!#REF!,"AAAAAE925yI=")</f>
        <v>#REF!</v>
      </c>
      <c r="AJ14" t="e">
        <f>AND(Liste!#REF!,"AAAAAE925yM=")</f>
        <v>#REF!</v>
      </c>
      <c r="AK14" t="e">
        <f>AND(Liste!#REF!,"AAAAAE925yQ=")</f>
        <v>#REF!</v>
      </c>
      <c r="AL14" t="e">
        <f>AND(Liste!#REF!,"AAAAAE925yU=")</f>
        <v>#REF!</v>
      </c>
      <c r="AM14" t="e">
        <f>AND(Liste!#REF!,"AAAAAE925yY=")</f>
        <v>#REF!</v>
      </c>
      <c r="AN14" t="e">
        <f>AND(Liste!#REF!,"AAAAAE925yc=")</f>
        <v>#REF!</v>
      </c>
      <c r="AO14" t="e">
        <f>AND(Liste!#REF!,"AAAAAE925yg=")</f>
        <v>#REF!</v>
      </c>
      <c r="AP14" t="e">
        <f>AND(Liste!#REF!,"AAAAAE925yk=")</f>
        <v>#REF!</v>
      </c>
      <c r="AQ14" t="e">
        <f>AND(Liste!#REF!,"AAAAAE925yo=")</f>
        <v>#REF!</v>
      </c>
      <c r="AR14" t="e">
        <f>AND(Liste!#REF!,"AAAAAE925ys=")</f>
        <v>#REF!</v>
      </c>
      <c r="AS14" t="e">
        <f>AND(Liste!#REF!,"AAAAAE925yw=")</f>
        <v>#REF!</v>
      </c>
      <c r="AT14" t="e">
        <f>AND(Liste!#REF!,"AAAAAE925y0=")</f>
        <v>#REF!</v>
      </c>
      <c r="AU14" t="e">
        <f>AND(Liste!#REF!,"AAAAAE925y4=")</f>
        <v>#REF!</v>
      </c>
      <c r="AV14" t="e">
        <f>AND(Liste!#REF!,"AAAAAE925y8=")</f>
        <v>#REF!</v>
      </c>
      <c r="AW14" t="e">
        <f>AND(Liste!#REF!,"AAAAAE925zA=")</f>
        <v>#REF!</v>
      </c>
      <c r="AX14" t="e">
        <f>AND(Liste!#REF!,"AAAAAE925zE=")</f>
        <v>#REF!</v>
      </c>
      <c r="AY14" t="e">
        <f>AND(Liste!#REF!,"AAAAAE925zI=")</f>
        <v>#REF!</v>
      </c>
      <c r="AZ14" t="e">
        <f>IF(Liste!#REF!,"AAAAAE925zM=",0)</f>
        <v>#REF!</v>
      </c>
      <c r="BA14" t="e">
        <f>AND(Liste!#REF!,"AAAAAE925zQ=")</f>
        <v>#REF!</v>
      </c>
      <c r="BB14" t="e">
        <f>AND(Liste!#REF!,"AAAAAE925zU=")</f>
        <v>#REF!</v>
      </c>
      <c r="BC14" t="e">
        <f>AND(Liste!#REF!,"AAAAAE925zY=")</f>
        <v>#REF!</v>
      </c>
      <c r="BD14" t="e">
        <f>AND(Liste!#REF!,"AAAAAE925zc=")</f>
        <v>#REF!</v>
      </c>
      <c r="BE14" t="e">
        <f>AND(Liste!#REF!,"AAAAAE925zg=")</f>
        <v>#REF!</v>
      </c>
      <c r="BF14" t="e">
        <f>AND(Liste!#REF!,"AAAAAE925zk=")</f>
        <v>#REF!</v>
      </c>
      <c r="BG14" t="e">
        <f>AND(Liste!#REF!,"AAAAAE925zo=")</f>
        <v>#REF!</v>
      </c>
      <c r="BH14" t="e">
        <f>AND(Liste!#REF!,"AAAAAE925zs=")</f>
        <v>#REF!</v>
      </c>
      <c r="BI14" t="e">
        <f>AND(Liste!#REF!,"AAAAAE925zw=")</f>
        <v>#REF!</v>
      </c>
      <c r="BJ14" t="e">
        <f>AND(Liste!#REF!,"AAAAAE925z0=")</f>
        <v>#REF!</v>
      </c>
      <c r="BK14" t="e">
        <f>AND(Liste!#REF!,"AAAAAE925z4=")</f>
        <v>#REF!</v>
      </c>
      <c r="BL14" t="e">
        <f>AND(Liste!#REF!,"AAAAAE925z8=")</f>
        <v>#REF!</v>
      </c>
      <c r="BM14" t="e">
        <f>AND(Liste!#REF!,"AAAAAE9250A=")</f>
        <v>#REF!</v>
      </c>
      <c r="BN14" t="e">
        <f>AND(Liste!#REF!,"AAAAAE9250E=")</f>
        <v>#REF!</v>
      </c>
      <c r="BO14" t="e">
        <f>AND(Liste!#REF!,"AAAAAE9250I=")</f>
        <v>#REF!</v>
      </c>
      <c r="BP14" t="e">
        <f>AND(Liste!#REF!,"AAAAAE9250M=")</f>
        <v>#REF!</v>
      </c>
      <c r="BQ14" t="e">
        <f>AND(Liste!#REF!,"AAAAAE9250Q=")</f>
        <v>#REF!</v>
      </c>
      <c r="BR14" t="e">
        <f>AND(Liste!#REF!,"AAAAAE9250U=")</f>
        <v>#REF!</v>
      </c>
      <c r="BS14" t="e">
        <f>AND(Liste!#REF!,"AAAAAE9250Y=")</f>
        <v>#REF!</v>
      </c>
      <c r="BT14" t="e">
        <f>AND(Liste!#REF!,"AAAAAE9250c=")</f>
        <v>#REF!</v>
      </c>
      <c r="BU14" t="e">
        <f>AND(Liste!#REF!,"AAAAAE9250g=")</f>
        <v>#REF!</v>
      </c>
      <c r="BV14" t="e">
        <f>AND(Liste!#REF!,"AAAAAE9250k=")</f>
        <v>#REF!</v>
      </c>
      <c r="BW14" t="e">
        <f>AND(Liste!#REF!,"AAAAAE9250o=")</f>
        <v>#REF!</v>
      </c>
      <c r="BX14" t="e">
        <f>AND(Liste!#REF!,"AAAAAE9250s=")</f>
        <v>#REF!</v>
      </c>
      <c r="BY14" t="e">
        <f>AND(Liste!#REF!,"AAAAAE9250w=")</f>
        <v>#REF!</v>
      </c>
      <c r="BZ14" t="e">
        <f>AND(Liste!#REF!,"AAAAAE92500=")</f>
        <v>#REF!</v>
      </c>
      <c r="CA14" t="e">
        <f>AND(Liste!#REF!,"AAAAAE92504=")</f>
        <v>#REF!</v>
      </c>
      <c r="CB14" t="e">
        <f>AND(Liste!#REF!,"AAAAAE92508=")</f>
        <v>#REF!</v>
      </c>
      <c r="CC14" t="e">
        <f>AND(Liste!#REF!,"AAAAAE9251A=")</f>
        <v>#REF!</v>
      </c>
      <c r="CD14" t="e">
        <f>AND(Liste!#REF!,"AAAAAE9251E=")</f>
        <v>#REF!</v>
      </c>
      <c r="CE14" t="e">
        <f>IF(Liste!#REF!,"AAAAAE9251I=",0)</f>
        <v>#REF!</v>
      </c>
      <c r="CF14" t="e">
        <f>AND(Liste!#REF!,"AAAAAE9251M=")</f>
        <v>#REF!</v>
      </c>
      <c r="CG14" t="e">
        <f>AND(Liste!#REF!,"AAAAAE9251Q=")</f>
        <v>#REF!</v>
      </c>
      <c r="CH14" t="e">
        <f>AND(Liste!#REF!,"AAAAAE9251U=")</f>
        <v>#REF!</v>
      </c>
      <c r="CI14" t="e">
        <f>AND(Liste!#REF!,"AAAAAE9251Y=")</f>
        <v>#REF!</v>
      </c>
      <c r="CJ14" t="e">
        <f>AND(Liste!#REF!,"AAAAAE9251c=")</f>
        <v>#REF!</v>
      </c>
      <c r="CK14" t="e">
        <f>AND(Liste!#REF!,"AAAAAE9251g=")</f>
        <v>#REF!</v>
      </c>
      <c r="CL14" t="e">
        <f>AND(Liste!#REF!,"AAAAAE9251k=")</f>
        <v>#REF!</v>
      </c>
      <c r="CM14" t="e">
        <f>AND(Liste!#REF!,"AAAAAE9251o=")</f>
        <v>#REF!</v>
      </c>
      <c r="CN14" t="e">
        <f>AND(Liste!#REF!,"AAAAAE9251s=")</f>
        <v>#REF!</v>
      </c>
      <c r="CO14" t="e">
        <f>AND(Liste!#REF!,"AAAAAE9251w=")</f>
        <v>#REF!</v>
      </c>
      <c r="CP14" t="e">
        <f>AND(Liste!#REF!,"AAAAAE92510=")</f>
        <v>#REF!</v>
      </c>
      <c r="CQ14" t="e">
        <f>AND(Liste!#REF!,"AAAAAE92514=")</f>
        <v>#REF!</v>
      </c>
      <c r="CR14" t="e">
        <f>AND(Liste!#REF!,"AAAAAE92518=")</f>
        <v>#REF!</v>
      </c>
      <c r="CS14" t="e">
        <f>AND(Liste!#REF!,"AAAAAE9252A=")</f>
        <v>#REF!</v>
      </c>
      <c r="CT14" t="e">
        <f>AND(Liste!#REF!,"AAAAAE9252E=")</f>
        <v>#REF!</v>
      </c>
      <c r="CU14" t="e">
        <f>AND(Liste!#REF!,"AAAAAE9252I=")</f>
        <v>#REF!</v>
      </c>
      <c r="CV14" t="e">
        <f>AND(Liste!#REF!,"AAAAAE9252M=")</f>
        <v>#REF!</v>
      </c>
      <c r="CW14" t="e">
        <f>AND(Liste!#REF!,"AAAAAE9252Q=")</f>
        <v>#REF!</v>
      </c>
      <c r="CX14" t="e">
        <f>AND(Liste!#REF!,"AAAAAE9252U=")</f>
        <v>#REF!</v>
      </c>
      <c r="CY14" t="e">
        <f>AND(Liste!#REF!,"AAAAAE9252Y=")</f>
        <v>#REF!</v>
      </c>
      <c r="CZ14" t="e">
        <f>AND(Liste!#REF!,"AAAAAE9252c=")</f>
        <v>#REF!</v>
      </c>
      <c r="DA14" t="e">
        <f>AND(Liste!#REF!,"AAAAAE9252g=")</f>
        <v>#REF!</v>
      </c>
      <c r="DB14" t="e">
        <f>AND(Liste!#REF!,"AAAAAE9252k=")</f>
        <v>#REF!</v>
      </c>
      <c r="DC14" t="e">
        <f>AND(Liste!#REF!,"AAAAAE9252o=")</f>
        <v>#REF!</v>
      </c>
      <c r="DD14" t="e">
        <f>AND(Liste!#REF!,"AAAAAE9252s=")</f>
        <v>#REF!</v>
      </c>
      <c r="DE14" t="e">
        <f>AND(Liste!#REF!,"AAAAAE9252w=")</f>
        <v>#REF!</v>
      </c>
      <c r="DF14" t="e">
        <f>AND(Liste!#REF!,"AAAAAE92520=")</f>
        <v>#REF!</v>
      </c>
      <c r="DG14" t="e">
        <f>AND(Liste!#REF!,"AAAAAE92524=")</f>
        <v>#REF!</v>
      </c>
      <c r="DH14" t="e">
        <f>AND(Liste!#REF!,"AAAAAE92528=")</f>
        <v>#REF!</v>
      </c>
      <c r="DI14" t="e">
        <f>AND(Liste!#REF!,"AAAAAE9253A=")</f>
        <v>#REF!</v>
      </c>
      <c r="DJ14" t="e">
        <f>IF(Liste!#REF!,"AAAAAE9253E=",0)</f>
        <v>#REF!</v>
      </c>
      <c r="DK14" t="e">
        <f>AND(Liste!#REF!,"AAAAAE9253I=")</f>
        <v>#REF!</v>
      </c>
      <c r="DL14" t="e">
        <f>AND(Liste!#REF!,"AAAAAE9253M=")</f>
        <v>#REF!</v>
      </c>
      <c r="DM14" t="e">
        <f>AND(Liste!#REF!,"AAAAAE9253Q=")</f>
        <v>#REF!</v>
      </c>
      <c r="DN14" t="e">
        <f>AND(Liste!#REF!,"AAAAAE9253U=")</f>
        <v>#REF!</v>
      </c>
      <c r="DO14" t="e">
        <f>AND(Liste!#REF!,"AAAAAE9253Y=")</f>
        <v>#REF!</v>
      </c>
      <c r="DP14" t="e">
        <f>AND(Liste!#REF!,"AAAAAE9253c=")</f>
        <v>#REF!</v>
      </c>
      <c r="DQ14" t="e">
        <f>AND(Liste!#REF!,"AAAAAE9253g=")</f>
        <v>#REF!</v>
      </c>
      <c r="DR14" t="e">
        <f>AND(Liste!#REF!,"AAAAAE9253k=")</f>
        <v>#REF!</v>
      </c>
      <c r="DS14" t="e">
        <f>AND(Liste!#REF!,"AAAAAE9253o=")</f>
        <v>#REF!</v>
      </c>
      <c r="DT14" t="e">
        <f>AND(Liste!#REF!,"AAAAAE9253s=")</f>
        <v>#REF!</v>
      </c>
      <c r="DU14" t="e">
        <f>AND(Liste!#REF!,"AAAAAE9253w=")</f>
        <v>#REF!</v>
      </c>
      <c r="DV14" t="e">
        <f>AND(Liste!#REF!,"AAAAAE92530=")</f>
        <v>#REF!</v>
      </c>
      <c r="DW14" t="e">
        <f>AND(Liste!#REF!,"AAAAAE92534=")</f>
        <v>#REF!</v>
      </c>
      <c r="DX14" t="e">
        <f>AND(Liste!#REF!,"AAAAAE92538=")</f>
        <v>#REF!</v>
      </c>
      <c r="DY14" t="e">
        <f>AND(Liste!#REF!,"AAAAAE9254A=")</f>
        <v>#REF!</v>
      </c>
      <c r="DZ14" t="e">
        <f>AND(Liste!#REF!,"AAAAAE9254E=")</f>
        <v>#REF!</v>
      </c>
      <c r="EA14" t="e">
        <f>AND(Liste!#REF!,"AAAAAE9254I=")</f>
        <v>#REF!</v>
      </c>
      <c r="EB14" t="e">
        <f>AND(Liste!#REF!,"AAAAAE9254M=")</f>
        <v>#REF!</v>
      </c>
      <c r="EC14" t="e">
        <f>AND(Liste!#REF!,"AAAAAE9254Q=")</f>
        <v>#REF!</v>
      </c>
      <c r="ED14" t="e">
        <f>AND(Liste!#REF!,"AAAAAE9254U=")</f>
        <v>#REF!</v>
      </c>
      <c r="EE14" t="e">
        <f>AND(Liste!#REF!,"AAAAAE9254Y=")</f>
        <v>#REF!</v>
      </c>
      <c r="EF14" t="e">
        <f>AND(Liste!#REF!,"AAAAAE9254c=")</f>
        <v>#REF!</v>
      </c>
      <c r="EG14" t="e">
        <f>AND(Liste!#REF!,"AAAAAE9254g=")</f>
        <v>#REF!</v>
      </c>
      <c r="EH14" t="e">
        <f>AND(Liste!#REF!,"AAAAAE9254k=")</f>
        <v>#REF!</v>
      </c>
      <c r="EI14" t="e">
        <f>AND(Liste!#REF!,"AAAAAE9254o=")</f>
        <v>#REF!</v>
      </c>
      <c r="EJ14" t="e">
        <f>AND(Liste!#REF!,"AAAAAE9254s=")</f>
        <v>#REF!</v>
      </c>
      <c r="EK14" t="e">
        <f>AND(Liste!#REF!,"AAAAAE9254w=")</f>
        <v>#REF!</v>
      </c>
      <c r="EL14" t="e">
        <f>AND(Liste!#REF!,"AAAAAE92540=")</f>
        <v>#REF!</v>
      </c>
      <c r="EM14" t="e">
        <f>AND(Liste!#REF!,"AAAAAE92544=")</f>
        <v>#REF!</v>
      </c>
      <c r="EN14" t="e">
        <f>AND(Liste!#REF!,"AAAAAE92548=")</f>
        <v>#REF!</v>
      </c>
      <c r="EO14" t="e">
        <f>IF(Liste!#REF!,"AAAAAE9255A=",0)</f>
        <v>#REF!</v>
      </c>
      <c r="EP14" t="e">
        <f>AND(Liste!#REF!,"AAAAAE9255E=")</f>
        <v>#REF!</v>
      </c>
      <c r="EQ14" t="e">
        <f>AND(Liste!#REF!,"AAAAAE9255I=")</f>
        <v>#REF!</v>
      </c>
      <c r="ER14" t="e">
        <f>AND(Liste!#REF!,"AAAAAE9255M=")</f>
        <v>#REF!</v>
      </c>
      <c r="ES14" t="e">
        <f>AND(Liste!#REF!,"AAAAAE9255Q=")</f>
        <v>#REF!</v>
      </c>
      <c r="ET14" t="e">
        <f>AND(Liste!#REF!,"AAAAAE9255U=")</f>
        <v>#REF!</v>
      </c>
      <c r="EU14" t="e">
        <f>AND(Liste!#REF!,"AAAAAE9255Y=")</f>
        <v>#REF!</v>
      </c>
      <c r="EV14" t="e">
        <f>AND(Liste!#REF!,"AAAAAE9255c=")</f>
        <v>#REF!</v>
      </c>
      <c r="EW14" t="e">
        <f>AND(Liste!#REF!,"AAAAAE9255g=")</f>
        <v>#REF!</v>
      </c>
      <c r="EX14" t="e">
        <f>AND(Liste!#REF!,"AAAAAE9255k=")</f>
        <v>#REF!</v>
      </c>
      <c r="EY14" t="e">
        <f>AND(Liste!#REF!,"AAAAAE9255o=")</f>
        <v>#REF!</v>
      </c>
      <c r="EZ14" t="e">
        <f>AND(Liste!#REF!,"AAAAAE9255s=")</f>
        <v>#REF!</v>
      </c>
      <c r="FA14" t="e">
        <f>AND(Liste!#REF!,"AAAAAE9255w=")</f>
        <v>#REF!</v>
      </c>
      <c r="FB14" t="e">
        <f>AND(Liste!#REF!,"AAAAAE92550=")</f>
        <v>#REF!</v>
      </c>
      <c r="FC14" t="e">
        <f>AND(Liste!#REF!,"AAAAAE92554=")</f>
        <v>#REF!</v>
      </c>
      <c r="FD14" t="e">
        <f>AND(Liste!#REF!,"AAAAAE92558=")</f>
        <v>#REF!</v>
      </c>
      <c r="FE14" t="e">
        <f>AND(Liste!#REF!,"AAAAAE9256A=")</f>
        <v>#REF!</v>
      </c>
      <c r="FF14" t="e">
        <f>AND(Liste!#REF!,"AAAAAE9256E=")</f>
        <v>#REF!</v>
      </c>
      <c r="FG14" t="e">
        <f>AND(Liste!#REF!,"AAAAAE9256I=")</f>
        <v>#REF!</v>
      </c>
      <c r="FH14" t="e">
        <f>AND(Liste!#REF!,"AAAAAE9256M=")</f>
        <v>#REF!</v>
      </c>
      <c r="FI14" t="e">
        <f>AND(Liste!#REF!,"AAAAAE9256Q=")</f>
        <v>#REF!</v>
      </c>
      <c r="FJ14" t="e">
        <f>AND(Liste!#REF!,"AAAAAE9256U=")</f>
        <v>#REF!</v>
      </c>
      <c r="FK14" t="e">
        <f>AND(Liste!#REF!,"AAAAAE9256Y=")</f>
        <v>#REF!</v>
      </c>
      <c r="FL14" t="e">
        <f>AND(Liste!#REF!,"AAAAAE9256c=")</f>
        <v>#REF!</v>
      </c>
      <c r="FM14" t="e">
        <f>AND(Liste!#REF!,"AAAAAE9256g=")</f>
        <v>#REF!</v>
      </c>
      <c r="FN14" t="e">
        <f>AND(Liste!#REF!,"AAAAAE9256k=")</f>
        <v>#REF!</v>
      </c>
      <c r="FO14" t="e">
        <f>AND(Liste!#REF!,"AAAAAE9256o=")</f>
        <v>#REF!</v>
      </c>
      <c r="FP14" t="e">
        <f>AND(Liste!#REF!,"AAAAAE9256s=")</f>
        <v>#REF!</v>
      </c>
      <c r="FQ14" t="e">
        <f>AND(Liste!#REF!,"AAAAAE9256w=")</f>
        <v>#REF!</v>
      </c>
      <c r="FR14" t="e">
        <f>AND(Liste!#REF!,"AAAAAE92560=")</f>
        <v>#REF!</v>
      </c>
      <c r="FS14" t="e">
        <f>AND(Liste!#REF!,"AAAAAE92564=")</f>
        <v>#REF!</v>
      </c>
      <c r="FT14" t="e">
        <f>IF(Liste!#REF!,"AAAAAE92568=",0)</f>
        <v>#REF!</v>
      </c>
      <c r="FU14" t="e">
        <f>AND(Liste!#REF!,"AAAAAE9257A=")</f>
        <v>#REF!</v>
      </c>
      <c r="FV14" t="e">
        <f>AND(Liste!#REF!,"AAAAAE9257E=")</f>
        <v>#REF!</v>
      </c>
      <c r="FW14" t="e">
        <f>AND(Liste!#REF!,"AAAAAE9257I=")</f>
        <v>#REF!</v>
      </c>
      <c r="FX14" t="e">
        <f>AND(Liste!#REF!,"AAAAAE9257M=")</f>
        <v>#REF!</v>
      </c>
      <c r="FY14" t="e">
        <f>AND(Liste!#REF!,"AAAAAE9257Q=")</f>
        <v>#REF!</v>
      </c>
      <c r="FZ14" t="e">
        <f>AND(Liste!#REF!,"AAAAAE9257U=")</f>
        <v>#REF!</v>
      </c>
      <c r="GA14" t="e">
        <f>AND(Liste!#REF!,"AAAAAE9257Y=")</f>
        <v>#REF!</v>
      </c>
      <c r="GB14" t="e">
        <f>AND(Liste!#REF!,"AAAAAE9257c=")</f>
        <v>#REF!</v>
      </c>
      <c r="GC14" t="e">
        <f>AND(Liste!#REF!,"AAAAAE9257g=")</f>
        <v>#REF!</v>
      </c>
      <c r="GD14" t="e">
        <f>AND(Liste!#REF!,"AAAAAE9257k=")</f>
        <v>#REF!</v>
      </c>
      <c r="GE14" t="e">
        <f>AND(Liste!#REF!,"AAAAAE9257o=")</f>
        <v>#REF!</v>
      </c>
      <c r="GF14" t="e">
        <f>AND(Liste!#REF!,"AAAAAE9257s=")</f>
        <v>#REF!</v>
      </c>
      <c r="GG14" t="e">
        <f>AND(Liste!#REF!,"AAAAAE9257w=")</f>
        <v>#REF!</v>
      </c>
      <c r="GH14" t="e">
        <f>AND(Liste!#REF!,"AAAAAE92570=")</f>
        <v>#REF!</v>
      </c>
      <c r="GI14" t="e">
        <f>AND(Liste!#REF!,"AAAAAE92574=")</f>
        <v>#REF!</v>
      </c>
      <c r="GJ14" t="e">
        <f>AND(Liste!#REF!,"AAAAAE92578=")</f>
        <v>#REF!</v>
      </c>
      <c r="GK14" t="e">
        <f>AND(Liste!#REF!,"AAAAAE9258A=")</f>
        <v>#REF!</v>
      </c>
      <c r="GL14" t="e">
        <f>AND(Liste!#REF!,"AAAAAE9258E=")</f>
        <v>#REF!</v>
      </c>
      <c r="GM14" t="e">
        <f>AND(Liste!#REF!,"AAAAAE9258I=")</f>
        <v>#REF!</v>
      </c>
      <c r="GN14" t="e">
        <f>AND(Liste!#REF!,"AAAAAE9258M=")</f>
        <v>#REF!</v>
      </c>
      <c r="GO14" t="e">
        <f>AND(Liste!#REF!,"AAAAAE9258Q=")</f>
        <v>#REF!</v>
      </c>
      <c r="GP14" t="e">
        <f>AND(Liste!#REF!,"AAAAAE9258U=")</f>
        <v>#REF!</v>
      </c>
      <c r="GQ14" t="e">
        <f>AND(Liste!#REF!,"AAAAAE9258Y=")</f>
        <v>#REF!</v>
      </c>
      <c r="GR14" t="e">
        <f>AND(Liste!#REF!,"AAAAAE9258c=")</f>
        <v>#REF!</v>
      </c>
      <c r="GS14" t="e">
        <f>AND(Liste!#REF!,"AAAAAE9258g=")</f>
        <v>#REF!</v>
      </c>
      <c r="GT14" t="e">
        <f>AND(Liste!#REF!,"AAAAAE9258k=")</f>
        <v>#REF!</v>
      </c>
      <c r="GU14" t="e">
        <f>AND(Liste!#REF!,"AAAAAE9258o=")</f>
        <v>#REF!</v>
      </c>
      <c r="GV14" t="e">
        <f>AND(Liste!#REF!,"AAAAAE9258s=")</f>
        <v>#REF!</v>
      </c>
      <c r="GW14" t="e">
        <f>AND(Liste!#REF!,"AAAAAE9258w=")</f>
        <v>#REF!</v>
      </c>
      <c r="GX14" t="e">
        <f>AND(Liste!#REF!,"AAAAAE92580=")</f>
        <v>#REF!</v>
      </c>
      <c r="GY14" t="e">
        <f>IF(Liste!#REF!,"AAAAAE92584=",0)</f>
        <v>#REF!</v>
      </c>
      <c r="GZ14" t="e">
        <f>AND(Liste!#REF!,"AAAAAE92588=")</f>
        <v>#REF!</v>
      </c>
      <c r="HA14" t="e">
        <f>AND(Liste!#REF!,"AAAAAE9259A=")</f>
        <v>#REF!</v>
      </c>
      <c r="HB14" t="e">
        <f>AND(Liste!#REF!,"AAAAAE9259E=")</f>
        <v>#REF!</v>
      </c>
      <c r="HC14" t="e">
        <f>AND(Liste!#REF!,"AAAAAE9259I=")</f>
        <v>#REF!</v>
      </c>
      <c r="HD14" t="e">
        <f>AND(Liste!#REF!,"AAAAAE9259M=")</f>
        <v>#REF!</v>
      </c>
      <c r="HE14" t="e">
        <f>AND(Liste!#REF!,"AAAAAE9259Q=")</f>
        <v>#REF!</v>
      </c>
      <c r="HF14" t="e">
        <f>AND(Liste!#REF!,"AAAAAE9259U=")</f>
        <v>#REF!</v>
      </c>
      <c r="HG14" t="e">
        <f>AND(Liste!#REF!,"AAAAAE9259Y=")</f>
        <v>#REF!</v>
      </c>
      <c r="HH14" t="e">
        <f>AND(Liste!#REF!,"AAAAAE9259c=")</f>
        <v>#REF!</v>
      </c>
      <c r="HI14" t="e">
        <f>AND(Liste!#REF!,"AAAAAE9259g=")</f>
        <v>#REF!</v>
      </c>
      <c r="HJ14" t="e">
        <f>AND(Liste!#REF!,"AAAAAE9259k=")</f>
        <v>#REF!</v>
      </c>
      <c r="HK14" t="e">
        <f>AND(Liste!#REF!,"AAAAAE9259o=")</f>
        <v>#REF!</v>
      </c>
      <c r="HL14" t="e">
        <f>AND(Liste!#REF!,"AAAAAE9259s=")</f>
        <v>#REF!</v>
      </c>
      <c r="HM14" t="e">
        <f>AND(Liste!#REF!,"AAAAAE9259w=")</f>
        <v>#REF!</v>
      </c>
      <c r="HN14" t="e">
        <f>AND(Liste!#REF!,"AAAAAE92590=")</f>
        <v>#REF!</v>
      </c>
      <c r="HO14" t="e">
        <f>AND(Liste!#REF!,"AAAAAE92594=")</f>
        <v>#REF!</v>
      </c>
      <c r="HP14" t="e">
        <f>AND(Liste!#REF!,"AAAAAE92598=")</f>
        <v>#REF!</v>
      </c>
      <c r="HQ14" t="e">
        <f>AND(Liste!#REF!,"AAAAAE925+A=")</f>
        <v>#REF!</v>
      </c>
      <c r="HR14" t="e">
        <f>AND(Liste!#REF!,"AAAAAE925+E=")</f>
        <v>#REF!</v>
      </c>
      <c r="HS14" t="e">
        <f>AND(Liste!#REF!,"AAAAAE925+I=")</f>
        <v>#REF!</v>
      </c>
      <c r="HT14" t="e">
        <f>AND(Liste!#REF!,"AAAAAE925+M=")</f>
        <v>#REF!</v>
      </c>
      <c r="HU14" t="e">
        <f>AND(Liste!#REF!,"AAAAAE925+Q=")</f>
        <v>#REF!</v>
      </c>
      <c r="HV14" t="e">
        <f>AND(Liste!#REF!,"AAAAAE925+U=")</f>
        <v>#REF!</v>
      </c>
      <c r="HW14" t="e">
        <f>AND(Liste!#REF!,"AAAAAE925+Y=")</f>
        <v>#REF!</v>
      </c>
      <c r="HX14" t="e">
        <f>AND(Liste!#REF!,"AAAAAE925+c=")</f>
        <v>#REF!</v>
      </c>
      <c r="HY14" t="e">
        <f>AND(Liste!#REF!,"AAAAAE925+g=")</f>
        <v>#REF!</v>
      </c>
      <c r="HZ14" t="e">
        <f>AND(Liste!#REF!,"AAAAAE925+k=")</f>
        <v>#REF!</v>
      </c>
      <c r="IA14" t="e">
        <f>AND(Liste!#REF!,"AAAAAE925+o=")</f>
        <v>#REF!</v>
      </c>
      <c r="IB14" t="e">
        <f>AND(Liste!#REF!,"AAAAAE925+s=")</f>
        <v>#REF!</v>
      </c>
      <c r="IC14" t="e">
        <f>AND(Liste!#REF!,"AAAAAE925+w=")</f>
        <v>#REF!</v>
      </c>
      <c r="ID14" t="e">
        <f>IF(Liste!#REF!,"AAAAAE925+0=",0)</f>
        <v>#REF!</v>
      </c>
      <c r="IE14" t="e">
        <f>AND(Liste!#REF!,"AAAAAE925+4=")</f>
        <v>#REF!</v>
      </c>
      <c r="IF14" t="e">
        <f>AND(Liste!#REF!,"AAAAAE925+8=")</f>
        <v>#REF!</v>
      </c>
      <c r="IG14" t="e">
        <f>AND(Liste!#REF!,"AAAAAE925/A=")</f>
        <v>#REF!</v>
      </c>
      <c r="IH14" t="e">
        <f>AND(Liste!#REF!,"AAAAAE925/E=")</f>
        <v>#REF!</v>
      </c>
      <c r="II14" t="e">
        <f>AND(Liste!#REF!,"AAAAAE925/I=")</f>
        <v>#REF!</v>
      </c>
      <c r="IJ14" t="e">
        <f>AND(Liste!#REF!,"AAAAAE925/M=")</f>
        <v>#REF!</v>
      </c>
      <c r="IK14" t="e">
        <f>AND(Liste!#REF!,"AAAAAE925/Q=")</f>
        <v>#REF!</v>
      </c>
      <c r="IL14" t="e">
        <f>AND(Liste!#REF!,"AAAAAE925/U=")</f>
        <v>#REF!</v>
      </c>
      <c r="IM14" t="e">
        <f>AND(Liste!#REF!,"AAAAAE925/Y=")</f>
        <v>#REF!</v>
      </c>
      <c r="IN14" t="e">
        <f>AND(Liste!#REF!,"AAAAAE925/c=")</f>
        <v>#REF!</v>
      </c>
      <c r="IO14" t="e">
        <f>AND(Liste!#REF!,"AAAAAE925/g=")</f>
        <v>#REF!</v>
      </c>
      <c r="IP14" t="e">
        <f>AND(Liste!#REF!,"AAAAAE925/k=")</f>
        <v>#REF!</v>
      </c>
      <c r="IQ14" t="e">
        <f>AND(Liste!#REF!,"AAAAAE925/o=")</f>
        <v>#REF!</v>
      </c>
      <c r="IR14" t="e">
        <f>AND(Liste!#REF!,"AAAAAE925/s=")</f>
        <v>#REF!</v>
      </c>
      <c r="IS14" t="e">
        <f>AND(Liste!#REF!,"AAAAAE925/w=")</f>
        <v>#REF!</v>
      </c>
      <c r="IT14" t="e">
        <f>AND(Liste!#REF!,"AAAAAE925/0=")</f>
        <v>#REF!</v>
      </c>
      <c r="IU14" t="e">
        <f>AND(Liste!#REF!,"AAAAAE925/4=")</f>
        <v>#REF!</v>
      </c>
      <c r="IV14" t="e">
        <f>AND(Liste!#REF!,"AAAAAE925/8=")</f>
        <v>#REF!</v>
      </c>
    </row>
    <row r="15" spans="1:256" x14ac:dyDescent="0.2">
      <c r="A15" t="e">
        <f>AND(Liste!#REF!,"AAAAAG//6wA=")</f>
        <v>#REF!</v>
      </c>
      <c r="B15" t="e">
        <f>AND(Liste!#REF!,"AAAAAG//6wE=")</f>
        <v>#REF!</v>
      </c>
      <c r="C15" t="e">
        <f>AND(Liste!#REF!,"AAAAAG//6wI=")</f>
        <v>#REF!</v>
      </c>
      <c r="D15" t="e">
        <f>AND(Liste!#REF!,"AAAAAG//6wM=")</f>
        <v>#REF!</v>
      </c>
      <c r="E15" t="e">
        <f>AND(Liste!#REF!,"AAAAAG//6wQ=")</f>
        <v>#REF!</v>
      </c>
      <c r="F15" t="e">
        <f>AND(Liste!#REF!,"AAAAAG//6wU=")</f>
        <v>#REF!</v>
      </c>
      <c r="G15" t="e">
        <f>AND(Liste!#REF!,"AAAAAG//6wY=")</f>
        <v>#REF!</v>
      </c>
      <c r="H15" t="e">
        <f>AND(Liste!#REF!,"AAAAAG//6wc=")</f>
        <v>#REF!</v>
      </c>
      <c r="I15" t="e">
        <f>AND(Liste!#REF!,"AAAAAG//6wg=")</f>
        <v>#REF!</v>
      </c>
      <c r="J15" t="e">
        <f>AND(Liste!#REF!,"AAAAAG//6wk=")</f>
        <v>#REF!</v>
      </c>
      <c r="K15" t="e">
        <f>AND(Liste!#REF!,"AAAAAG//6wo=")</f>
        <v>#REF!</v>
      </c>
      <c r="L15" t="e">
        <f>AND(Liste!#REF!,"AAAAAG//6ws=")</f>
        <v>#REF!</v>
      </c>
      <c r="M15" t="e">
        <f>IF(Liste!#REF!,"AAAAAG//6ww=",0)</f>
        <v>#REF!</v>
      </c>
      <c r="N15" t="e">
        <f>AND(Liste!#REF!,"AAAAAG//6w0=")</f>
        <v>#REF!</v>
      </c>
      <c r="O15" t="e">
        <f>AND(Liste!#REF!,"AAAAAG//6w4=")</f>
        <v>#REF!</v>
      </c>
      <c r="P15" t="e">
        <f>AND(Liste!#REF!,"AAAAAG//6w8=")</f>
        <v>#REF!</v>
      </c>
      <c r="Q15" t="e">
        <f>AND(Liste!#REF!,"AAAAAG//6xA=")</f>
        <v>#REF!</v>
      </c>
      <c r="R15" t="e">
        <f>AND(Liste!#REF!,"AAAAAG//6xE=")</f>
        <v>#REF!</v>
      </c>
      <c r="S15" t="e">
        <f>AND(Liste!#REF!,"AAAAAG//6xI=")</f>
        <v>#REF!</v>
      </c>
      <c r="T15" t="e">
        <f>AND(Liste!#REF!,"AAAAAG//6xM=")</f>
        <v>#REF!</v>
      </c>
      <c r="U15" t="e">
        <f>AND(Liste!#REF!,"AAAAAG//6xQ=")</f>
        <v>#REF!</v>
      </c>
      <c r="V15" t="e">
        <f>AND(Liste!#REF!,"AAAAAG//6xU=")</f>
        <v>#REF!</v>
      </c>
      <c r="W15" t="e">
        <f>AND(Liste!#REF!,"AAAAAG//6xY=")</f>
        <v>#REF!</v>
      </c>
      <c r="X15" t="e">
        <f>AND(Liste!#REF!,"AAAAAG//6xc=")</f>
        <v>#REF!</v>
      </c>
      <c r="Y15" t="e">
        <f>AND(Liste!#REF!,"AAAAAG//6xg=")</f>
        <v>#REF!</v>
      </c>
      <c r="Z15" t="e">
        <f>AND(Liste!#REF!,"AAAAAG//6xk=")</f>
        <v>#REF!</v>
      </c>
      <c r="AA15" t="e">
        <f>AND(Liste!#REF!,"AAAAAG//6xo=")</f>
        <v>#REF!</v>
      </c>
      <c r="AB15" t="e">
        <f>AND(Liste!#REF!,"AAAAAG//6xs=")</f>
        <v>#REF!</v>
      </c>
      <c r="AC15" t="e">
        <f>AND(Liste!#REF!,"AAAAAG//6xw=")</f>
        <v>#REF!</v>
      </c>
      <c r="AD15" t="e">
        <f>AND(Liste!#REF!,"AAAAAG//6x0=")</f>
        <v>#REF!</v>
      </c>
      <c r="AE15" t="e">
        <f>AND(Liste!#REF!,"AAAAAG//6x4=")</f>
        <v>#REF!</v>
      </c>
      <c r="AF15" t="e">
        <f>AND(Liste!#REF!,"AAAAAG//6x8=")</f>
        <v>#REF!</v>
      </c>
      <c r="AG15" t="e">
        <f>AND(Liste!#REF!,"AAAAAG//6yA=")</f>
        <v>#REF!</v>
      </c>
      <c r="AH15" t="e">
        <f>AND(Liste!#REF!,"AAAAAG//6yE=")</f>
        <v>#REF!</v>
      </c>
      <c r="AI15" t="e">
        <f>AND(Liste!#REF!,"AAAAAG//6yI=")</f>
        <v>#REF!</v>
      </c>
      <c r="AJ15" t="e">
        <f>AND(Liste!#REF!,"AAAAAG//6yM=")</f>
        <v>#REF!</v>
      </c>
      <c r="AK15" t="e">
        <f>AND(Liste!#REF!,"AAAAAG//6yQ=")</f>
        <v>#REF!</v>
      </c>
      <c r="AL15" t="e">
        <f>AND(Liste!#REF!,"AAAAAG//6yU=")</f>
        <v>#REF!</v>
      </c>
      <c r="AM15" t="e">
        <f>AND(Liste!#REF!,"AAAAAG//6yY=")</f>
        <v>#REF!</v>
      </c>
      <c r="AN15" t="e">
        <f>AND(Liste!#REF!,"AAAAAG//6yc=")</f>
        <v>#REF!</v>
      </c>
      <c r="AO15" t="e">
        <f>AND(Liste!#REF!,"AAAAAG//6yg=")</f>
        <v>#REF!</v>
      </c>
      <c r="AP15" t="e">
        <f>AND(Liste!#REF!,"AAAAAG//6yk=")</f>
        <v>#REF!</v>
      </c>
      <c r="AQ15" t="e">
        <f>AND(Liste!#REF!,"AAAAAG//6yo=")</f>
        <v>#REF!</v>
      </c>
      <c r="AR15" t="e">
        <f>IF(Liste!#REF!,"AAAAAG//6ys=",0)</f>
        <v>#REF!</v>
      </c>
      <c r="AS15" t="e">
        <f>AND(Liste!#REF!,"AAAAAG//6yw=")</f>
        <v>#REF!</v>
      </c>
      <c r="AT15" t="e">
        <f>AND(Liste!#REF!,"AAAAAG//6y0=")</f>
        <v>#REF!</v>
      </c>
      <c r="AU15" t="e">
        <f>AND(Liste!#REF!,"AAAAAG//6y4=")</f>
        <v>#REF!</v>
      </c>
      <c r="AV15" t="e">
        <f>AND(Liste!#REF!,"AAAAAG//6y8=")</f>
        <v>#REF!</v>
      </c>
      <c r="AW15" t="e">
        <f>AND(Liste!#REF!,"AAAAAG//6zA=")</f>
        <v>#REF!</v>
      </c>
      <c r="AX15" t="e">
        <f>AND(Liste!#REF!,"AAAAAG//6zE=")</f>
        <v>#REF!</v>
      </c>
      <c r="AY15" t="e">
        <f>AND(Liste!#REF!,"AAAAAG//6zI=")</f>
        <v>#REF!</v>
      </c>
      <c r="AZ15" t="e">
        <f>AND(Liste!#REF!,"AAAAAG//6zM=")</f>
        <v>#REF!</v>
      </c>
      <c r="BA15" t="e">
        <f>AND(Liste!#REF!,"AAAAAG//6zQ=")</f>
        <v>#REF!</v>
      </c>
      <c r="BB15" t="e">
        <f>AND(Liste!#REF!,"AAAAAG//6zU=")</f>
        <v>#REF!</v>
      </c>
      <c r="BC15" t="e">
        <f>AND(Liste!#REF!,"AAAAAG//6zY=")</f>
        <v>#REF!</v>
      </c>
      <c r="BD15" t="e">
        <f>AND(Liste!#REF!,"AAAAAG//6zc=")</f>
        <v>#REF!</v>
      </c>
      <c r="BE15" t="e">
        <f>AND(Liste!#REF!,"AAAAAG//6zg=")</f>
        <v>#REF!</v>
      </c>
      <c r="BF15" t="e">
        <f>AND(Liste!#REF!,"AAAAAG//6zk=")</f>
        <v>#REF!</v>
      </c>
      <c r="BG15" t="e">
        <f>AND(Liste!#REF!,"AAAAAG//6zo=")</f>
        <v>#REF!</v>
      </c>
      <c r="BH15" t="e">
        <f>AND(Liste!#REF!,"AAAAAG//6zs=")</f>
        <v>#REF!</v>
      </c>
      <c r="BI15" t="e">
        <f>AND(Liste!#REF!,"AAAAAG//6zw=")</f>
        <v>#REF!</v>
      </c>
      <c r="BJ15" t="e">
        <f>AND(Liste!#REF!,"AAAAAG//6z0=")</f>
        <v>#REF!</v>
      </c>
      <c r="BK15" t="e">
        <f>AND(Liste!#REF!,"AAAAAG//6z4=")</f>
        <v>#REF!</v>
      </c>
      <c r="BL15" t="e">
        <f>AND(Liste!#REF!,"AAAAAG//6z8=")</f>
        <v>#REF!</v>
      </c>
      <c r="BM15" t="e">
        <f>AND(Liste!#REF!,"AAAAAG//60A=")</f>
        <v>#REF!</v>
      </c>
      <c r="BN15" t="e">
        <f>AND(Liste!#REF!,"AAAAAG//60E=")</f>
        <v>#REF!</v>
      </c>
      <c r="BO15" t="e">
        <f>AND(Liste!#REF!,"AAAAAG//60I=")</f>
        <v>#REF!</v>
      </c>
      <c r="BP15" t="e">
        <f>AND(Liste!#REF!,"AAAAAG//60M=")</f>
        <v>#REF!</v>
      </c>
      <c r="BQ15" t="e">
        <f>AND(Liste!#REF!,"AAAAAG//60Q=")</f>
        <v>#REF!</v>
      </c>
      <c r="BR15" t="e">
        <f>AND(Liste!#REF!,"AAAAAG//60U=")</f>
        <v>#REF!</v>
      </c>
      <c r="BS15" t="e">
        <f>AND(Liste!#REF!,"AAAAAG//60Y=")</f>
        <v>#REF!</v>
      </c>
      <c r="BT15" t="e">
        <f>AND(Liste!#REF!,"AAAAAG//60c=")</f>
        <v>#REF!</v>
      </c>
      <c r="BU15" t="e">
        <f>AND(Liste!#REF!,"AAAAAG//60g=")</f>
        <v>#REF!</v>
      </c>
      <c r="BV15" t="e">
        <f>AND(Liste!#REF!,"AAAAAG//60k=")</f>
        <v>#REF!</v>
      </c>
      <c r="BW15" t="e">
        <f>IF(Liste!#REF!,"AAAAAG//60o=",0)</f>
        <v>#REF!</v>
      </c>
      <c r="BX15" t="e">
        <f>AND(Liste!#REF!,"AAAAAG//60s=")</f>
        <v>#REF!</v>
      </c>
      <c r="BY15" t="e">
        <f>AND(Liste!#REF!,"AAAAAG//60w=")</f>
        <v>#REF!</v>
      </c>
      <c r="BZ15" t="e">
        <f>AND(Liste!#REF!,"AAAAAG//600=")</f>
        <v>#REF!</v>
      </c>
      <c r="CA15" t="e">
        <f>AND(Liste!#REF!,"AAAAAG//604=")</f>
        <v>#REF!</v>
      </c>
      <c r="CB15" t="e">
        <f>AND(Liste!#REF!,"AAAAAG//608=")</f>
        <v>#REF!</v>
      </c>
      <c r="CC15" t="e">
        <f>AND(Liste!#REF!,"AAAAAG//61A=")</f>
        <v>#REF!</v>
      </c>
      <c r="CD15" t="e">
        <f>AND(Liste!#REF!,"AAAAAG//61E=")</f>
        <v>#REF!</v>
      </c>
      <c r="CE15" t="e">
        <f>AND(Liste!#REF!,"AAAAAG//61I=")</f>
        <v>#REF!</v>
      </c>
      <c r="CF15" t="e">
        <f>AND(Liste!#REF!,"AAAAAG//61M=")</f>
        <v>#REF!</v>
      </c>
      <c r="CG15" t="e">
        <f>AND(Liste!#REF!,"AAAAAG//61Q=")</f>
        <v>#REF!</v>
      </c>
      <c r="CH15" t="e">
        <f>AND(Liste!#REF!,"AAAAAG//61U=")</f>
        <v>#REF!</v>
      </c>
      <c r="CI15" t="e">
        <f>AND(Liste!#REF!,"AAAAAG//61Y=")</f>
        <v>#REF!</v>
      </c>
      <c r="CJ15" t="e">
        <f>AND(Liste!#REF!,"AAAAAG//61c=")</f>
        <v>#REF!</v>
      </c>
      <c r="CK15" t="e">
        <f>AND(Liste!#REF!,"AAAAAG//61g=")</f>
        <v>#REF!</v>
      </c>
      <c r="CL15" t="e">
        <f>AND(Liste!#REF!,"AAAAAG//61k=")</f>
        <v>#REF!</v>
      </c>
      <c r="CM15" t="e">
        <f>AND(Liste!#REF!,"AAAAAG//61o=")</f>
        <v>#REF!</v>
      </c>
      <c r="CN15" t="e">
        <f>AND(Liste!#REF!,"AAAAAG//61s=")</f>
        <v>#REF!</v>
      </c>
      <c r="CO15" t="e">
        <f>AND(Liste!#REF!,"AAAAAG//61w=")</f>
        <v>#REF!</v>
      </c>
      <c r="CP15" t="e">
        <f>AND(Liste!#REF!,"AAAAAG//610=")</f>
        <v>#REF!</v>
      </c>
      <c r="CQ15" t="e">
        <f>AND(Liste!#REF!,"AAAAAG//614=")</f>
        <v>#REF!</v>
      </c>
      <c r="CR15" t="e">
        <f>AND(Liste!#REF!,"AAAAAG//618=")</f>
        <v>#REF!</v>
      </c>
      <c r="CS15" t="e">
        <f>AND(Liste!#REF!,"AAAAAG//62A=")</f>
        <v>#REF!</v>
      </c>
      <c r="CT15" t="e">
        <f>AND(Liste!#REF!,"AAAAAG//62E=")</f>
        <v>#REF!</v>
      </c>
      <c r="CU15" t="e">
        <f>AND(Liste!#REF!,"AAAAAG//62I=")</f>
        <v>#REF!</v>
      </c>
      <c r="CV15" t="e">
        <f>AND(Liste!#REF!,"AAAAAG//62M=")</f>
        <v>#REF!</v>
      </c>
      <c r="CW15" t="e">
        <f>AND(Liste!#REF!,"AAAAAG//62Q=")</f>
        <v>#REF!</v>
      </c>
      <c r="CX15" t="e">
        <f>AND(Liste!#REF!,"AAAAAG//62U=")</f>
        <v>#REF!</v>
      </c>
      <c r="CY15" t="e">
        <f>AND(Liste!#REF!,"AAAAAG//62Y=")</f>
        <v>#REF!</v>
      </c>
      <c r="CZ15" t="e">
        <f>AND(Liste!#REF!,"AAAAAG//62c=")</f>
        <v>#REF!</v>
      </c>
      <c r="DA15" t="e">
        <f>AND(Liste!#REF!,"AAAAAG//62g=")</f>
        <v>#REF!</v>
      </c>
      <c r="DB15" t="e">
        <f>IF(Liste!#REF!,"AAAAAG//62k=",0)</f>
        <v>#REF!</v>
      </c>
      <c r="DC15" t="e">
        <f>AND(Liste!#REF!,"AAAAAG//62o=")</f>
        <v>#REF!</v>
      </c>
      <c r="DD15" t="e">
        <f>AND(Liste!#REF!,"AAAAAG//62s=")</f>
        <v>#REF!</v>
      </c>
      <c r="DE15" t="e">
        <f>AND(Liste!#REF!,"AAAAAG//62w=")</f>
        <v>#REF!</v>
      </c>
      <c r="DF15" t="e">
        <f>AND(Liste!#REF!,"AAAAAG//620=")</f>
        <v>#REF!</v>
      </c>
      <c r="DG15" t="e">
        <f>AND(Liste!#REF!,"AAAAAG//624=")</f>
        <v>#REF!</v>
      </c>
      <c r="DH15" t="e">
        <f>AND(Liste!#REF!,"AAAAAG//628=")</f>
        <v>#REF!</v>
      </c>
      <c r="DI15" t="e">
        <f>AND(Liste!#REF!,"AAAAAG//63A=")</f>
        <v>#REF!</v>
      </c>
      <c r="DJ15" t="e">
        <f>AND(Liste!#REF!,"AAAAAG//63E=")</f>
        <v>#REF!</v>
      </c>
      <c r="DK15" t="e">
        <f>AND(Liste!#REF!,"AAAAAG//63I=")</f>
        <v>#REF!</v>
      </c>
      <c r="DL15" t="e">
        <f>AND(Liste!#REF!,"AAAAAG//63M=")</f>
        <v>#REF!</v>
      </c>
      <c r="DM15" t="e">
        <f>AND(Liste!#REF!,"AAAAAG//63Q=")</f>
        <v>#REF!</v>
      </c>
      <c r="DN15" t="e">
        <f>AND(Liste!#REF!,"AAAAAG//63U=")</f>
        <v>#REF!</v>
      </c>
      <c r="DO15" t="e">
        <f>AND(Liste!#REF!,"AAAAAG//63Y=")</f>
        <v>#REF!</v>
      </c>
      <c r="DP15" t="e">
        <f>AND(Liste!#REF!,"AAAAAG//63c=")</f>
        <v>#REF!</v>
      </c>
      <c r="DQ15" t="e">
        <f>AND(Liste!#REF!,"AAAAAG//63g=")</f>
        <v>#REF!</v>
      </c>
      <c r="DR15" t="e">
        <f>AND(Liste!#REF!,"AAAAAG//63k=")</f>
        <v>#REF!</v>
      </c>
      <c r="DS15" t="e">
        <f>AND(Liste!#REF!,"AAAAAG//63o=")</f>
        <v>#REF!</v>
      </c>
      <c r="DT15" t="e">
        <f>AND(Liste!#REF!,"AAAAAG//63s=")</f>
        <v>#REF!</v>
      </c>
      <c r="DU15" t="e">
        <f>AND(Liste!#REF!,"AAAAAG//63w=")</f>
        <v>#REF!</v>
      </c>
      <c r="DV15" t="e">
        <f>AND(Liste!#REF!,"AAAAAG//630=")</f>
        <v>#REF!</v>
      </c>
      <c r="DW15" t="e">
        <f>AND(Liste!#REF!,"AAAAAG//634=")</f>
        <v>#REF!</v>
      </c>
      <c r="DX15" t="e">
        <f>AND(Liste!#REF!,"AAAAAG//638=")</f>
        <v>#REF!</v>
      </c>
      <c r="DY15" t="e">
        <f>AND(Liste!#REF!,"AAAAAG//64A=")</f>
        <v>#REF!</v>
      </c>
      <c r="DZ15" t="e">
        <f>AND(Liste!#REF!,"AAAAAG//64E=")</f>
        <v>#REF!</v>
      </c>
      <c r="EA15" t="e">
        <f>AND(Liste!#REF!,"AAAAAG//64I=")</f>
        <v>#REF!</v>
      </c>
      <c r="EB15" t="e">
        <f>AND(Liste!#REF!,"AAAAAG//64M=")</f>
        <v>#REF!</v>
      </c>
      <c r="EC15" t="e">
        <f>AND(Liste!#REF!,"AAAAAG//64Q=")</f>
        <v>#REF!</v>
      </c>
      <c r="ED15" t="e">
        <f>AND(Liste!#REF!,"AAAAAG//64U=")</f>
        <v>#REF!</v>
      </c>
      <c r="EE15" t="e">
        <f>AND(Liste!#REF!,"AAAAAG//64Y=")</f>
        <v>#REF!</v>
      </c>
      <c r="EF15" t="e">
        <f>AND(Liste!#REF!,"AAAAAG//64c=")</f>
        <v>#REF!</v>
      </c>
      <c r="EG15" t="e">
        <f>IF(Liste!#REF!,"AAAAAG//64g=",0)</f>
        <v>#REF!</v>
      </c>
      <c r="EH15" t="e">
        <f>AND(Liste!#REF!,"AAAAAG//64k=")</f>
        <v>#REF!</v>
      </c>
      <c r="EI15" t="e">
        <f>AND(Liste!#REF!,"AAAAAG//64o=")</f>
        <v>#REF!</v>
      </c>
      <c r="EJ15" t="e">
        <f>AND(Liste!#REF!,"AAAAAG//64s=")</f>
        <v>#REF!</v>
      </c>
      <c r="EK15" t="e">
        <f>AND(Liste!#REF!,"AAAAAG//64w=")</f>
        <v>#REF!</v>
      </c>
      <c r="EL15" t="e">
        <f>AND(Liste!#REF!,"AAAAAG//640=")</f>
        <v>#REF!</v>
      </c>
      <c r="EM15" t="e">
        <f>AND(Liste!#REF!,"AAAAAG//644=")</f>
        <v>#REF!</v>
      </c>
      <c r="EN15" t="e">
        <f>AND(Liste!#REF!,"AAAAAG//648=")</f>
        <v>#REF!</v>
      </c>
      <c r="EO15" t="e">
        <f>AND(Liste!#REF!,"AAAAAG//65A=")</f>
        <v>#REF!</v>
      </c>
      <c r="EP15" t="e">
        <f>AND(Liste!#REF!,"AAAAAG//65E=")</f>
        <v>#REF!</v>
      </c>
      <c r="EQ15" t="e">
        <f>AND(Liste!#REF!,"AAAAAG//65I=")</f>
        <v>#REF!</v>
      </c>
      <c r="ER15" t="e">
        <f>AND(Liste!#REF!,"AAAAAG//65M=")</f>
        <v>#REF!</v>
      </c>
      <c r="ES15" t="e">
        <f>AND(Liste!#REF!,"AAAAAG//65Q=")</f>
        <v>#REF!</v>
      </c>
      <c r="ET15" t="e">
        <f>AND(Liste!#REF!,"AAAAAG//65U=")</f>
        <v>#REF!</v>
      </c>
      <c r="EU15" t="e">
        <f>AND(Liste!#REF!,"AAAAAG//65Y=")</f>
        <v>#REF!</v>
      </c>
      <c r="EV15" t="e">
        <f>AND(Liste!#REF!,"AAAAAG//65c=")</f>
        <v>#REF!</v>
      </c>
      <c r="EW15" t="e">
        <f>AND(Liste!#REF!,"AAAAAG//65g=")</f>
        <v>#REF!</v>
      </c>
      <c r="EX15" t="e">
        <f>AND(Liste!#REF!,"AAAAAG//65k=")</f>
        <v>#REF!</v>
      </c>
      <c r="EY15" t="e">
        <f>AND(Liste!#REF!,"AAAAAG//65o=")</f>
        <v>#REF!</v>
      </c>
      <c r="EZ15" t="e">
        <f>AND(Liste!#REF!,"AAAAAG//65s=")</f>
        <v>#REF!</v>
      </c>
      <c r="FA15" t="e">
        <f>AND(Liste!#REF!,"AAAAAG//65w=")</f>
        <v>#REF!</v>
      </c>
      <c r="FB15" t="e">
        <f>AND(Liste!#REF!,"AAAAAG//650=")</f>
        <v>#REF!</v>
      </c>
      <c r="FC15" t="e">
        <f>AND(Liste!#REF!,"AAAAAG//654=")</f>
        <v>#REF!</v>
      </c>
      <c r="FD15" t="e">
        <f>AND(Liste!#REF!,"AAAAAG//658=")</f>
        <v>#REF!</v>
      </c>
      <c r="FE15" t="e">
        <f>AND(Liste!#REF!,"AAAAAG//66A=")</f>
        <v>#REF!</v>
      </c>
      <c r="FF15" t="e">
        <f>AND(Liste!#REF!,"AAAAAG//66E=")</f>
        <v>#REF!</v>
      </c>
      <c r="FG15" t="e">
        <f>AND(Liste!#REF!,"AAAAAG//66I=")</f>
        <v>#REF!</v>
      </c>
      <c r="FH15" t="e">
        <f>AND(Liste!#REF!,"AAAAAG//66M=")</f>
        <v>#REF!</v>
      </c>
      <c r="FI15" t="e">
        <f>AND(Liste!#REF!,"AAAAAG//66Q=")</f>
        <v>#REF!</v>
      </c>
      <c r="FJ15" t="e">
        <f>AND(Liste!#REF!,"AAAAAG//66U=")</f>
        <v>#REF!</v>
      </c>
      <c r="FK15" t="e">
        <f>AND(Liste!#REF!,"AAAAAG//66Y=")</f>
        <v>#REF!</v>
      </c>
      <c r="FL15" t="e">
        <f>IF(Liste!#REF!,"AAAAAG//66c=",0)</f>
        <v>#REF!</v>
      </c>
      <c r="FM15" t="e">
        <f>AND(Liste!#REF!,"AAAAAG//66g=")</f>
        <v>#REF!</v>
      </c>
      <c r="FN15" t="e">
        <f>AND(Liste!#REF!,"AAAAAG//66k=")</f>
        <v>#REF!</v>
      </c>
      <c r="FO15" t="e">
        <f>AND(Liste!#REF!,"AAAAAG//66o=")</f>
        <v>#REF!</v>
      </c>
      <c r="FP15" t="e">
        <f>AND(Liste!#REF!,"AAAAAG//66s=")</f>
        <v>#REF!</v>
      </c>
      <c r="FQ15" t="e">
        <f>AND(Liste!#REF!,"AAAAAG//66w=")</f>
        <v>#REF!</v>
      </c>
      <c r="FR15" t="e">
        <f>AND(Liste!#REF!,"AAAAAG//660=")</f>
        <v>#REF!</v>
      </c>
      <c r="FS15" t="e">
        <f>AND(Liste!#REF!,"AAAAAG//664=")</f>
        <v>#REF!</v>
      </c>
      <c r="FT15" t="e">
        <f>AND(Liste!#REF!,"AAAAAG//668=")</f>
        <v>#REF!</v>
      </c>
      <c r="FU15" t="e">
        <f>AND(Liste!#REF!,"AAAAAG//67A=")</f>
        <v>#REF!</v>
      </c>
      <c r="FV15" t="e">
        <f>AND(Liste!#REF!,"AAAAAG//67E=")</f>
        <v>#REF!</v>
      </c>
      <c r="FW15" t="e">
        <f>AND(Liste!#REF!,"AAAAAG//67I=")</f>
        <v>#REF!</v>
      </c>
      <c r="FX15" t="e">
        <f>AND(Liste!#REF!,"AAAAAG//67M=")</f>
        <v>#REF!</v>
      </c>
      <c r="FY15" t="e">
        <f>AND(Liste!#REF!,"AAAAAG//67Q=")</f>
        <v>#REF!</v>
      </c>
      <c r="FZ15" t="e">
        <f>AND(Liste!#REF!,"AAAAAG//67U=")</f>
        <v>#REF!</v>
      </c>
      <c r="GA15" t="e">
        <f>AND(Liste!#REF!,"AAAAAG//67Y=")</f>
        <v>#REF!</v>
      </c>
      <c r="GB15" t="e">
        <f>AND(Liste!#REF!,"AAAAAG//67c=")</f>
        <v>#REF!</v>
      </c>
      <c r="GC15" t="e">
        <f>AND(Liste!#REF!,"AAAAAG//67g=")</f>
        <v>#REF!</v>
      </c>
      <c r="GD15" t="e">
        <f>AND(Liste!#REF!,"AAAAAG//67k=")</f>
        <v>#REF!</v>
      </c>
      <c r="GE15" t="e">
        <f>AND(Liste!#REF!,"AAAAAG//67o=")</f>
        <v>#REF!</v>
      </c>
      <c r="GF15" t="e">
        <f>AND(Liste!#REF!,"AAAAAG//67s=")</f>
        <v>#REF!</v>
      </c>
      <c r="GG15" t="e">
        <f>AND(Liste!#REF!,"AAAAAG//67w=")</f>
        <v>#REF!</v>
      </c>
      <c r="GH15" t="e">
        <f>AND(Liste!#REF!,"AAAAAG//670=")</f>
        <v>#REF!</v>
      </c>
      <c r="GI15" t="e">
        <f>AND(Liste!#REF!,"AAAAAG//674=")</f>
        <v>#REF!</v>
      </c>
      <c r="GJ15" t="e">
        <f>AND(Liste!#REF!,"AAAAAG//678=")</f>
        <v>#REF!</v>
      </c>
      <c r="GK15" t="e">
        <f>AND(Liste!#REF!,"AAAAAG//68A=")</f>
        <v>#REF!</v>
      </c>
      <c r="GL15" t="e">
        <f>AND(Liste!#REF!,"AAAAAG//68E=")</f>
        <v>#REF!</v>
      </c>
      <c r="GM15" t="e">
        <f>AND(Liste!#REF!,"AAAAAG//68I=")</f>
        <v>#REF!</v>
      </c>
      <c r="GN15" t="e">
        <f>AND(Liste!#REF!,"AAAAAG//68M=")</f>
        <v>#REF!</v>
      </c>
      <c r="GO15" t="e">
        <f>AND(Liste!#REF!,"AAAAAG//68Q=")</f>
        <v>#REF!</v>
      </c>
      <c r="GP15" t="e">
        <f>AND(Liste!#REF!,"AAAAAG//68U=")</f>
        <v>#REF!</v>
      </c>
      <c r="GQ15" t="e">
        <f>IF(Liste!#REF!,"AAAAAG//68Y=",0)</f>
        <v>#REF!</v>
      </c>
      <c r="GR15" t="e">
        <f>AND(Liste!#REF!,"AAAAAG//68c=")</f>
        <v>#REF!</v>
      </c>
      <c r="GS15" t="e">
        <f>AND(Liste!#REF!,"AAAAAG//68g=")</f>
        <v>#REF!</v>
      </c>
      <c r="GT15" t="e">
        <f>AND(Liste!#REF!,"AAAAAG//68k=")</f>
        <v>#REF!</v>
      </c>
      <c r="GU15" t="e">
        <f>AND(Liste!#REF!,"AAAAAG//68o=")</f>
        <v>#REF!</v>
      </c>
      <c r="GV15" t="e">
        <f>AND(Liste!#REF!,"AAAAAG//68s=")</f>
        <v>#REF!</v>
      </c>
      <c r="GW15" t="e">
        <f>AND(Liste!#REF!,"AAAAAG//68w=")</f>
        <v>#REF!</v>
      </c>
      <c r="GX15" t="e">
        <f>AND(Liste!#REF!,"AAAAAG//680=")</f>
        <v>#REF!</v>
      </c>
      <c r="GY15" t="e">
        <f>AND(Liste!#REF!,"AAAAAG//684=")</f>
        <v>#REF!</v>
      </c>
      <c r="GZ15" t="e">
        <f>AND(Liste!#REF!,"AAAAAG//688=")</f>
        <v>#REF!</v>
      </c>
      <c r="HA15" t="e">
        <f>AND(Liste!#REF!,"AAAAAG//69A=")</f>
        <v>#REF!</v>
      </c>
      <c r="HB15" t="e">
        <f>AND(Liste!#REF!,"AAAAAG//69E=")</f>
        <v>#REF!</v>
      </c>
      <c r="HC15" t="e">
        <f>AND(Liste!#REF!,"AAAAAG//69I=")</f>
        <v>#REF!</v>
      </c>
      <c r="HD15" t="e">
        <f>AND(Liste!#REF!,"AAAAAG//69M=")</f>
        <v>#REF!</v>
      </c>
      <c r="HE15" t="e">
        <f>AND(Liste!#REF!,"AAAAAG//69Q=")</f>
        <v>#REF!</v>
      </c>
      <c r="HF15" t="e">
        <f>AND(Liste!#REF!,"AAAAAG//69U=")</f>
        <v>#REF!</v>
      </c>
      <c r="HG15" t="e">
        <f>AND(Liste!#REF!,"AAAAAG//69Y=")</f>
        <v>#REF!</v>
      </c>
      <c r="HH15" t="e">
        <f>AND(Liste!#REF!,"AAAAAG//69c=")</f>
        <v>#REF!</v>
      </c>
      <c r="HI15" t="e">
        <f>AND(Liste!#REF!,"AAAAAG//69g=")</f>
        <v>#REF!</v>
      </c>
      <c r="HJ15" t="e">
        <f>AND(Liste!#REF!,"AAAAAG//69k=")</f>
        <v>#REF!</v>
      </c>
      <c r="HK15" t="e">
        <f>AND(Liste!#REF!,"AAAAAG//69o=")</f>
        <v>#REF!</v>
      </c>
      <c r="HL15" t="e">
        <f>AND(Liste!#REF!,"AAAAAG//69s=")</f>
        <v>#REF!</v>
      </c>
      <c r="HM15" t="e">
        <f>AND(Liste!#REF!,"AAAAAG//69w=")</f>
        <v>#REF!</v>
      </c>
      <c r="HN15" t="e">
        <f>AND(Liste!#REF!,"AAAAAG//690=")</f>
        <v>#REF!</v>
      </c>
      <c r="HO15" t="e">
        <f>AND(Liste!#REF!,"AAAAAG//694=")</f>
        <v>#REF!</v>
      </c>
      <c r="HP15" t="e">
        <f>AND(Liste!#REF!,"AAAAAG//698=")</f>
        <v>#REF!</v>
      </c>
      <c r="HQ15" t="e">
        <f>AND(Liste!#REF!,"AAAAAG//6+A=")</f>
        <v>#REF!</v>
      </c>
      <c r="HR15" t="e">
        <f>AND(Liste!#REF!,"AAAAAG//6+E=")</f>
        <v>#REF!</v>
      </c>
      <c r="HS15" t="e">
        <f>AND(Liste!#REF!,"AAAAAG//6+I=")</f>
        <v>#REF!</v>
      </c>
      <c r="HT15" t="e">
        <f>AND(Liste!#REF!,"AAAAAG//6+M=")</f>
        <v>#REF!</v>
      </c>
      <c r="HU15" t="e">
        <f>AND(Liste!#REF!,"AAAAAG//6+Q=")</f>
        <v>#REF!</v>
      </c>
      <c r="HV15" t="e">
        <f>IF(Liste!#REF!,"AAAAAG//6+U=",0)</f>
        <v>#REF!</v>
      </c>
      <c r="HW15" t="e">
        <f>AND(Liste!#REF!,"AAAAAG//6+Y=")</f>
        <v>#REF!</v>
      </c>
      <c r="HX15" t="e">
        <f>AND(Liste!#REF!,"AAAAAG//6+c=")</f>
        <v>#REF!</v>
      </c>
      <c r="HY15" t="e">
        <f>AND(Liste!#REF!,"AAAAAG//6+g=")</f>
        <v>#REF!</v>
      </c>
      <c r="HZ15" t="e">
        <f>AND(Liste!#REF!,"AAAAAG//6+k=")</f>
        <v>#REF!</v>
      </c>
      <c r="IA15" t="e">
        <f>AND(Liste!F169,"AAAAAG//6+o=")</f>
        <v>#VALUE!</v>
      </c>
      <c r="IB15" t="e">
        <f>AND(Liste!G169,"AAAAAG//6+s=")</f>
        <v>#VALUE!</v>
      </c>
      <c r="IC15" t="e">
        <f>AND(Liste!H169,"AAAAAG//6+w=")</f>
        <v>#VALUE!</v>
      </c>
      <c r="ID15" t="e">
        <f>AND(Liste!#REF!,"AAAAAG//6+0=")</f>
        <v>#REF!</v>
      </c>
      <c r="IE15" t="e">
        <f>AND(Liste!#REF!,"AAAAAG//6+4=")</f>
        <v>#REF!</v>
      </c>
      <c r="IF15" t="e">
        <f>AND(Liste!#REF!,"AAAAAG//6+8=")</f>
        <v>#REF!</v>
      </c>
      <c r="IG15" t="e">
        <f>AND(Liste!#REF!,"AAAAAG//6/A=")</f>
        <v>#REF!</v>
      </c>
      <c r="IH15" t="e">
        <f>AND(Liste!#REF!,"AAAAAG//6/E=")</f>
        <v>#REF!</v>
      </c>
      <c r="II15" t="e">
        <f>AND(Liste!#REF!,"AAAAAG//6/I=")</f>
        <v>#REF!</v>
      </c>
      <c r="IJ15" t="e">
        <f>AND(Liste!#REF!,"AAAAAG//6/M=")</f>
        <v>#REF!</v>
      </c>
      <c r="IK15" t="e">
        <f>AND(Liste!#REF!,"AAAAAG//6/Q=")</f>
        <v>#REF!</v>
      </c>
      <c r="IL15" t="e">
        <f>AND(Liste!#REF!,"AAAAAG//6/U=")</f>
        <v>#REF!</v>
      </c>
      <c r="IM15" t="e">
        <f>AND(Liste!#REF!,"AAAAAG//6/Y=")</f>
        <v>#REF!</v>
      </c>
      <c r="IN15" t="e">
        <f>AND(Liste!#REF!,"AAAAAG//6/c=")</f>
        <v>#REF!</v>
      </c>
      <c r="IO15" t="e">
        <f>AND(Liste!#REF!,"AAAAAG//6/g=")</f>
        <v>#REF!</v>
      </c>
      <c r="IP15" t="e">
        <f>AND(Liste!#REF!,"AAAAAG//6/k=")</f>
        <v>#REF!</v>
      </c>
      <c r="IQ15" t="e">
        <f>AND(Liste!#REF!,"AAAAAG//6/o=")</f>
        <v>#REF!</v>
      </c>
      <c r="IR15" t="e">
        <f>AND(Liste!#REF!,"AAAAAG//6/s=")</f>
        <v>#REF!</v>
      </c>
      <c r="IS15" t="e">
        <f>AND(Liste!#REF!,"AAAAAG//6/w=")</f>
        <v>#REF!</v>
      </c>
      <c r="IT15" t="e">
        <f>AND(Liste!#REF!,"AAAAAG//6/0=")</f>
        <v>#REF!</v>
      </c>
      <c r="IU15" t="e">
        <f>AND(Liste!#REF!,"AAAAAG//6/4=")</f>
        <v>#REF!</v>
      </c>
      <c r="IV15" t="e">
        <f>AND(Liste!#REF!,"AAAAAG//6/8=")</f>
        <v>#REF!</v>
      </c>
    </row>
    <row r="16" spans="1:256" x14ac:dyDescent="0.2">
      <c r="A16" t="e">
        <f>AND(Liste!#REF!,"AAAAAG5ZdQA=")</f>
        <v>#REF!</v>
      </c>
      <c r="B16" t="e">
        <f>AND(Liste!#REF!,"AAAAAG5ZdQE=")</f>
        <v>#REF!</v>
      </c>
      <c r="C16" t="e">
        <f>AND(Liste!#REF!,"AAAAAG5ZdQI=")</f>
        <v>#REF!</v>
      </c>
      <c r="D16" t="e">
        <f>AND(Liste!#REF!,"AAAAAG5ZdQM=")</f>
        <v>#REF!</v>
      </c>
      <c r="E16">
        <f>IF(Liste!114:114,"AAAAAG5ZdQQ=",0)</f>
        <v>0</v>
      </c>
      <c r="F16" t="e">
        <f>AND(Liste!A114,"AAAAAG5ZdQU=")</f>
        <v>#VALUE!</v>
      </c>
      <c r="G16" t="e">
        <f>AND(Liste!#REF!,"AAAAAG5ZdQY=")</f>
        <v>#REF!</v>
      </c>
      <c r="H16" t="e">
        <f>AND(Liste!#REF!,"AAAAAG5ZdQc=")</f>
        <v>#REF!</v>
      </c>
      <c r="I16" t="e">
        <f>AND(Liste!#REF!,"AAAAAG5ZdQg=")</f>
        <v>#REF!</v>
      </c>
      <c r="J16" t="e">
        <f>AND(Liste!F170,"AAAAAG5ZdQk=")</f>
        <v>#VALUE!</v>
      </c>
      <c r="K16" t="e">
        <f>AND(Liste!G170,"AAAAAG5ZdQo=")</f>
        <v>#VALUE!</v>
      </c>
      <c r="L16" t="e">
        <f>AND(Liste!H170,"AAAAAG5ZdQs=")</f>
        <v>#VALUE!</v>
      </c>
      <c r="M16" t="e">
        <f>AND(Liste!I170,"AAAAAG5ZdQw=")</f>
        <v>#VALUE!</v>
      </c>
      <c r="N16" t="e">
        <f>AND(Liste!J170,"AAAAAG5ZdQ0=")</f>
        <v>#VALUE!</v>
      </c>
      <c r="O16" t="e">
        <f>AND(Liste!#REF!,"AAAAAG5ZdQ4=")</f>
        <v>#REF!</v>
      </c>
      <c r="P16" t="e">
        <f>AND(Liste!#REF!,"AAAAAG5ZdQ8=")</f>
        <v>#REF!</v>
      </c>
      <c r="Q16" t="e">
        <f>AND(Liste!#REF!,"AAAAAG5ZdRA=")</f>
        <v>#REF!</v>
      </c>
      <c r="R16" t="e">
        <f>AND(Liste!#REF!,"AAAAAG5ZdRE=")</f>
        <v>#REF!</v>
      </c>
      <c r="S16" t="e">
        <f>AND(Liste!#REF!,"AAAAAG5ZdRI=")</f>
        <v>#REF!</v>
      </c>
      <c r="T16" t="e">
        <f>AND(Liste!#REF!,"AAAAAG5ZdRM=")</f>
        <v>#REF!</v>
      </c>
      <c r="U16" t="e">
        <f>AND(Liste!#REF!,"AAAAAG5ZdRQ=")</f>
        <v>#REF!</v>
      </c>
      <c r="V16" t="e">
        <f>AND(Liste!#REF!,"AAAAAG5ZdRU=")</f>
        <v>#REF!</v>
      </c>
      <c r="W16" t="e">
        <f>AND(Liste!#REF!,"AAAAAG5ZdRY=")</f>
        <v>#REF!</v>
      </c>
      <c r="X16" t="e">
        <f>AND(Liste!#REF!,"AAAAAG5ZdRc=")</f>
        <v>#REF!</v>
      </c>
      <c r="Y16" t="e">
        <f>AND(Liste!#REF!,"AAAAAG5ZdRg=")</f>
        <v>#REF!</v>
      </c>
      <c r="Z16" t="e">
        <f>AND(Liste!#REF!,"AAAAAG5ZdRk=")</f>
        <v>#REF!</v>
      </c>
      <c r="AA16" t="e">
        <f>AND(Liste!#REF!,"AAAAAG5ZdRo=")</f>
        <v>#REF!</v>
      </c>
      <c r="AB16" t="e">
        <f>AND(Liste!#REF!,"AAAAAG5ZdRs=")</f>
        <v>#REF!</v>
      </c>
      <c r="AC16" t="e">
        <f>AND(Liste!#REF!,"AAAAAG5ZdRw=")</f>
        <v>#REF!</v>
      </c>
      <c r="AD16" t="e">
        <f>AND(Liste!#REF!,"AAAAAG5ZdR0=")</f>
        <v>#REF!</v>
      </c>
      <c r="AE16" t="e">
        <f>AND(Liste!#REF!,"AAAAAG5ZdR4=")</f>
        <v>#REF!</v>
      </c>
      <c r="AF16" t="e">
        <f>AND(Liste!#REF!,"AAAAAG5ZdR8=")</f>
        <v>#REF!</v>
      </c>
      <c r="AG16" t="e">
        <f>AND(Liste!#REF!,"AAAAAG5ZdSA=")</f>
        <v>#REF!</v>
      </c>
      <c r="AH16" t="e">
        <f>AND(Liste!#REF!,"AAAAAG5ZdSE=")</f>
        <v>#REF!</v>
      </c>
      <c r="AI16" t="e">
        <f>AND(Liste!#REF!,"AAAAAG5ZdSI=")</f>
        <v>#REF!</v>
      </c>
      <c r="AJ16">
        <f>IF(Liste!115:115,"AAAAAG5ZdSM=",0)</f>
        <v>0</v>
      </c>
      <c r="AK16" t="b">
        <f>AND(Liste!A115,"AAAAAG5ZdSQ=")</f>
        <v>1</v>
      </c>
      <c r="AL16" t="e">
        <f>AND(Liste!#REF!,"AAAAAG5ZdSU=")</f>
        <v>#REF!</v>
      </c>
      <c r="AM16" t="e">
        <f>AND(Liste!#REF!,"AAAAAG5ZdSY=")</f>
        <v>#REF!</v>
      </c>
      <c r="AN16" t="e">
        <f>AND(Liste!#REF!,"AAAAAG5ZdSc=")</f>
        <v>#REF!</v>
      </c>
      <c r="AO16" t="e">
        <f>AND(Liste!F171,"AAAAAG5ZdSg=")</f>
        <v>#VALUE!</v>
      </c>
      <c r="AP16" t="e">
        <f>AND(Liste!G171,"AAAAAG5ZdSk=")</f>
        <v>#VALUE!</v>
      </c>
      <c r="AQ16" t="e">
        <f>AND(Liste!H171,"AAAAAG5ZdSo=")</f>
        <v>#VALUE!</v>
      </c>
      <c r="AR16" t="e">
        <f>AND(Liste!I171,"AAAAAG5ZdSs=")</f>
        <v>#VALUE!</v>
      </c>
      <c r="AS16" t="e">
        <f>AND(Liste!J171,"AAAAAG5ZdSw=")</f>
        <v>#VALUE!</v>
      </c>
      <c r="AT16" t="e">
        <f>AND(Liste!#REF!,"AAAAAG5ZdS0=")</f>
        <v>#REF!</v>
      </c>
      <c r="AU16" t="e">
        <f>AND(Liste!#REF!,"AAAAAG5ZdS4=")</f>
        <v>#REF!</v>
      </c>
      <c r="AV16" t="e">
        <f>AND(Liste!#REF!,"AAAAAG5ZdS8=")</f>
        <v>#REF!</v>
      </c>
      <c r="AW16" t="e">
        <f>AND(Liste!#REF!,"AAAAAG5ZdTA=")</f>
        <v>#REF!</v>
      </c>
      <c r="AX16" t="e">
        <f>AND(Liste!#REF!,"AAAAAG5ZdTE=")</f>
        <v>#REF!</v>
      </c>
      <c r="AY16" t="e">
        <f>AND(Liste!#REF!,"AAAAAG5ZdTI=")</f>
        <v>#REF!</v>
      </c>
      <c r="AZ16" t="e">
        <f>AND(Liste!#REF!,"AAAAAG5ZdTM=")</f>
        <v>#REF!</v>
      </c>
      <c r="BA16" t="e">
        <f>AND(Liste!#REF!,"AAAAAG5ZdTQ=")</f>
        <v>#REF!</v>
      </c>
      <c r="BB16" t="e">
        <f>AND(Liste!#REF!,"AAAAAG5ZdTU=")</f>
        <v>#REF!</v>
      </c>
      <c r="BC16" t="e">
        <f>AND(Liste!#REF!,"AAAAAG5ZdTY=")</f>
        <v>#REF!</v>
      </c>
      <c r="BD16" t="e">
        <f>AND(Liste!#REF!,"AAAAAG5ZdTc=")</f>
        <v>#REF!</v>
      </c>
      <c r="BE16" t="e">
        <f>AND(Liste!#REF!,"AAAAAG5ZdTg=")</f>
        <v>#REF!</v>
      </c>
      <c r="BF16" t="e">
        <f>AND(Liste!#REF!,"AAAAAG5ZdTk=")</f>
        <v>#REF!</v>
      </c>
      <c r="BG16" t="e">
        <f>AND(Liste!#REF!,"AAAAAG5ZdTo=")</f>
        <v>#REF!</v>
      </c>
      <c r="BH16" t="e">
        <f>AND(Liste!#REF!,"AAAAAG5ZdTs=")</f>
        <v>#REF!</v>
      </c>
      <c r="BI16" t="e">
        <f>AND(Liste!#REF!,"AAAAAG5ZdTw=")</f>
        <v>#REF!</v>
      </c>
      <c r="BJ16" t="e">
        <f>AND(Liste!#REF!,"AAAAAG5ZdT0=")</f>
        <v>#REF!</v>
      </c>
      <c r="BK16" t="e">
        <f>AND(Liste!#REF!,"AAAAAG5ZdT4=")</f>
        <v>#REF!</v>
      </c>
      <c r="BL16" t="e">
        <f>AND(Liste!#REF!,"AAAAAG5ZdT8=")</f>
        <v>#REF!</v>
      </c>
      <c r="BM16" t="e">
        <f>AND(Liste!#REF!,"AAAAAG5ZdUA=")</f>
        <v>#REF!</v>
      </c>
      <c r="BN16" t="e">
        <f>AND(Liste!#REF!,"AAAAAG5ZdUE=")</f>
        <v>#REF!</v>
      </c>
      <c r="BO16">
        <f>IF(Liste!116:116,"AAAAAG5ZdUI=",0)</f>
        <v>0</v>
      </c>
      <c r="BP16" t="b">
        <f>AND(Liste!A116,"AAAAAG5ZdUM=")</f>
        <v>1</v>
      </c>
      <c r="BQ16" t="e">
        <f>AND(Liste!#REF!,"AAAAAG5ZdUQ=")</f>
        <v>#REF!</v>
      </c>
      <c r="BR16" t="e">
        <f>AND(Liste!#REF!,"AAAAAG5ZdUU=")</f>
        <v>#REF!</v>
      </c>
      <c r="BS16" t="e">
        <f>AND(Liste!#REF!,"AAAAAG5ZdUY=")</f>
        <v>#REF!</v>
      </c>
      <c r="BT16" t="e">
        <f>AND(Liste!F172,"AAAAAG5ZdUc=")</f>
        <v>#VALUE!</v>
      </c>
      <c r="BU16" t="e">
        <f>AND(Liste!G172,"AAAAAG5ZdUg=")</f>
        <v>#VALUE!</v>
      </c>
      <c r="BV16" t="e">
        <f>AND(Liste!H172,"AAAAAG5ZdUk=")</f>
        <v>#VALUE!</v>
      </c>
      <c r="BW16" t="e">
        <f>AND(Liste!I172,"AAAAAG5ZdUo=")</f>
        <v>#VALUE!</v>
      </c>
      <c r="BX16" t="e">
        <f>AND(Liste!J172,"AAAAAG5ZdUs=")</f>
        <v>#VALUE!</v>
      </c>
      <c r="BY16" t="e">
        <f>AND(Liste!#REF!,"AAAAAG5ZdUw=")</f>
        <v>#REF!</v>
      </c>
      <c r="BZ16" t="e">
        <f>AND(Liste!#REF!,"AAAAAG5ZdU0=")</f>
        <v>#REF!</v>
      </c>
      <c r="CA16" t="e">
        <f>AND(Liste!#REF!,"AAAAAG5ZdU4=")</f>
        <v>#REF!</v>
      </c>
      <c r="CB16" t="e">
        <f>AND(Liste!#REF!,"AAAAAG5ZdU8=")</f>
        <v>#REF!</v>
      </c>
      <c r="CC16" t="e">
        <f>AND(Liste!#REF!,"AAAAAG5ZdVA=")</f>
        <v>#REF!</v>
      </c>
      <c r="CD16" t="e">
        <f>AND(Liste!#REF!,"AAAAAG5ZdVE=")</f>
        <v>#REF!</v>
      </c>
      <c r="CE16" t="e">
        <f>AND(Liste!#REF!,"AAAAAG5ZdVI=")</f>
        <v>#REF!</v>
      </c>
      <c r="CF16" t="e">
        <f>AND(Liste!#REF!,"AAAAAG5ZdVM=")</f>
        <v>#REF!</v>
      </c>
      <c r="CG16" t="e">
        <f>AND(Liste!#REF!,"AAAAAG5ZdVQ=")</f>
        <v>#REF!</v>
      </c>
      <c r="CH16" t="e">
        <f>AND(Liste!#REF!,"AAAAAG5ZdVU=")</f>
        <v>#REF!</v>
      </c>
      <c r="CI16" t="e">
        <f>AND(Liste!#REF!,"AAAAAG5ZdVY=")</f>
        <v>#REF!</v>
      </c>
      <c r="CJ16" t="e">
        <f>AND(Liste!#REF!,"AAAAAG5ZdVc=")</f>
        <v>#REF!</v>
      </c>
      <c r="CK16" t="e">
        <f>AND(Liste!#REF!,"AAAAAG5ZdVg=")</f>
        <v>#REF!</v>
      </c>
      <c r="CL16" t="e">
        <f>AND(Liste!#REF!,"AAAAAG5ZdVk=")</f>
        <v>#REF!</v>
      </c>
      <c r="CM16" t="e">
        <f>AND(Liste!#REF!,"AAAAAG5ZdVo=")</f>
        <v>#REF!</v>
      </c>
      <c r="CN16" t="e">
        <f>AND(Liste!#REF!,"AAAAAG5ZdVs=")</f>
        <v>#REF!</v>
      </c>
      <c r="CO16" t="e">
        <f>AND(Liste!#REF!,"AAAAAG5ZdVw=")</f>
        <v>#REF!</v>
      </c>
      <c r="CP16" t="e">
        <f>AND(Liste!#REF!,"AAAAAG5ZdV0=")</f>
        <v>#REF!</v>
      </c>
      <c r="CQ16" t="e">
        <f>AND(Liste!#REF!,"AAAAAG5ZdV4=")</f>
        <v>#REF!</v>
      </c>
      <c r="CR16" t="e">
        <f>AND(Liste!#REF!,"AAAAAG5ZdV8=")</f>
        <v>#REF!</v>
      </c>
      <c r="CS16" t="e">
        <f>AND(Liste!#REF!,"AAAAAG5ZdWA=")</f>
        <v>#REF!</v>
      </c>
      <c r="CT16">
        <f>IF(Liste!117:117,"AAAAAG5ZdWE=",0)</f>
        <v>0</v>
      </c>
      <c r="CU16" t="b">
        <f>AND(Liste!A117,"AAAAAG5ZdWI=")</f>
        <v>1</v>
      </c>
      <c r="CV16" t="e">
        <f>AND(Liste!#REF!,"AAAAAG5ZdWM=")</f>
        <v>#REF!</v>
      </c>
      <c r="CW16" t="e">
        <f>AND(Liste!#REF!,"AAAAAG5ZdWQ=")</f>
        <v>#REF!</v>
      </c>
      <c r="CX16" t="e">
        <f>AND(Liste!#REF!,"AAAAAG5ZdWU=")</f>
        <v>#REF!</v>
      </c>
      <c r="CY16" t="e">
        <f>AND(Liste!F173,"AAAAAG5ZdWY=")</f>
        <v>#VALUE!</v>
      </c>
      <c r="CZ16" t="e">
        <f>AND(Liste!G173,"AAAAAG5ZdWc=")</f>
        <v>#VALUE!</v>
      </c>
      <c r="DA16" t="e">
        <f>AND(Liste!H173,"AAAAAG5ZdWg=")</f>
        <v>#VALUE!</v>
      </c>
      <c r="DB16" t="e">
        <f>AND(Liste!I173,"AAAAAG5ZdWk=")</f>
        <v>#VALUE!</v>
      </c>
      <c r="DC16" t="e">
        <f>AND(Liste!J173,"AAAAAG5ZdWo=")</f>
        <v>#VALUE!</v>
      </c>
      <c r="DD16" t="e">
        <f>AND(Liste!#REF!,"AAAAAG5ZdWs=")</f>
        <v>#REF!</v>
      </c>
      <c r="DE16" t="e">
        <f>AND(Liste!#REF!,"AAAAAG5ZdWw=")</f>
        <v>#REF!</v>
      </c>
      <c r="DF16" t="e">
        <f>AND(Liste!#REF!,"AAAAAG5ZdW0=")</f>
        <v>#REF!</v>
      </c>
      <c r="DG16" t="e">
        <f>AND(Liste!#REF!,"AAAAAG5ZdW4=")</f>
        <v>#REF!</v>
      </c>
      <c r="DH16" t="e">
        <f>AND(Liste!#REF!,"AAAAAG5ZdW8=")</f>
        <v>#REF!</v>
      </c>
      <c r="DI16" t="e">
        <f>AND(Liste!#REF!,"AAAAAG5ZdXA=")</f>
        <v>#REF!</v>
      </c>
      <c r="DJ16" t="e">
        <f>AND(Liste!#REF!,"AAAAAG5ZdXE=")</f>
        <v>#REF!</v>
      </c>
      <c r="DK16" t="e">
        <f>AND(Liste!#REF!,"AAAAAG5ZdXI=")</f>
        <v>#REF!</v>
      </c>
      <c r="DL16" t="e">
        <f>AND(Liste!#REF!,"AAAAAG5ZdXM=")</f>
        <v>#REF!</v>
      </c>
      <c r="DM16" t="e">
        <f>AND(Liste!#REF!,"AAAAAG5ZdXQ=")</f>
        <v>#REF!</v>
      </c>
      <c r="DN16" t="e">
        <f>AND(Liste!#REF!,"AAAAAG5ZdXU=")</f>
        <v>#REF!</v>
      </c>
      <c r="DO16" t="e">
        <f>AND(Liste!#REF!,"AAAAAG5ZdXY=")</f>
        <v>#REF!</v>
      </c>
      <c r="DP16" t="e">
        <f>AND(Liste!#REF!,"AAAAAG5ZdXc=")</f>
        <v>#REF!</v>
      </c>
      <c r="DQ16" t="e">
        <f>AND(Liste!#REF!,"AAAAAG5ZdXg=")</f>
        <v>#REF!</v>
      </c>
      <c r="DR16" t="e">
        <f>AND(Liste!#REF!,"AAAAAG5ZdXk=")</f>
        <v>#REF!</v>
      </c>
      <c r="DS16" t="e">
        <f>AND(Liste!#REF!,"AAAAAG5ZdXo=")</f>
        <v>#REF!</v>
      </c>
      <c r="DT16" t="e">
        <f>AND(Liste!#REF!,"AAAAAG5ZdXs=")</f>
        <v>#REF!</v>
      </c>
      <c r="DU16" t="e">
        <f>AND(Liste!#REF!,"AAAAAG5ZdXw=")</f>
        <v>#REF!</v>
      </c>
      <c r="DV16" t="e">
        <f>AND(Liste!#REF!,"AAAAAG5ZdX0=")</f>
        <v>#REF!</v>
      </c>
      <c r="DW16" t="e">
        <f>AND(Liste!#REF!,"AAAAAG5ZdX4=")</f>
        <v>#REF!</v>
      </c>
      <c r="DX16" t="e">
        <f>AND(Liste!#REF!,"AAAAAG5ZdX8=")</f>
        <v>#REF!</v>
      </c>
      <c r="DY16">
        <f>IF(Liste!118:118,"AAAAAG5ZdYA=",0)</f>
        <v>0</v>
      </c>
      <c r="DZ16" t="b">
        <f>AND(Liste!A118,"AAAAAG5ZdYE=")</f>
        <v>1</v>
      </c>
      <c r="EA16" t="e">
        <f>AND(Liste!#REF!,"AAAAAG5ZdYI=")</f>
        <v>#REF!</v>
      </c>
      <c r="EB16" t="e">
        <f>AND(Liste!#REF!,"AAAAAG5ZdYM=")</f>
        <v>#REF!</v>
      </c>
      <c r="EC16" t="e">
        <f>AND(Liste!#REF!,"AAAAAG5ZdYQ=")</f>
        <v>#REF!</v>
      </c>
      <c r="ED16" t="e">
        <f>AND(Liste!F174,"AAAAAG5ZdYU=")</f>
        <v>#VALUE!</v>
      </c>
      <c r="EE16" t="e">
        <f>AND(Liste!G174,"AAAAAG5ZdYY=")</f>
        <v>#VALUE!</v>
      </c>
      <c r="EF16" t="e">
        <f>AND(Liste!H174,"AAAAAG5ZdYc=")</f>
        <v>#VALUE!</v>
      </c>
      <c r="EG16" t="e">
        <f>AND(Liste!I174,"AAAAAG5ZdYg=")</f>
        <v>#VALUE!</v>
      </c>
      <c r="EH16" t="e">
        <f>AND(Liste!J174,"AAAAAG5ZdYk=")</f>
        <v>#VALUE!</v>
      </c>
      <c r="EI16" t="e">
        <f>AND(Liste!#REF!,"AAAAAG5ZdYo=")</f>
        <v>#REF!</v>
      </c>
      <c r="EJ16" t="e">
        <f>AND(Liste!#REF!,"AAAAAG5ZdYs=")</f>
        <v>#REF!</v>
      </c>
      <c r="EK16" t="e">
        <f>AND(Liste!#REF!,"AAAAAG5ZdYw=")</f>
        <v>#REF!</v>
      </c>
      <c r="EL16" t="e">
        <f>AND(Liste!#REF!,"AAAAAG5ZdY0=")</f>
        <v>#REF!</v>
      </c>
      <c r="EM16" t="e">
        <f>AND(Liste!#REF!,"AAAAAG5ZdY4=")</f>
        <v>#REF!</v>
      </c>
      <c r="EN16" t="e">
        <f>AND(Liste!#REF!,"AAAAAG5ZdY8=")</f>
        <v>#REF!</v>
      </c>
      <c r="EO16" t="e">
        <f>AND(Liste!#REF!,"AAAAAG5ZdZA=")</f>
        <v>#REF!</v>
      </c>
      <c r="EP16" t="e">
        <f>AND(Liste!#REF!,"AAAAAG5ZdZE=")</f>
        <v>#REF!</v>
      </c>
      <c r="EQ16" t="e">
        <f>AND(Liste!#REF!,"AAAAAG5ZdZI=")</f>
        <v>#REF!</v>
      </c>
      <c r="ER16" t="e">
        <f>AND(Liste!#REF!,"AAAAAG5ZdZM=")</f>
        <v>#REF!</v>
      </c>
      <c r="ES16" t="e">
        <f>AND(Liste!#REF!,"AAAAAG5ZdZQ=")</f>
        <v>#REF!</v>
      </c>
      <c r="ET16" t="e">
        <f>AND(Liste!#REF!,"AAAAAG5ZdZU=")</f>
        <v>#REF!</v>
      </c>
      <c r="EU16" t="e">
        <f>AND(Liste!#REF!,"AAAAAG5ZdZY=")</f>
        <v>#REF!</v>
      </c>
      <c r="EV16" t="e">
        <f>AND(Liste!#REF!,"AAAAAG5ZdZc=")</f>
        <v>#REF!</v>
      </c>
      <c r="EW16" t="e">
        <f>AND(Liste!#REF!,"AAAAAG5ZdZg=")</f>
        <v>#REF!</v>
      </c>
      <c r="EX16" t="e">
        <f>AND(Liste!#REF!,"AAAAAG5ZdZk=")</f>
        <v>#REF!</v>
      </c>
      <c r="EY16" t="e">
        <f>AND(Liste!#REF!,"AAAAAG5ZdZo=")</f>
        <v>#REF!</v>
      </c>
      <c r="EZ16" t="e">
        <f>AND(Liste!#REF!,"AAAAAG5ZdZs=")</f>
        <v>#REF!</v>
      </c>
      <c r="FA16" t="e">
        <f>AND(Liste!#REF!,"AAAAAG5ZdZw=")</f>
        <v>#REF!</v>
      </c>
      <c r="FB16" t="e">
        <f>AND(Liste!#REF!,"AAAAAG5ZdZ0=")</f>
        <v>#REF!</v>
      </c>
      <c r="FC16" t="e">
        <f>AND(Liste!#REF!,"AAAAAG5ZdZ4=")</f>
        <v>#REF!</v>
      </c>
      <c r="FD16">
        <f>IF(Liste!119:119,"AAAAAG5ZdZ8=",0)</f>
        <v>0</v>
      </c>
      <c r="FE16" t="b">
        <f>AND(Liste!A119,"AAAAAG5ZdaA=")</f>
        <v>1</v>
      </c>
      <c r="FF16" t="e">
        <f>AND(Liste!#REF!,"AAAAAG5ZdaE=")</f>
        <v>#REF!</v>
      </c>
      <c r="FG16" t="e">
        <f>AND(Liste!#REF!,"AAAAAG5ZdaI=")</f>
        <v>#REF!</v>
      </c>
      <c r="FH16" t="e">
        <f>AND(Liste!#REF!,"AAAAAG5ZdaM=")</f>
        <v>#REF!</v>
      </c>
      <c r="FI16" t="e">
        <f>AND(Liste!F175,"AAAAAG5ZdaQ=")</f>
        <v>#VALUE!</v>
      </c>
      <c r="FJ16" t="e">
        <f>AND(Liste!G175,"AAAAAG5ZdaU=")</f>
        <v>#VALUE!</v>
      </c>
      <c r="FK16" t="e">
        <f>AND(Liste!H175,"AAAAAG5ZdaY=")</f>
        <v>#VALUE!</v>
      </c>
      <c r="FL16" t="e">
        <f>AND(Liste!I175,"AAAAAG5Zdac=")</f>
        <v>#VALUE!</v>
      </c>
      <c r="FM16" t="e">
        <f>AND(Liste!J175,"AAAAAG5Zdag=")</f>
        <v>#VALUE!</v>
      </c>
      <c r="FN16" t="e">
        <f>AND(Liste!#REF!,"AAAAAG5Zdak=")</f>
        <v>#REF!</v>
      </c>
      <c r="FO16" t="e">
        <f>AND(Liste!#REF!,"AAAAAG5Zdao=")</f>
        <v>#REF!</v>
      </c>
      <c r="FP16" t="e">
        <f>AND(Liste!#REF!,"AAAAAG5Zdas=")</f>
        <v>#REF!</v>
      </c>
      <c r="FQ16" t="e">
        <f>AND(Liste!#REF!,"AAAAAG5Zdaw=")</f>
        <v>#REF!</v>
      </c>
      <c r="FR16" t="e">
        <f>AND(Liste!#REF!,"AAAAAG5Zda0=")</f>
        <v>#REF!</v>
      </c>
      <c r="FS16" t="e">
        <f>AND(Liste!#REF!,"AAAAAG5Zda4=")</f>
        <v>#REF!</v>
      </c>
      <c r="FT16" t="e">
        <f>AND(Liste!#REF!,"AAAAAG5Zda8=")</f>
        <v>#REF!</v>
      </c>
      <c r="FU16" t="e">
        <f>AND(Liste!#REF!,"AAAAAG5ZdbA=")</f>
        <v>#REF!</v>
      </c>
      <c r="FV16" t="e">
        <f>AND(Liste!#REF!,"AAAAAG5ZdbE=")</f>
        <v>#REF!</v>
      </c>
      <c r="FW16" t="e">
        <f>AND(Liste!#REF!,"AAAAAG5ZdbI=")</f>
        <v>#REF!</v>
      </c>
      <c r="FX16" t="e">
        <f>AND(Liste!#REF!,"AAAAAG5ZdbM=")</f>
        <v>#REF!</v>
      </c>
      <c r="FY16" t="e">
        <f>AND(Liste!#REF!,"AAAAAG5ZdbQ=")</f>
        <v>#REF!</v>
      </c>
      <c r="FZ16" t="e">
        <f>AND(Liste!#REF!,"AAAAAG5ZdbU=")</f>
        <v>#REF!</v>
      </c>
      <c r="GA16" t="e">
        <f>AND(Liste!#REF!,"AAAAAG5ZdbY=")</f>
        <v>#REF!</v>
      </c>
      <c r="GB16" t="e">
        <f>AND(Liste!#REF!,"AAAAAG5Zdbc=")</f>
        <v>#REF!</v>
      </c>
      <c r="GC16" t="e">
        <f>AND(Liste!#REF!,"AAAAAG5Zdbg=")</f>
        <v>#REF!</v>
      </c>
      <c r="GD16" t="e">
        <f>AND(Liste!#REF!,"AAAAAG5Zdbk=")</f>
        <v>#REF!</v>
      </c>
      <c r="GE16" t="e">
        <f>AND(Liste!#REF!,"AAAAAG5Zdbo=")</f>
        <v>#REF!</v>
      </c>
      <c r="GF16" t="e">
        <f>AND(Liste!#REF!,"AAAAAG5Zdbs=")</f>
        <v>#REF!</v>
      </c>
      <c r="GG16" t="e">
        <f>AND(Liste!#REF!,"AAAAAG5Zdbw=")</f>
        <v>#REF!</v>
      </c>
      <c r="GH16" t="e">
        <f>AND(Liste!#REF!,"AAAAAG5Zdb0=")</f>
        <v>#REF!</v>
      </c>
      <c r="GI16">
        <f>IF(Liste!120:120,"AAAAAG5Zdb4=",0)</f>
        <v>0</v>
      </c>
      <c r="GJ16" t="b">
        <f>AND(Liste!A120,"AAAAAG5Zdb8=")</f>
        <v>1</v>
      </c>
      <c r="GK16" t="e">
        <f>AND(Liste!#REF!,"AAAAAG5ZdcA=")</f>
        <v>#REF!</v>
      </c>
      <c r="GL16" t="e">
        <f>AND(Liste!#REF!,"AAAAAG5ZdcE=")</f>
        <v>#REF!</v>
      </c>
      <c r="GM16" t="e">
        <f>AND(Liste!#REF!,"AAAAAG5ZdcI=")</f>
        <v>#REF!</v>
      </c>
      <c r="GN16" t="e">
        <f>AND(Liste!F176,"AAAAAG5ZdcM=")</f>
        <v>#VALUE!</v>
      </c>
      <c r="GO16" t="e">
        <f>AND(Liste!G176,"AAAAAG5ZdcQ=")</f>
        <v>#VALUE!</v>
      </c>
      <c r="GP16" t="e">
        <f>AND(Liste!H176,"AAAAAG5ZdcU=")</f>
        <v>#VALUE!</v>
      </c>
      <c r="GQ16" t="e">
        <f>AND(Liste!I176,"AAAAAG5ZdcY=")</f>
        <v>#VALUE!</v>
      </c>
      <c r="GR16" t="e">
        <f>AND(Liste!J176,"AAAAAG5Zdcc=")</f>
        <v>#VALUE!</v>
      </c>
      <c r="GS16" t="e">
        <f>AND(Liste!#REF!,"AAAAAG5Zdcg=")</f>
        <v>#REF!</v>
      </c>
      <c r="GT16" t="e">
        <f>AND(Liste!#REF!,"AAAAAG5Zdck=")</f>
        <v>#REF!</v>
      </c>
      <c r="GU16" t="e">
        <f>AND(Liste!#REF!,"AAAAAG5Zdco=")</f>
        <v>#REF!</v>
      </c>
      <c r="GV16" t="e">
        <f>AND(Liste!#REF!,"AAAAAG5Zdcs=")</f>
        <v>#REF!</v>
      </c>
      <c r="GW16" t="e">
        <f>AND(Liste!#REF!,"AAAAAG5Zdcw=")</f>
        <v>#REF!</v>
      </c>
      <c r="GX16" t="e">
        <f>AND(Liste!#REF!,"AAAAAG5Zdc0=")</f>
        <v>#REF!</v>
      </c>
      <c r="GY16" t="e">
        <f>AND(Liste!#REF!,"AAAAAG5Zdc4=")</f>
        <v>#REF!</v>
      </c>
      <c r="GZ16" t="e">
        <f>AND(Liste!#REF!,"AAAAAG5Zdc8=")</f>
        <v>#REF!</v>
      </c>
      <c r="HA16" t="e">
        <f>AND(Liste!#REF!,"AAAAAG5ZddA=")</f>
        <v>#REF!</v>
      </c>
      <c r="HB16" t="e">
        <f>AND(Liste!#REF!,"AAAAAG5ZddE=")</f>
        <v>#REF!</v>
      </c>
      <c r="HC16" t="e">
        <f>AND(Liste!#REF!,"AAAAAG5ZddI=")</f>
        <v>#REF!</v>
      </c>
      <c r="HD16" t="e">
        <f>AND(Liste!#REF!,"AAAAAG5ZddM=")</f>
        <v>#REF!</v>
      </c>
      <c r="HE16" t="e">
        <f>AND(Liste!#REF!,"AAAAAG5ZddQ=")</f>
        <v>#REF!</v>
      </c>
      <c r="HF16" t="e">
        <f>AND(Liste!#REF!,"AAAAAG5ZddU=")</f>
        <v>#REF!</v>
      </c>
      <c r="HG16" t="e">
        <f>AND(Liste!#REF!,"AAAAAG5ZddY=")</f>
        <v>#REF!</v>
      </c>
      <c r="HH16" t="e">
        <f>AND(Liste!#REF!,"AAAAAG5Zddc=")</f>
        <v>#REF!</v>
      </c>
      <c r="HI16" t="e">
        <f>AND(Liste!#REF!,"AAAAAG5Zddg=")</f>
        <v>#REF!</v>
      </c>
      <c r="HJ16" t="e">
        <f>AND(Liste!#REF!,"AAAAAG5Zddk=")</f>
        <v>#REF!</v>
      </c>
      <c r="HK16" t="e">
        <f>AND(Liste!#REF!,"AAAAAG5Zddo=")</f>
        <v>#REF!</v>
      </c>
      <c r="HL16" t="e">
        <f>AND(Liste!#REF!,"AAAAAG5Zdds=")</f>
        <v>#REF!</v>
      </c>
      <c r="HM16" t="e">
        <f>AND(Liste!#REF!,"AAAAAG5Zddw=")</f>
        <v>#REF!</v>
      </c>
      <c r="HN16">
        <f>IF(Liste!121:121,"AAAAAG5Zdd0=",0)</f>
        <v>0</v>
      </c>
      <c r="HO16" t="b">
        <f>AND(Liste!A121,"AAAAAG5Zdd4=")</f>
        <v>1</v>
      </c>
      <c r="HP16" t="e">
        <f>AND(Liste!#REF!,"AAAAAG5Zdd8=")</f>
        <v>#REF!</v>
      </c>
      <c r="HQ16" t="e">
        <f>AND(Liste!#REF!,"AAAAAG5ZdeA=")</f>
        <v>#REF!</v>
      </c>
      <c r="HR16" t="e">
        <f>AND(Liste!#REF!,"AAAAAG5ZdeE=")</f>
        <v>#REF!</v>
      </c>
      <c r="HS16" t="e">
        <f>AND(Liste!F187,"AAAAAG5ZdeI=")</f>
        <v>#VALUE!</v>
      </c>
      <c r="HT16" t="e">
        <f>AND(Liste!G187,"AAAAAG5ZdeM=")</f>
        <v>#VALUE!</v>
      </c>
      <c r="HU16" t="e">
        <f>AND(Liste!H187,"AAAAAG5ZdeQ=")</f>
        <v>#VALUE!</v>
      </c>
      <c r="HV16" t="e">
        <f>AND(Liste!I187,"AAAAAG5ZdeU=")</f>
        <v>#VALUE!</v>
      </c>
      <c r="HW16" t="e">
        <f>AND(Liste!J187,"AAAAAG5ZdeY=")</f>
        <v>#VALUE!</v>
      </c>
      <c r="HX16" t="e">
        <f>AND(Liste!#REF!,"AAAAAG5Zdec=")</f>
        <v>#REF!</v>
      </c>
      <c r="HY16" t="e">
        <f>AND(Liste!#REF!,"AAAAAG5Zdeg=")</f>
        <v>#REF!</v>
      </c>
      <c r="HZ16" t="e">
        <f>AND(Liste!#REF!,"AAAAAG5Zdek=")</f>
        <v>#REF!</v>
      </c>
      <c r="IA16" t="e">
        <f>AND(Liste!#REF!,"AAAAAG5Zdeo=")</f>
        <v>#REF!</v>
      </c>
      <c r="IB16" t="e">
        <f>AND(Liste!#REF!,"AAAAAG5Zdes=")</f>
        <v>#REF!</v>
      </c>
      <c r="IC16" t="e">
        <f>AND(Liste!#REF!,"AAAAAG5Zdew=")</f>
        <v>#REF!</v>
      </c>
      <c r="ID16" t="e">
        <f>AND(Liste!#REF!,"AAAAAG5Zde0=")</f>
        <v>#REF!</v>
      </c>
      <c r="IE16" t="e">
        <f>AND(Liste!#REF!,"AAAAAG5Zde4=")</f>
        <v>#REF!</v>
      </c>
      <c r="IF16" t="e">
        <f>AND(Liste!#REF!,"AAAAAG5Zde8=")</f>
        <v>#REF!</v>
      </c>
      <c r="IG16" t="e">
        <f>AND(Liste!#REF!,"AAAAAG5ZdfA=")</f>
        <v>#REF!</v>
      </c>
      <c r="IH16" t="e">
        <f>AND(Liste!#REF!,"AAAAAG5ZdfE=")</f>
        <v>#REF!</v>
      </c>
      <c r="II16" t="e">
        <f>AND(Liste!#REF!,"AAAAAG5ZdfI=")</f>
        <v>#REF!</v>
      </c>
      <c r="IJ16" t="e">
        <f>AND(Liste!#REF!,"AAAAAG5ZdfM=")</f>
        <v>#REF!</v>
      </c>
      <c r="IK16" t="e">
        <f>AND(Liste!#REF!,"AAAAAG5ZdfQ=")</f>
        <v>#REF!</v>
      </c>
      <c r="IL16" t="e">
        <f>AND(Liste!#REF!,"AAAAAG5ZdfU=")</f>
        <v>#REF!</v>
      </c>
      <c r="IM16" t="e">
        <f>AND(Liste!#REF!,"AAAAAG5ZdfY=")</f>
        <v>#REF!</v>
      </c>
      <c r="IN16" t="e">
        <f>AND(Liste!#REF!,"AAAAAG5Zdfc=")</f>
        <v>#REF!</v>
      </c>
      <c r="IO16" t="e">
        <f>AND(Liste!#REF!,"AAAAAG5Zdfg=")</f>
        <v>#REF!</v>
      </c>
      <c r="IP16" t="e">
        <f>AND(Liste!#REF!,"AAAAAG5Zdfk=")</f>
        <v>#REF!</v>
      </c>
      <c r="IQ16" t="e">
        <f>AND(Liste!#REF!,"AAAAAG5Zdfo=")</f>
        <v>#REF!</v>
      </c>
      <c r="IR16" t="e">
        <f>AND(Liste!#REF!,"AAAAAG5Zdfs=")</f>
        <v>#REF!</v>
      </c>
      <c r="IS16">
        <f>IF(Liste!132:132,"AAAAAG5Zdfw=",0)</f>
        <v>0</v>
      </c>
      <c r="IT16" t="b">
        <f>AND(Liste!A132,"AAAAAG5Zdf0=")</f>
        <v>1</v>
      </c>
      <c r="IU16" t="e">
        <f>AND(Liste!#REF!,"AAAAAG5Zdf4=")</f>
        <v>#REF!</v>
      </c>
      <c r="IV16" t="e">
        <f>AND(Liste!#REF!,"AAAAAG5Zdf8=")</f>
        <v>#REF!</v>
      </c>
    </row>
    <row r="17" spans="1:256" x14ac:dyDescent="0.2">
      <c r="A17" t="e">
        <f>AND(Liste!#REF!,"AAAAAD//rQA=")</f>
        <v>#REF!</v>
      </c>
      <c r="B17" t="e">
        <f>AND(Liste!F188,"AAAAAD//rQE=")</f>
        <v>#VALUE!</v>
      </c>
      <c r="C17" t="e">
        <f>AND(Liste!G188,"AAAAAD//rQI=")</f>
        <v>#VALUE!</v>
      </c>
      <c r="D17" t="e">
        <f>AND(Liste!H188,"AAAAAD//rQM=")</f>
        <v>#VALUE!</v>
      </c>
      <c r="E17" t="e">
        <f>AND(Liste!I188,"AAAAAD//rQQ=")</f>
        <v>#VALUE!</v>
      </c>
      <c r="F17" t="e">
        <f>AND(Liste!J188,"AAAAAD//rQU=")</f>
        <v>#VALUE!</v>
      </c>
      <c r="G17" t="e">
        <f>AND(Liste!#REF!,"AAAAAD//rQY=")</f>
        <v>#REF!</v>
      </c>
      <c r="H17" t="e">
        <f>AND(Liste!#REF!,"AAAAAD//rQc=")</f>
        <v>#REF!</v>
      </c>
      <c r="I17" t="e">
        <f>AND(Liste!#REF!,"AAAAAD//rQg=")</f>
        <v>#REF!</v>
      </c>
      <c r="J17" t="e">
        <f>AND(Liste!#REF!,"AAAAAD//rQk=")</f>
        <v>#REF!</v>
      </c>
      <c r="K17" t="e">
        <f>AND(Liste!#REF!,"AAAAAD//rQo=")</f>
        <v>#REF!</v>
      </c>
      <c r="L17" t="e">
        <f>AND(Liste!#REF!,"AAAAAD//rQs=")</f>
        <v>#REF!</v>
      </c>
      <c r="M17" t="e">
        <f>AND(Liste!#REF!,"AAAAAD//rQw=")</f>
        <v>#REF!</v>
      </c>
      <c r="N17" t="e">
        <f>AND(Liste!#REF!,"AAAAAD//rQ0=")</f>
        <v>#REF!</v>
      </c>
      <c r="O17" t="e">
        <f>AND(Liste!#REF!,"AAAAAD//rQ4=")</f>
        <v>#REF!</v>
      </c>
      <c r="P17" t="e">
        <f>AND(Liste!#REF!,"AAAAAD//rQ8=")</f>
        <v>#REF!</v>
      </c>
      <c r="Q17" t="e">
        <f>AND(Liste!#REF!,"AAAAAD//rRA=")</f>
        <v>#REF!</v>
      </c>
      <c r="R17" t="e">
        <f>AND(Liste!#REF!,"AAAAAD//rRE=")</f>
        <v>#REF!</v>
      </c>
      <c r="S17" t="e">
        <f>AND(Liste!#REF!,"AAAAAD//rRI=")</f>
        <v>#REF!</v>
      </c>
      <c r="T17" t="e">
        <f>AND(Liste!#REF!,"AAAAAD//rRM=")</f>
        <v>#REF!</v>
      </c>
      <c r="U17" t="e">
        <f>AND(Liste!#REF!,"AAAAAD//rRQ=")</f>
        <v>#REF!</v>
      </c>
      <c r="V17" t="e">
        <f>AND(Liste!#REF!,"AAAAAD//rRU=")</f>
        <v>#REF!</v>
      </c>
      <c r="W17" t="e">
        <f>AND(Liste!#REF!,"AAAAAD//rRY=")</f>
        <v>#REF!</v>
      </c>
      <c r="X17" t="e">
        <f>AND(Liste!#REF!,"AAAAAD//rRc=")</f>
        <v>#REF!</v>
      </c>
      <c r="Y17" t="e">
        <f>AND(Liste!#REF!,"AAAAAD//rRg=")</f>
        <v>#REF!</v>
      </c>
      <c r="Z17" t="e">
        <f>AND(Liste!#REF!,"AAAAAD//rRk=")</f>
        <v>#REF!</v>
      </c>
      <c r="AA17" t="e">
        <f>AND(Liste!#REF!,"AAAAAD//rRo=")</f>
        <v>#REF!</v>
      </c>
      <c r="AB17">
        <f>IF(Liste!133:133,"AAAAAD//rRs=",0)</f>
        <v>0</v>
      </c>
      <c r="AC17" t="b">
        <f>AND(Liste!A133,"AAAAAD//rRw=")</f>
        <v>1</v>
      </c>
      <c r="AD17" t="e">
        <f>AND(Liste!#REF!,"AAAAAD//rR0=")</f>
        <v>#REF!</v>
      </c>
      <c r="AE17" t="e">
        <f>AND(Liste!#REF!,"AAAAAD//rR4=")</f>
        <v>#REF!</v>
      </c>
      <c r="AF17" t="e">
        <f>AND(Liste!#REF!,"AAAAAD//rR8=")</f>
        <v>#REF!</v>
      </c>
      <c r="AG17" t="e">
        <f>AND(Liste!F189,"AAAAAD//rSA=")</f>
        <v>#VALUE!</v>
      </c>
      <c r="AH17" t="e">
        <f>AND(Liste!G189,"AAAAAD//rSE=")</f>
        <v>#VALUE!</v>
      </c>
      <c r="AI17" t="e">
        <f>AND(Liste!H189,"AAAAAD//rSI=")</f>
        <v>#VALUE!</v>
      </c>
      <c r="AJ17" t="e">
        <f>AND(Liste!I189,"AAAAAD//rSM=")</f>
        <v>#VALUE!</v>
      </c>
      <c r="AK17" t="e">
        <f>AND(Liste!J189,"AAAAAD//rSQ=")</f>
        <v>#VALUE!</v>
      </c>
      <c r="AL17" t="e">
        <f>AND(Liste!#REF!,"AAAAAD//rSU=")</f>
        <v>#REF!</v>
      </c>
      <c r="AM17" t="e">
        <f>AND(Liste!#REF!,"AAAAAD//rSY=")</f>
        <v>#REF!</v>
      </c>
      <c r="AN17" t="e">
        <f>AND(Liste!#REF!,"AAAAAD//rSc=")</f>
        <v>#REF!</v>
      </c>
      <c r="AO17" t="e">
        <f>AND(Liste!#REF!,"AAAAAD//rSg=")</f>
        <v>#REF!</v>
      </c>
      <c r="AP17" t="e">
        <f>AND(Liste!#REF!,"AAAAAD//rSk=")</f>
        <v>#REF!</v>
      </c>
      <c r="AQ17" t="e">
        <f>AND(Liste!#REF!,"AAAAAD//rSo=")</f>
        <v>#REF!</v>
      </c>
      <c r="AR17" t="e">
        <f>AND(Liste!#REF!,"AAAAAD//rSs=")</f>
        <v>#REF!</v>
      </c>
      <c r="AS17" t="e">
        <f>AND(Liste!#REF!,"AAAAAD//rSw=")</f>
        <v>#REF!</v>
      </c>
      <c r="AT17" t="e">
        <f>AND(Liste!#REF!,"AAAAAD//rS0=")</f>
        <v>#REF!</v>
      </c>
      <c r="AU17" t="e">
        <f>AND(Liste!#REF!,"AAAAAD//rS4=")</f>
        <v>#REF!</v>
      </c>
      <c r="AV17" t="e">
        <f>AND(Liste!#REF!,"AAAAAD//rS8=")</f>
        <v>#REF!</v>
      </c>
      <c r="AW17" t="e">
        <f>AND(Liste!#REF!,"AAAAAD//rTA=")</f>
        <v>#REF!</v>
      </c>
      <c r="AX17" t="e">
        <f>AND(Liste!#REF!,"AAAAAD//rTE=")</f>
        <v>#REF!</v>
      </c>
      <c r="AY17" t="e">
        <f>AND(Liste!#REF!,"AAAAAD//rTI=")</f>
        <v>#REF!</v>
      </c>
      <c r="AZ17" t="e">
        <f>AND(Liste!#REF!,"AAAAAD//rTM=")</f>
        <v>#REF!</v>
      </c>
      <c r="BA17" t="e">
        <f>AND(Liste!#REF!,"AAAAAD//rTQ=")</f>
        <v>#REF!</v>
      </c>
      <c r="BB17" t="e">
        <f>AND(Liste!#REF!,"AAAAAD//rTU=")</f>
        <v>#REF!</v>
      </c>
      <c r="BC17" t="e">
        <f>AND(Liste!#REF!,"AAAAAD//rTY=")</f>
        <v>#REF!</v>
      </c>
      <c r="BD17" t="e">
        <f>AND(Liste!#REF!,"AAAAAD//rTc=")</f>
        <v>#REF!</v>
      </c>
      <c r="BE17" t="e">
        <f>AND(Liste!#REF!,"AAAAAD//rTg=")</f>
        <v>#REF!</v>
      </c>
      <c r="BF17" t="e">
        <f>AND(Liste!#REF!,"AAAAAD//rTk=")</f>
        <v>#REF!</v>
      </c>
      <c r="BG17">
        <f>IF(Liste!134:134,"AAAAAD//rTo=",0)</f>
        <v>0</v>
      </c>
      <c r="BH17" t="b">
        <f>AND(Liste!A134,"AAAAAD//rTs=")</f>
        <v>1</v>
      </c>
      <c r="BI17" t="e">
        <f>AND(Liste!#REF!,"AAAAAD//rTw=")</f>
        <v>#REF!</v>
      </c>
      <c r="BJ17" t="e">
        <f>AND(Liste!#REF!,"AAAAAD//rT0=")</f>
        <v>#REF!</v>
      </c>
      <c r="BK17" t="e">
        <f>AND(Liste!#REF!,"AAAAAD//rT4=")</f>
        <v>#REF!</v>
      </c>
      <c r="BL17" t="e">
        <f>AND(Liste!F190,"AAAAAD//rT8=")</f>
        <v>#VALUE!</v>
      </c>
      <c r="BM17" t="e">
        <f>AND(Liste!G190,"AAAAAD//rUA=")</f>
        <v>#VALUE!</v>
      </c>
      <c r="BN17" t="e">
        <f>AND(Liste!H190,"AAAAAD//rUE=")</f>
        <v>#VALUE!</v>
      </c>
      <c r="BO17" t="e">
        <f>AND(Liste!I190,"AAAAAD//rUI=")</f>
        <v>#VALUE!</v>
      </c>
      <c r="BP17" t="e">
        <f>AND(Liste!J190,"AAAAAD//rUM=")</f>
        <v>#VALUE!</v>
      </c>
      <c r="BQ17" t="e">
        <f>AND(Liste!#REF!,"AAAAAD//rUQ=")</f>
        <v>#REF!</v>
      </c>
      <c r="BR17" t="e">
        <f>AND(Liste!#REF!,"AAAAAD//rUU=")</f>
        <v>#REF!</v>
      </c>
      <c r="BS17" t="e">
        <f>AND(Liste!#REF!,"AAAAAD//rUY=")</f>
        <v>#REF!</v>
      </c>
      <c r="BT17" t="e">
        <f>AND(Liste!#REF!,"AAAAAD//rUc=")</f>
        <v>#REF!</v>
      </c>
      <c r="BU17" t="e">
        <f>AND(Liste!#REF!,"AAAAAD//rUg=")</f>
        <v>#REF!</v>
      </c>
      <c r="BV17" t="e">
        <f>AND(Liste!#REF!,"AAAAAD//rUk=")</f>
        <v>#REF!</v>
      </c>
      <c r="BW17" t="e">
        <f>AND(Liste!#REF!,"AAAAAD//rUo=")</f>
        <v>#REF!</v>
      </c>
      <c r="BX17" t="e">
        <f>AND(Liste!#REF!,"AAAAAD//rUs=")</f>
        <v>#REF!</v>
      </c>
      <c r="BY17" t="e">
        <f>AND(Liste!#REF!,"AAAAAD//rUw=")</f>
        <v>#REF!</v>
      </c>
      <c r="BZ17" t="e">
        <f>AND(Liste!#REF!,"AAAAAD//rU0=")</f>
        <v>#REF!</v>
      </c>
      <c r="CA17" t="e">
        <f>AND(Liste!#REF!,"AAAAAD//rU4=")</f>
        <v>#REF!</v>
      </c>
      <c r="CB17" t="e">
        <f>AND(Liste!#REF!,"AAAAAD//rU8=")</f>
        <v>#REF!</v>
      </c>
      <c r="CC17" t="e">
        <f>AND(Liste!#REF!,"AAAAAD//rVA=")</f>
        <v>#REF!</v>
      </c>
      <c r="CD17" t="e">
        <f>AND(Liste!#REF!,"AAAAAD//rVE=")</f>
        <v>#REF!</v>
      </c>
      <c r="CE17" t="e">
        <f>AND(Liste!#REF!,"AAAAAD//rVI=")</f>
        <v>#REF!</v>
      </c>
      <c r="CF17" t="e">
        <f>AND(Liste!#REF!,"AAAAAD//rVM=")</f>
        <v>#REF!</v>
      </c>
      <c r="CG17" t="e">
        <f>AND(Liste!#REF!,"AAAAAD//rVQ=")</f>
        <v>#REF!</v>
      </c>
      <c r="CH17" t="e">
        <f>AND(Liste!#REF!,"AAAAAD//rVU=")</f>
        <v>#REF!</v>
      </c>
      <c r="CI17" t="e">
        <f>AND(Liste!#REF!,"AAAAAD//rVY=")</f>
        <v>#REF!</v>
      </c>
      <c r="CJ17" t="e">
        <f>AND(Liste!#REF!,"AAAAAD//rVc=")</f>
        <v>#REF!</v>
      </c>
      <c r="CK17" t="e">
        <f>AND(Liste!#REF!,"AAAAAD//rVg=")</f>
        <v>#REF!</v>
      </c>
      <c r="CL17">
        <f>IF(Liste!135:135,"AAAAAD//rVk=",0)</f>
        <v>0</v>
      </c>
      <c r="CM17" t="b">
        <f>AND(Liste!A135,"AAAAAD//rVo=")</f>
        <v>1</v>
      </c>
      <c r="CN17" t="e">
        <f>AND(Liste!#REF!,"AAAAAD//rVs=")</f>
        <v>#REF!</v>
      </c>
      <c r="CO17" t="e">
        <f>AND(Liste!#REF!,"AAAAAD//rVw=")</f>
        <v>#REF!</v>
      </c>
      <c r="CP17" t="e">
        <f>AND(Liste!#REF!,"AAAAAD//rV0=")</f>
        <v>#REF!</v>
      </c>
      <c r="CQ17" t="e">
        <f>AND(Liste!F191,"AAAAAD//rV4=")</f>
        <v>#VALUE!</v>
      </c>
      <c r="CR17" t="e">
        <f>AND(Liste!G191,"AAAAAD//rV8=")</f>
        <v>#VALUE!</v>
      </c>
      <c r="CS17" t="e">
        <f>AND(Liste!H191,"AAAAAD//rWA=")</f>
        <v>#VALUE!</v>
      </c>
      <c r="CT17" t="e">
        <f>AND(Liste!I191,"AAAAAD//rWE=")</f>
        <v>#VALUE!</v>
      </c>
      <c r="CU17" t="e">
        <f>AND(Liste!J191,"AAAAAD//rWI=")</f>
        <v>#VALUE!</v>
      </c>
      <c r="CV17" t="e">
        <f>AND(Liste!#REF!,"AAAAAD//rWM=")</f>
        <v>#REF!</v>
      </c>
      <c r="CW17" t="e">
        <f>AND(Liste!#REF!,"AAAAAD//rWQ=")</f>
        <v>#REF!</v>
      </c>
      <c r="CX17" t="e">
        <f>AND(Liste!#REF!,"AAAAAD//rWU=")</f>
        <v>#REF!</v>
      </c>
      <c r="CY17" t="e">
        <f>AND(Liste!#REF!,"AAAAAD//rWY=")</f>
        <v>#REF!</v>
      </c>
      <c r="CZ17" t="e">
        <f>AND(Liste!#REF!,"AAAAAD//rWc=")</f>
        <v>#REF!</v>
      </c>
      <c r="DA17" t="e">
        <f>AND(Liste!#REF!,"AAAAAD//rWg=")</f>
        <v>#REF!</v>
      </c>
      <c r="DB17" t="e">
        <f>AND(Liste!#REF!,"AAAAAD//rWk=")</f>
        <v>#REF!</v>
      </c>
      <c r="DC17" t="e">
        <f>AND(Liste!#REF!,"AAAAAD//rWo=")</f>
        <v>#REF!</v>
      </c>
      <c r="DD17" t="e">
        <f>AND(Liste!#REF!,"AAAAAD//rWs=")</f>
        <v>#REF!</v>
      </c>
      <c r="DE17" t="e">
        <f>AND(Liste!#REF!,"AAAAAD//rWw=")</f>
        <v>#REF!</v>
      </c>
      <c r="DF17" t="e">
        <f>AND(Liste!#REF!,"AAAAAD//rW0=")</f>
        <v>#REF!</v>
      </c>
      <c r="DG17" t="e">
        <f>AND(Liste!#REF!,"AAAAAD//rW4=")</f>
        <v>#REF!</v>
      </c>
      <c r="DH17" t="e">
        <f>AND(Liste!#REF!,"AAAAAD//rW8=")</f>
        <v>#REF!</v>
      </c>
      <c r="DI17" t="e">
        <f>AND(Liste!#REF!,"AAAAAD//rXA=")</f>
        <v>#REF!</v>
      </c>
      <c r="DJ17" t="e">
        <f>AND(Liste!#REF!,"AAAAAD//rXE=")</f>
        <v>#REF!</v>
      </c>
      <c r="DK17" t="e">
        <f>AND(Liste!#REF!,"AAAAAD//rXI=")</f>
        <v>#REF!</v>
      </c>
      <c r="DL17" t="e">
        <f>AND(Liste!#REF!,"AAAAAD//rXM=")</f>
        <v>#REF!</v>
      </c>
      <c r="DM17" t="e">
        <f>AND(Liste!#REF!,"AAAAAD//rXQ=")</f>
        <v>#REF!</v>
      </c>
      <c r="DN17" t="e">
        <f>AND(Liste!#REF!,"AAAAAD//rXU=")</f>
        <v>#REF!</v>
      </c>
      <c r="DO17" t="e">
        <f>AND(Liste!#REF!,"AAAAAD//rXY=")</f>
        <v>#REF!</v>
      </c>
      <c r="DP17" t="e">
        <f>AND(Liste!#REF!,"AAAAAD//rXc=")</f>
        <v>#REF!</v>
      </c>
      <c r="DQ17">
        <f>IF(Liste!136:136,"AAAAAD//rXg=",0)</f>
        <v>0</v>
      </c>
      <c r="DR17" t="b">
        <f>AND(Liste!A136,"AAAAAD//rXk=")</f>
        <v>1</v>
      </c>
      <c r="DS17" t="e">
        <f>AND(Liste!#REF!,"AAAAAD//rXo=")</f>
        <v>#REF!</v>
      </c>
      <c r="DT17" t="e">
        <f>AND(Liste!#REF!,"AAAAAD//rXs=")</f>
        <v>#REF!</v>
      </c>
      <c r="DU17" t="e">
        <f>AND(Liste!#REF!,"AAAAAD//rXw=")</f>
        <v>#REF!</v>
      </c>
      <c r="DV17" t="e">
        <f>AND(Liste!F192,"AAAAAD//rX0=")</f>
        <v>#VALUE!</v>
      </c>
      <c r="DW17" t="e">
        <f>AND(Liste!G192,"AAAAAD//rX4=")</f>
        <v>#VALUE!</v>
      </c>
      <c r="DX17" t="e">
        <f>AND(Liste!H192,"AAAAAD//rX8=")</f>
        <v>#VALUE!</v>
      </c>
      <c r="DY17" t="e">
        <f>AND(Liste!I192,"AAAAAD//rYA=")</f>
        <v>#VALUE!</v>
      </c>
      <c r="DZ17" t="e">
        <f>AND(Liste!J192,"AAAAAD//rYE=")</f>
        <v>#VALUE!</v>
      </c>
      <c r="EA17" t="e">
        <f>AND(Liste!#REF!,"AAAAAD//rYI=")</f>
        <v>#REF!</v>
      </c>
      <c r="EB17" t="e">
        <f>AND(Liste!#REF!,"AAAAAD//rYM=")</f>
        <v>#REF!</v>
      </c>
      <c r="EC17" t="e">
        <f>AND(Liste!#REF!,"AAAAAD//rYQ=")</f>
        <v>#REF!</v>
      </c>
      <c r="ED17" t="e">
        <f>AND(Liste!#REF!,"AAAAAD//rYU=")</f>
        <v>#REF!</v>
      </c>
      <c r="EE17" t="e">
        <f>AND(Liste!#REF!,"AAAAAD//rYY=")</f>
        <v>#REF!</v>
      </c>
      <c r="EF17" t="e">
        <f>AND(Liste!#REF!,"AAAAAD//rYc=")</f>
        <v>#REF!</v>
      </c>
      <c r="EG17" t="e">
        <f>AND(Liste!#REF!,"AAAAAD//rYg=")</f>
        <v>#REF!</v>
      </c>
      <c r="EH17" t="e">
        <f>AND(Liste!#REF!,"AAAAAD//rYk=")</f>
        <v>#REF!</v>
      </c>
      <c r="EI17" t="e">
        <f>AND(Liste!#REF!,"AAAAAD//rYo=")</f>
        <v>#REF!</v>
      </c>
      <c r="EJ17" t="e">
        <f>AND(Liste!#REF!,"AAAAAD//rYs=")</f>
        <v>#REF!</v>
      </c>
      <c r="EK17" t="e">
        <f>AND(Liste!#REF!,"AAAAAD//rYw=")</f>
        <v>#REF!</v>
      </c>
      <c r="EL17" t="e">
        <f>AND(Liste!#REF!,"AAAAAD//rY0=")</f>
        <v>#REF!</v>
      </c>
      <c r="EM17" t="e">
        <f>AND(Liste!#REF!,"AAAAAD//rY4=")</f>
        <v>#REF!</v>
      </c>
      <c r="EN17" t="e">
        <f>AND(Liste!#REF!,"AAAAAD//rY8=")</f>
        <v>#REF!</v>
      </c>
      <c r="EO17" t="e">
        <f>AND(Liste!#REF!,"AAAAAD//rZA=")</f>
        <v>#REF!</v>
      </c>
      <c r="EP17" t="e">
        <f>AND(Liste!#REF!,"AAAAAD//rZE=")</f>
        <v>#REF!</v>
      </c>
      <c r="EQ17" t="e">
        <f>AND(Liste!#REF!,"AAAAAD//rZI=")</f>
        <v>#REF!</v>
      </c>
      <c r="ER17" t="e">
        <f>AND(Liste!#REF!,"AAAAAD//rZM=")</f>
        <v>#REF!</v>
      </c>
      <c r="ES17" t="e">
        <f>AND(Liste!#REF!,"AAAAAD//rZQ=")</f>
        <v>#REF!</v>
      </c>
      <c r="ET17" t="e">
        <f>AND(Liste!#REF!,"AAAAAD//rZU=")</f>
        <v>#REF!</v>
      </c>
      <c r="EU17" t="e">
        <f>AND(Liste!#REF!,"AAAAAD//rZY=")</f>
        <v>#REF!</v>
      </c>
      <c r="EV17">
        <f>IF(Liste!137:137,"AAAAAD//rZc=",0)</f>
        <v>0</v>
      </c>
      <c r="EW17" t="b">
        <f>AND(Liste!A137,"AAAAAD//rZg=")</f>
        <v>1</v>
      </c>
      <c r="EX17" t="e">
        <f>AND(Liste!#REF!,"AAAAAD//rZk=")</f>
        <v>#REF!</v>
      </c>
      <c r="EY17" t="e">
        <f>AND(Liste!#REF!,"AAAAAD//rZo=")</f>
        <v>#REF!</v>
      </c>
      <c r="EZ17" t="e">
        <f>AND(Liste!#REF!,"AAAAAD//rZs=")</f>
        <v>#REF!</v>
      </c>
      <c r="FA17" t="e">
        <f>AND(Liste!F193,"AAAAAD//rZw=")</f>
        <v>#VALUE!</v>
      </c>
      <c r="FB17" t="e">
        <f>AND(Liste!G193,"AAAAAD//rZ0=")</f>
        <v>#VALUE!</v>
      </c>
      <c r="FC17" t="e">
        <f>AND(Liste!H193,"AAAAAD//rZ4=")</f>
        <v>#VALUE!</v>
      </c>
      <c r="FD17" t="e">
        <f>AND(Liste!I193,"AAAAAD//rZ8=")</f>
        <v>#VALUE!</v>
      </c>
      <c r="FE17" t="e">
        <f>AND(Liste!J193,"AAAAAD//raA=")</f>
        <v>#VALUE!</v>
      </c>
      <c r="FF17" t="e">
        <f>AND(Liste!#REF!,"AAAAAD//raE=")</f>
        <v>#REF!</v>
      </c>
      <c r="FG17" t="e">
        <f>AND(Liste!#REF!,"AAAAAD//raI=")</f>
        <v>#REF!</v>
      </c>
      <c r="FH17" t="e">
        <f>AND(Liste!#REF!,"AAAAAD//raM=")</f>
        <v>#REF!</v>
      </c>
      <c r="FI17" t="e">
        <f>AND(Liste!#REF!,"AAAAAD//raQ=")</f>
        <v>#REF!</v>
      </c>
      <c r="FJ17" t="e">
        <f>AND(Liste!#REF!,"AAAAAD//raU=")</f>
        <v>#REF!</v>
      </c>
      <c r="FK17" t="e">
        <f>AND(Liste!#REF!,"AAAAAD//raY=")</f>
        <v>#REF!</v>
      </c>
      <c r="FL17" t="e">
        <f>AND(Liste!#REF!,"AAAAAD//rac=")</f>
        <v>#REF!</v>
      </c>
      <c r="FM17" t="e">
        <f>AND(Liste!#REF!,"AAAAAD//rag=")</f>
        <v>#REF!</v>
      </c>
      <c r="FN17" t="e">
        <f>AND(Liste!#REF!,"AAAAAD//rak=")</f>
        <v>#REF!</v>
      </c>
      <c r="FO17" t="e">
        <f>AND(Liste!#REF!,"AAAAAD//rao=")</f>
        <v>#REF!</v>
      </c>
      <c r="FP17" t="e">
        <f>AND(Liste!#REF!,"AAAAAD//ras=")</f>
        <v>#REF!</v>
      </c>
      <c r="FQ17" t="e">
        <f>AND(Liste!#REF!,"AAAAAD//raw=")</f>
        <v>#REF!</v>
      </c>
      <c r="FR17" t="e">
        <f>AND(Liste!#REF!,"AAAAAD//ra0=")</f>
        <v>#REF!</v>
      </c>
      <c r="FS17" t="e">
        <f>AND(Liste!#REF!,"AAAAAD//ra4=")</f>
        <v>#REF!</v>
      </c>
      <c r="FT17" t="e">
        <f>AND(Liste!#REF!,"AAAAAD//ra8=")</f>
        <v>#REF!</v>
      </c>
      <c r="FU17" t="e">
        <f>AND(Liste!#REF!,"AAAAAD//rbA=")</f>
        <v>#REF!</v>
      </c>
      <c r="FV17" t="e">
        <f>AND(Liste!#REF!,"AAAAAD//rbE=")</f>
        <v>#REF!</v>
      </c>
      <c r="FW17" t="e">
        <f>AND(Liste!#REF!,"AAAAAD//rbI=")</f>
        <v>#REF!</v>
      </c>
      <c r="FX17" t="e">
        <f>AND(Liste!#REF!,"AAAAAD//rbM=")</f>
        <v>#REF!</v>
      </c>
      <c r="FY17" t="e">
        <f>AND(Liste!#REF!,"AAAAAD//rbQ=")</f>
        <v>#REF!</v>
      </c>
      <c r="FZ17" t="e">
        <f>AND(Liste!#REF!,"AAAAAD//rbU=")</f>
        <v>#REF!</v>
      </c>
      <c r="GA17">
        <f>IF(Liste!138:138,"AAAAAD//rbY=",0)</f>
        <v>0</v>
      </c>
      <c r="GB17" t="b">
        <f>AND(Liste!A138,"AAAAAD//rbc=")</f>
        <v>1</v>
      </c>
      <c r="GC17" t="e">
        <f>AND(Liste!#REF!,"AAAAAD//rbg=")</f>
        <v>#REF!</v>
      </c>
      <c r="GD17" t="e">
        <f>AND(Liste!#REF!,"AAAAAD//rbk=")</f>
        <v>#REF!</v>
      </c>
      <c r="GE17" t="e">
        <f>AND(Liste!#REF!,"AAAAAD//rbo=")</f>
        <v>#REF!</v>
      </c>
      <c r="GF17" t="e">
        <f>AND(Liste!F194,"AAAAAD//rbs=")</f>
        <v>#VALUE!</v>
      </c>
      <c r="GG17" t="e">
        <f>AND(Liste!G194,"AAAAAD//rbw=")</f>
        <v>#VALUE!</v>
      </c>
      <c r="GH17" t="e">
        <f>AND(Liste!H194,"AAAAAD//rb0=")</f>
        <v>#VALUE!</v>
      </c>
      <c r="GI17" t="e">
        <f>AND(Liste!I194,"AAAAAD//rb4=")</f>
        <v>#VALUE!</v>
      </c>
      <c r="GJ17" t="e">
        <f>AND(Liste!J194,"AAAAAD//rb8=")</f>
        <v>#VALUE!</v>
      </c>
      <c r="GK17" t="e">
        <f>AND(Liste!#REF!,"AAAAAD//rcA=")</f>
        <v>#REF!</v>
      </c>
      <c r="GL17" t="e">
        <f>AND(Liste!#REF!,"AAAAAD//rcE=")</f>
        <v>#REF!</v>
      </c>
      <c r="GM17" t="e">
        <f>AND(Liste!#REF!,"AAAAAD//rcI=")</f>
        <v>#REF!</v>
      </c>
      <c r="GN17" t="e">
        <f>AND(Liste!#REF!,"AAAAAD//rcM=")</f>
        <v>#REF!</v>
      </c>
      <c r="GO17" t="e">
        <f>AND(Liste!#REF!,"AAAAAD//rcQ=")</f>
        <v>#REF!</v>
      </c>
      <c r="GP17" t="e">
        <f>AND(Liste!#REF!,"AAAAAD//rcU=")</f>
        <v>#REF!</v>
      </c>
      <c r="GQ17" t="e">
        <f>AND(Liste!#REF!,"AAAAAD//rcY=")</f>
        <v>#REF!</v>
      </c>
      <c r="GR17" t="e">
        <f>AND(Liste!#REF!,"AAAAAD//rcc=")</f>
        <v>#REF!</v>
      </c>
      <c r="GS17" t="e">
        <f>AND(Liste!#REF!,"AAAAAD//rcg=")</f>
        <v>#REF!</v>
      </c>
      <c r="GT17" t="e">
        <f>AND(Liste!#REF!,"AAAAAD//rck=")</f>
        <v>#REF!</v>
      </c>
      <c r="GU17" t="e">
        <f>AND(Liste!#REF!,"AAAAAD//rco=")</f>
        <v>#REF!</v>
      </c>
      <c r="GV17" t="e">
        <f>AND(Liste!#REF!,"AAAAAD//rcs=")</f>
        <v>#REF!</v>
      </c>
      <c r="GW17" t="e">
        <f>AND(Liste!#REF!,"AAAAAD//rcw=")</f>
        <v>#REF!</v>
      </c>
      <c r="GX17" t="e">
        <f>AND(Liste!#REF!,"AAAAAD//rc0=")</f>
        <v>#REF!</v>
      </c>
      <c r="GY17" t="e">
        <f>AND(Liste!#REF!,"AAAAAD//rc4=")</f>
        <v>#REF!</v>
      </c>
      <c r="GZ17" t="e">
        <f>AND(Liste!#REF!,"AAAAAD//rc8=")</f>
        <v>#REF!</v>
      </c>
      <c r="HA17" t="e">
        <f>AND(Liste!#REF!,"AAAAAD//rdA=")</f>
        <v>#REF!</v>
      </c>
      <c r="HB17" t="e">
        <f>AND(Liste!#REF!,"AAAAAD//rdE=")</f>
        <v>#REF!</v>
      </c>
      <c r="HC17" t="e">
        <f>AND(Liste!#REF!,"AAAAAD//rdI=")</f>
        <v>#REF!</v>
      </c>
      <c r="HD17" t="e">
        <f>AND(Liste!#REF!,"AAAAAD//rdM=")</f>
        <v>#REF!</v>
      </c>
      <c r="HE17" t="e">
        <f>AND(Liste!#REF!,"AAAAAD//rdQ=")</f>
        <v>#REF!</v>
      </c>
      <c r="HF17">
        <f>IF(Liste!139:139,"AAAAAD//rdU=",0)</f>
        <v>0</v>
      </c>
      <c r="HG17" t="b">
        <f>AND(Liste!A139,"AAAAAD//rdY=")</f>
        <v>1</v>
      </c>
      <c r="HH17" t="e">
        <f>AND(Liste!#REF!,"AAAAAD//rdc=")</f>
        <v>#REF!</v>
      </c>
      <c r="HI17" t="e">
        <f>AND(Liste!#REF!,"AAAAAD//rdg=")</f>
        <v>#REF!</v>
      </c>
      <c r="HJ17" t="e">
        <f>AND(Liste!#REF!,"AAAAAD//rdk=")</f>
        <v>#REF!</v>
      </c>
      <c r="HK17" t="e">
        <f>AND(Liste!F195,"AAAAAD//rdo=")</f>
        <v>#VALUE!</v>
      </c>
      <c r="HL17" t="e">
        <f>AND(Liste!G195,"AAAAAD//rds=")</f>
        <v>#VALUE!</v>
      </c>
      <c r="HM17" t="e">
        <f>AND(Liste!H195,"AAAAAD//rdw=")</f>
        <v>#VALUE!</v>
      </c>
      <c r="HN17" t="e">
        <f>AND(Liste!I195,"AAAAAD//rd0=")</f>
        <v>#VALUE!</v>
      </c>
      <c r="HO17" t="e">
        <f>AND(Liste!J195,"AAAAAD//rd4=")</f>
        <v>#VALUE!</v>
      </c>
      <c r="HP17" t="e">
        <f>AND(Liste!#REF!,"AAAAAD//rd8=")</f>
        <v>#REF!</v>
      </c>
      <c r="HQ17" t="e">
        <f>AND(Liste!#REF!,"AAAAAD//reA=")</f>
        <v>#REF!</v>
      </c>
      <c r="HR17" t="e">
        <f>AND(Liste!#REF!,"AAAAAD//reE=")</f>
        <v>#REF!</v>
      </c>
      <c r="HS17" t="e">
        <f>AND(Liste!#REF!,"AAAAAD//reI=")</f>
        <v>#REF!</v>
      </c>
      <c r="HT17" t="e">
        <f>AND(Liste!#REF!,"AAAAAD//reM=")</f>
        <v>#REF!</v>
      </c>
      <c r="HU17" t="e">
        <f>AND(Liste!#REF!,"AAAAAD//reQ=")</f>
        <v>#REF!</v>
      </c>
      <c r="HV17" t="e">
        <f>AND(Liste!#REF!,"AAAAAD//reU=")</f>
        <v>#REF!</v>
      </c>
      <c r="HW17" t="e">
        <f>AND(Liste!#REF!,"AAAAAD//reY=")</f>
        <v>#REF!</v>
      </c>
      <c r="HX17" t="e">
        <f>AND(Liste!#REF!,"AAAAAD//rec=")</f>
        <v>#REF!</v>
      </c>
      <c r="HY17" t="e">
        <f>AND(Liste!#REF!,"AAAAAD//reg=")</f>
        <v>#REF!</v>
      </c>
      <c r="HZ17" t="e">
        <f>AND(Liste!#REF!,"AAAAAD//rek=")</f>
        <v>#REF!</v>
      </c>
      <c r="IA17" t="e">
        <f>AND(Liste!#REF!,"AAAAAD//reo=")</f>
        <v>#REF!</v>
      </c>
      <c r="IB17" t="e">
        <f>AND(Liste!#REF!,"AAAAAD//res=")</f>
        <v>#REF!</v>
      </c>
      <c r="IC17" t="e">
        <f>AND(Liste!#REF!,"AAAAAD//rew=")</f>
        <v>#REF!</v>
      </c>
      <c r="ID17" t="e">
        <f>AND(Liste!#REF!,"AAAAAD//re0=")</f>
        <v>#REF!</v>
      </c>
      <c r="IE17" t="e">
        <f>AND(Liste!#REF!,"AAAAAD//re4=")</f>
        <v>#REF!</v>
      </c>
      <c r="IF17" t="e">
        <f>AND(Liste!#REF!,"AAAAAD//re8=")</f>
        <v>#REF!</v>
      </c>
      <c r="IG17" t="e">
        <f>AND(Liste!#REF!,"AAAAAD//rfA=")</f>
        <v>#REF!</v>
      </c>
      <c r="IH17" t="e">
        <f>AND(Liste!#REF!,"AAAAAD//rfE=")</f>
        <v>#REF!</v>
      </c>
      <c r="II17" t="e">
        <f>AND(Liste!#REF!,"AAAAAD//rfI=")</f>
        <v>#REF!</v>
      </c>
      <c r="IJ17" t="e">
        <f>AND(Liste!#REF!,"AAAAAD//rfM=")</f>
        <v>#REF!</v>
      </c>
      <c r="IK17">
        <f>IF(Liste!140:140,"AAAAAD//rfQ=",0)</f>
        <v>0</v>
      </c>
      <c r="IL17" t="b">
        <f>AND(Liste!A140,"AAAAAD//rfU=")</f>
        <v>1</v>
      </c>
      <c r="IM17" t="e">
        <f>AND(Liste!#REF!,"AAAAAD//rfY=")</f>
        <v>#REF!</v>
      </c>
      <c r="IN17" t="e">
        <f>AND(Liste!#REF!,"AAAAAD//rfc=")</f>
        <v>#REF!</v>
      </c>
      <c r="IO17" t="e">
        <f>AND(Liste!#REF!,"AAAAAD//rfg=")</f>
        <v>#REF!</v>
      </c>
      <c r="IP17" t="e">
        <f>AND(Liste!F196,"AAAAAD//rfk=")</f>
        <v>#VALUE!</v>
      </c>
      <c r="IQ17" t="e">
        <f>AND(Liste!G196,"AAAAAD//rfo=")</f>
        <v>#VALUE!</v>
      </c>
      <c r="IR17" t="e">
        <f>AND(Liste!H196,"AAAAAD//rfs=")</f>
        <v>#VALUE!</v>
      </c>
      <c r="IS17" t="e">
        <f>AND(Liste!I196,"AAAAAD//rfw=")</f>
        <v>#VALUE!</v>
      </c>
      <c r="IT17" t="e">
        <f>AND(Liste!J196,"AAAAAD//rf0=")</f>
        <v>#VALUE!</v>
      </c>
      <c r="IU17" t="e">
        <f>AND(Liste!#REF!,"AAAAAD//rf4=")</f>
        <v>#REF!</v>
      </c>
      <c r="IV17" t="e">
        <f>AND(Liste!#REF!,"AAAAAD//rf8=")</f>
        <v>#REF!</v>
      </c>
    </row>
    <row r="18" spans="1:256" x14ac:dyDescent="0.2">
      <c r="A18" t="e">
        <f>AND(Liste!#REF!,"AAAAADf//wA=")</f>
        <v>#REF!</v>
      </c>
      <c r="B18" t="e">
        <f>AND(Liste!#REF!,"AAAAADf//wE=")</f>
        <v>#REF!</v>
      </c>
      <c r="C18" t="e">
        <f>AND(Liste!#REF!,"AAAAADf//wI=")</f>
        <v>#REF!</v>
      </c>
      <c r="D18" t="e">
        <f>AND(Liste!#REF!,"AAAAADf//wM=")</f>
        <v>#REF!</v>
      </c>
      <c r="E18" t="e">
        <f>AND(Liste!#REF!,"AAAAADf//wQ=")</f>
        <v>#REF!</v>
      </c>
      <c r="F18" t="e">
        <f>AND(Liste!#REF!,"AAAAADf//wU=")</f>
        <v>#REF!</v>
      </c>
      <c r="G18" t="e">
        <f>AND(Liste!#REF!,"AAAAADf//wY=")</f>
        <v>#REF!</v>
      </c>
      <c r="H18" t="e">
        <f>AND(Liste!#REF!,"AAAAADf//wc=")</f>
        <v>#REF!</v>
      </c>
      <c r="I18" t="e">
        <f>AND(Liste!#REF!,"AAAAADf//wg=")</f>
        <v>#REF!</v>
      </c>
      <c r="J18" t="e">
        <f>AND(Liste!#REF!,"AAAAADf//wk=")</f>
        <v>#REF!</v>
      </c>
      <c r="K18" t="e">
        <f>AND(Liste!#REF!,"AAAAADf//wo=")</f>
        <v>#REF!</v>
      </c>
      <c r="L18" t="e">
        <f>AND(Liste!#REF!,"AAAAADf//ws=")</f>
        <v>#REF!</v>
      </c>
      <c r="M18" t="e">
        <f>AND(Liste!#REF!,"AAAAADf//ww=")</f>
        <v>#REF!</v>
      </c>
      <c r="N18" t="e">
        <f>AND(Liste!#REF!,"AAAAADf//w0=")</f>
        <v>#REF!</v>
      </c>
      <c r="O18" t="e">
        <f>AND(Liste!#REF!,"AAAAADf//w4=")</f>
        <v>#REF!</v>
      </c>
      <c r="P18" t="e">
        <f>AND(Liste!#REF!,"AAAAADf//w8=")</f>
        <v>#REF!</v>
      </c>
      <c r="Q18" t="e">
        <f>AND(Liste!#REF!,"AAAAADf//xA=")</f>
        <v>#REF!</v>
      </c>
      <c r="R18" t="e">
        <f>AND(Liste!#REF!,"AAAAADf//xE=")</f>
        <v>#REF!</v>
      </c>
      <c r="S18" t="e">
        <f>AND(Liste!#REF!,"AAAAADf//xI=")</f>
        <v>#REF!</v>
      </c>
      <c r="T18" t="e">
        <f>IF(Liste!#REF!,"AAAAADf//xM=",0)</f>
        <v>#REF!</v>
      </c>
      <c r="U18" t="e">
        <f>AND(Liste!#REF!,"AAAAADf//xQ=")</f>
        <v>#REF!</v>
      </c>
      <c r="V18" t="e">
        <f>AND(Liste!#REF!,"AAAAADf//xU=")</f>
        <v>#REF!</v>
      </c>
      <c r="W18" t="e">
        <f>AND(Liste!#REF!,"AAAAADf//xY=")</f>
        <v>#REF!</v>
      </c>
      <c r="X18" t="e">
        <f>AND(Liste!#REF!,"AAAAADf//xc=")</f>
        <v>#REF!</v>
      </c>
      <c r="Y18" t="e">
        <f>AND(Liste!#REF!,"AAAAADf//xg=")</f>
        <v>#REF!</v>
      </c>
      <c r="Z18" t="e">
        <f>AND(Liste!#REF!,"AAAAADf//xk=")</f>
        <v>#REF!</v>
      </c>
      <c r="AA18" t="e">
        <f>AND(Liste!#REF!,"AAAAADf//xo=")</f>
        <v>#REF!</v>
      </c>
      <c r="AB18" t="e">
        <f>AND(Liste!#REF!,"AAAAADf//xs=")</f>
        <v>#REF!</v>
      </c>
      <c r="AC18" t="e">
        <f>AND(Liste!#REF!,"AAAAADf//xw=")</f>
        <v>#REF!</v>
      </c>
      <c r="AD18" t="e">
        <f>AND(Liste!#REF!,"AAAAADf//x0=")</f>
        <v>#REF!</v>
      </c>
      <c r="AE18" t="e">
        <f>AND(Liste!#REF!,"AAAAADf//x4=")</f>
        <v>#REF!</v>
      </c>
      <c r="AF18" t="e">
        <f>AND(Liste!#REF!,"AAAAADf//x8=")</f>
        <v>#REF!</v>
      </c>
      <c r="AG18" t="e">
        <f>AND(Liste!#REF!,"AAAAADf//yA=")</f>
        <v>#REF!</v>
      </c>
      <c r="AH18" t="e">
        <f>AND(Liste!#REF!,"AAAAADf//yE=")</f>
        <v>#REF!</v>
      </c>
      <c r="AI18" t="e">
        <f>AND(Liste!#REF!,"AAAAADf//yI=")</f>
        <v>#REF!</v>
      </c>
      <c r="AJ18" t="e">
        <f>AND(Liste!#REF!,"AAAAADf//yM=")</f>
        <v>#REF!</v>
      </c>
      <c r="AK18" t="e">
        <f>AND(Liste!#REF!,"AAAAADf//yQ=")</f>
        <v>#REF!</v>
      </c>
      <c r="AL18" t="e">
        <f>AND(Liste!#REF!,"AAAAADf//yU=")</f>
        <v>#REF!</v>
      </c>
      <c r="AM18" t="e">
        <f>AND(Liste!#REF!,"AAAAADf//yY=")</f>
        <v>#REF!</v>
      </c>
      <c r="AN18" t="e">
        <f>AND(Liste!#REF!,"AAAAADf//yc=")</f>
        <v>#REF!</v>
      </c>
      <c r="AO18" t="e">
        <f>AND(Liste!#REF!,"AAAAADf//yg=")</f>
        <v>#REF!</v>
      </c>
      <c r="AP18" t="e">
        <f>AND(Liste!#REF!,"AAAAADf//yk=")</f>
        <v>#REF!</v>
      </c>
      <c r="AQ18" t="e">
        <f>AND(Liste!#REF!,"AAAAADf//yo=")</f>
        <v>#REF!</v>
      </c>
      <c r="AR18" t="e">
        <f>AND(Liste!#REF!,"AAAAADf//ys=")</f>
        <v>#REF!</v>
      </c>
      <c r="AS18" t="e">
        <f>AND(Liste!#REF!,"AAAAADf//yw=")</f>
        <v>#REF!</v>
      </c>
      <c r="AT18" t="e">
        <f>AND(Liste!#REF!,"AAAAADf//y0=")</f>
        <v>#REF!</v>
      </c>
      <c r="AU18" t="e">
        <f>AND(Liste!#REF!,"AAAAADf//y4=")</f>
        <v>#REF!</v>
      </c>
      <c r="AV18" t="e">
        <f>AND(Liste!#REF!,"AAAAADf//y8=")</f>
        <v>#REF!</v>
      </c>
      <c r="AW18" t="e">
        <f>AND(Liste!#REF!,"AAAAADf//zA=")</f>
        <v>#REF!</v>
      </c>
      <c r="AX18" t="e">
        <f>AND(Liste!#REF!,"AAAAADf//zE=")</f>
        <v>#REF!</v>
      </c>
      <c r="AY18" t="e">
        <f>IF(Liste!#REF!,"AAAAADf//zI=",0)</f>
        <v>#REF!</v>
      </c>
      <c r="AZ18" t="e">
        <f>AND(Liste!#REF!,"AAAAADf//zM=")</f>
        <v>#REF!</v>
      </c>
      <c r="BA18" t="e">
        <f>AND(Liste!#REF!,"AAAAADf//zQ=")</f>
        <v>#REF!</v>
      </c>
      <c r="BB18" t="e">
        <f>AND(Liste!#REF!,"AAAAADf//zU=")</f>
        <v>#REF!</v>
      </c>
      <c r="BC18" t="e">
        <f>AND(Liste!#REF!,"AAAAADf//zY=")</f>
        <v>#REF!</v>
      </c>
      <c r="BD18" t="e">
        <f>AND(Liste!#REF!,"AAAAADf//zc=")</f>
        <v>#REF!</v>
      </c>
      <c r="BE18" t="e">
        <f>AND(Liste!#REF!,"AAAAADf//zg=")</f>
        <v>#REF!</v>
      </c>
      <c r="BF18" t="e">
        <f>AND(Liste!#REF!,"AAAAADf//zk=")</f>
        <v>#REF!</v>
      </c>
      <c r="BG18" t="e">
        <f>AND(Liste!#REF!,"AAAAADf//zo=")</f>
        <v>#REF!</v>
      </c>
      <c r="BH18" t="e">
        <f>AND(Liste!#REF!,"AAAAADf//zs=")</f>
        <v>#REF!</v>
      </c>
      <c r="BI18" t="e">
        <f>AND(Liste!#REF!,"AAAAADf//zw=")</f>
        <v>#REF!</v>
      </c>
      <c r="BJ18" t="e">
        <f>AND(Liste!#REF!,"AAAAADf//z0=")</f>
        <v>#REF!</v>
      </c>
      <c r="BK18" t="e">
        <f>AND(Liste!#REF!,"AAAAADf//z4=")</f>
        <v>#REF!</v>
      </c>
      <c r="BL18" t="e">
        <f>AND(Liste!#REF!,"AAAAADf//z8=")</f>
        <v>#REF!</v>
      </c>
      <c r="BM18" t="e">
        <f>AND(Liste!#REF!,"AAAAADf//0A=")</f>
        <v>#REF!</v>
      </c>
      <c r="BN18" t="e">
        <f>AND(Liste!#REF!,"AAAAADf//0E=")</f>
        <v>#REF!</v>
      </c>
      <c r="BO18" t="e">
        <f>AND(Liste!#REF!,"AAAAADf//0I=")</f>
        <v>#REF!</v>
      </c>
      <c r="BP18" t="e">
        <f>AND(Liste!#REF!,"AAAAADf//0M=")</f>
        <v>#REF!</v>
      </c>
      <c r="BQ18" t="e">
        <f>AND(Liste!#REF!,"AAAAADf//0Q=")</f>
        <v>#REF!</v>
      </c>
      <c r="BR18" t="e">
        <f>AND(Liste!#REF!,"AAAAADf//0U=")</f>
        <v>#REF!</v>
      </c>
      <c r="BS18" t="e">
        <f>AND(Liste!#REF!,"AAAAADf//0Y=")</f>
        <v>#REF!</v>
      </c>
      <c r="BT18" t="e">
        <f>AND(Liste!#REF!,"AAAAADf//0c=")</f>
        <v>#REF!</v>
      </c>
      <c r="BU18" t="e">
        <f>AND(Liste!#REF!,"AAAAADf//0g=")</f>
        <v>#REF!</v>
      </c>
      <c r="BV18" t="e">
        <f>AND(Liste!#REF!,"AAAAADf//0k=")</f>
        <v>#REF!</v>
      </c>
      <c r="BW18" t="e">
        <f>AND(Liste!#REF!,"AAAAADf//0o=")</f>
        <v>#REF!</v>
      </c>
      <c r="BX18" t="e">
        <f>AND(Liste!#REF!,"AAAAADf//0s=")</f>
        <v>#REF!</v>
      </c>
      <c r="BY18" t="e">
        <f>AND(Liste!#REF!,"AAAAADf//0w=")</f>
        <v>#REF!</v>
      </c>
      <c r="BZ18" t="e">
        <f>AND(Liste!#REF!,"AAAAADf//00=")</f>
        <v>#REF!</v>
      </c>
      <c r="CA18" t="e">
        <f>AND(Liste!#REF!,"AAAAADf//04=")</f>
        <v>#REF!</v>
      </c>
      <c r="CB18" t="e">
        <f>AND(Liste!#REF!,"AAAAADf//08=")</f>
        <v>#REF!</v>
      </c>
      <c r="CC18" t="e">
        <f>AND(Liste!#REF!,"AAAAADf//1A=")</f>
        <v>#REF!</v>
      </c>
      <c r="CD18" t="e">
        <f>IF(Liste!#REF!,"AAAAADf//1E=",0)</f>
        <v>#REF!</v>
      </c>
      <c r="CE18" t="e">
        <f>AND(Liste!#REF!,"AAAAADf//1I=")</f>
        <v>#REF!</v>
      </c>
      <c r="CF18" t="e">
        <f>AND(Liste!#REF!,"AAAAADf//1M=")</f>
        <v>#REF!</v>
      </c>
      <c r="CG18" t="e">
        <f>AND(Liste!#REF!,"AAAAADf//1Q=")</f>
        <v>#REF!</v>
      </c>
      <c r="CH18" t="e">
        <f>AND(Liste!#REF!,"AAAAADf//1U=")</f>
        <v>#REF!</v>
      </c>
      <c r="CI18" t="e">
        <f>AND(Liste!#REF!,"AAAAADf//1Y=")</f>
        <v>#REF!</v>
      </c>
      <c r="CJ18" t="e">
        <f>AND(Liste!#REF!,"AAAAADf//1c=")</f>
        <v>#REF!</v>
      </c>
      <c r="CK18" t="e">
        <f>AND(Liste!#REF!,"AAAAADf//1g=")</f>
        <v>#REF!</v>
      </c>
      <c r="CL18" t="e">
        <f>AND(Liste!#REF!,"AAAAADf//1k=")</f>
        <v>#REF!</v>
      </c>
      <c r="CM18" t="e">
        <f>AND(Liste!#REF!,"AAAAADf//1o=")</f>
        <v>#REF!</v>
      </c>
      <c r="CN18" t="e">
        <f>AND(Liste!#REF!,"AAAAADf//1s=")</f>
        <v>#REF!</v>
      </c>
      <c r="CO18" t="e">
        <f>AND(Liste!#REF!,"AAAAADf//1w=")</f>
        <v>#REF!</v>
      </c>
      <c r="CP18" t="e">
        <f>AND(Liste!#REF!,"AAAAADf//10=")</f>
        <v>#REF!</v>
      </c>
      <c r="CQ18" t="e">
        <f>AND(Liste!#REF!,"AAAAADf//14=")</f>
        <v>#REF!</v>
      </c>
      <c r="CR18" t="e">
        <f>AND(Liste!#REF!,"AAAAADf//18=")</f>
        <v>#REF!</v>
      </c>
      <c r="CS18" t="e">
        <f>AND(Liste!#REF!,"AAAAADf//2A=")</f>
        <v>#REF!</v>
      </c>
      <c r="CT18" t="e">
        <f>AND(Liste!#REF!,"AAAAADf//2E=")</f>
        <v>#REF!</v>
      </c>
      <c r="CU18" t="e">
        <f>AND(Liste!#REF!,"AAAAADf//2I=")</f>
        <v>#REF!</v>
      </c>
      <c r="CV18" t="e">
        <f>AND(Liste!#REF!,"AAAAADf//2M=")</f>
        <v>#REF!</v>
      </c>
      <c r="CW18" t="e">
        <f>AND(Liste!#REF!,"AAAAADf//2Q=")</f>
        <v>#REF!</v>
      </c>
      <c r="CX18" t="e">
        <f>AND(Liste!#REF!,"AAAAADf//2U=")</f>
        <v>#REF!</v>
      </c>
      <c r="CY18" t="e">
        <f>AND(Liste!#REF!,"AAAAADf//2Y=")</f>
        <v>#REF!</v>
      </c>
      <c r="CZ18" t="e">
        <f>AND(Liste!#REF!,"AAAAADf//2c=")</f>
        <v>#REF!</v>
      </c>
      <c r="DA18" t="e">
        <f>AND(Liste!#REF!,"AAAAADf//2g=")</f>
        <v>#REF!</v>
      </c>
      <c r="DB18" t="e">
        <f>AND(Liste!#REF!,"AAAAADf//2k=")</f>
        <v>#REF!</v>
      </c>
      <c r="DC18" t="e">
        <f>AND(Liste!#REF!,"AAAAADf//2o=")</f>
        <v>#REF!</v>
      </c>
      <c r="DD18" t="e">
        <f>AND(Liste!#REF!,"AAAAADf//2s=")</f>
        <v>#REF!</v>
      </c>
      <c r="DE18" t="e">
        <f>AND(Liste!#REF!,"AAAAADf//2w=")</f>
        <v>#REF!</v>
      </c>
      <c r="DF18" t="e">
        <f>AND(Liste!#REF!,"AAAAADf//20=")</f>
        <v>#REF!</v>
      </c>
      <c r="DG18" t="e">
        <f>AND(Liste!#REF!,"AAAAADf//24=")</f>
        <v>#REF!</v>
      </c>
      <c r="DH18" t="e">
        <f>AND(Liste!#REF!,"AAAAADf//28=")</f>
        <v>#REF!</v>
      </c>
      <c r="DI18" t="e">
        <f>IF(Liste!#REF!,"AAAAADf//3A=",0)</f>
        <v>#REF!</v>
      </c>
      <c r="DJ18" t="e">
        <f>AND(Liste!#REF!,"AAAAADf//3E=")</f>
        <v>#REF!</v>
      </c>
      <c r="DK18" t="e">
        <f>AND(Liste!#REF!,"AAAAADf//3I=")</f>
        <v>#REF!</v>
      </c>
      <c r="DL18" t="e">
        <f>AND(Liste!#REF!,"AAAAADf//3M=")</f>
        <v>#REF!</v>
      </c>
      <c r="DM18" t="e">
        <f>AND(Liste!#REF!,"AAAAADf//3Q=")</f>
        <v>#REF!</v>
      </c>
      <c r="DN18" t="e">
        <f>AND(Liste!#REF!,"AAAAADf//3U=")</f>
        <v>#REF!</v>
      </c>
      <c r="DO18" t="e">
        <f>AND(Liste!#REF!,"AAAAADf//3Y=")</f>
        <v>#REF!</v>
      </c>
      <c r="DP18" t="e">
        <f>AND(Liste!#REF!,"AAAAADf//3c=")</f>
        <v>#REF!</v>
      </c>
      <c r="DQ18" t="e">
        <f>AND(Liste!#REF!,"AAAAADf//3g=")</f>
        <v>#REF!</v>
      </c>
      <c r="DR18" t="e">
        <f>AND(Liste!#REF!,"AAAAADf//3k=")</f>
        <v>#REF!</v>
      </c>
      <c r="DS18" t="e">
        <f>AND(Liste!#REF!,"AAAAADf//3o=")</f>
        <v>#REF!</v>
      </c>
      <c r="DT18" t="e">
        <f>AND(Liste!#REF!,"AAAAADf//3s=")</f>
        <v>#REF!</v>
      </c>
      <c r="DU18" t="e">
        <f>AND(Liste!#REF!,"AAAAADf//3w=")</f>
        <v>#REF!</v>
      </c>
      <c r="DV18" t="e">
        <f>AND(Liste!#REF!,"AAAAADf//30=")</f>
        <v>#REF!</v>
      </c>
      <c r="DW18" t="e">
        <f>AND(Liste!#REF!,"AAAAADf//34=")</f>
        <v>#REF!</v>
      </c>
      <c r="DX18" t="e">
        <f>AND(Liste!#REF!,"AAAAADf//38=")</f>
        <v>#REF!</v>
      </c>
      <c r="DY18" t="e">
        <f>AND(Liste!#REF!,"AAAAADf//4A=")</f>
        <v>#REF!</v>
      </c>
      <c r="DZ18" t="e">
        <f>AND(Liste!#REF!,"AAAAADf//4E=")</f>
        <v>#REF!</v>
      </c>
      <c r="EA18" t="e">
        <f>AND(Liste!#REF!,"AAAAADf//4I=")</f>
        <v>#REF!</v>
      </c>
      <c r="EB18" t="e">
        <f>AND(Liste!#REF!,"AAAAADf//4M=")</f>
        <v>#REF!</v>
      </c>
      <c r="EC18" t="e">
        <f>AND(Liste!#REF!,"AAAAADf//4Q=")</f>
        <v>#REF!</v>
      </c>
      <c r="ED18" t="e">
        <f>AND(Liste!#REF!,"AAAAADf//4U=")</f>
        <v>#REF!</v>
      </c>
      <c r="EE18" t="e">
        <f>AND(Liste!#REF!,"AAAAADf//4Y=")</f>
        <v>#REF!</v>
      </c>
      <c r="EF18" t="e">
        <f>AND(Liste!#REF!,"AAAAADf//4c=")</f>
        <v>#REF!</v>
      </c>
      <c r="EG18" t="e">
        <f>AND(Liste!#REF!,"AAAAADf//4g=")</f>
        <v>#REF!</v>
      </c>
      <c r="EH18" t="e">
        <f>AND(Liste!#REF!,"AAAAADf//4k=")</f>
        <v>#REF!</v>
      </c>
      <c r="EI18" t="e">
        <f>AND(Liste!#REF!,"AAAAADf//4o=")</f>
        <v>#REF!</v>
      </c>
      <c r="EJ18" t="e">
        <f>AND(Liste!#REF!,"AAAAADf//4s=")</f>
        <v>#REF!</v>
      </c>
      <c r="EK18" t="e">
        <f>AND(Liste!#REF!,"AAAAADf//4w=")</f>
        <v>#REF!</v>
      </c>
      <c r="EL18" t="e">
        <f>AND(Liste!#REF!,"AAAAADf//40=")</f>
        <v>#REF!</v>
      </c>
      <c r="EM18" t="e">
        <f>AND(Liste!#REF!,"AAAAADf//44=")</f>
        <v>#REF!</v>
      </c>
      <c r="EN18" t="e">
        <f>IF(Liste!#REF!,"AAAAADf//48=",0)</f>
        <v>#REF!</v>
      </c>
      <c r="EO18" t="e">
        <f>AND(Liste!#REF!,"AAAAADf//5A=")</f>
        <v>#REF!</v>
      </c>
      <c r="EP18" t="e">
        <f>AND(Liste!#REF!,"AAAAADf//5E=")</f>
        <v>#REF!</v>
      </c>
      <c r="EQ18" t="e">
        <f>AND(Liste!#REF!,"AAAAADf//5I=")</f>
        <v>#REF!</v>
      </c>
      <c r="ER18" t="e">
        <f>AND(Liste!#REF!,"AAAAADf//5M=")</f>
        <v>#REF!</v>
      </c>
      <c r="ES18" t="e">
        <f>AND(Liste!#REF!,"AAAAADf//5Q=")</f>
        <v>#REF!</v>
      </c>
      <c r="ET18" t="e">
        <f>AND(Liste!#REF!,"AAAAADf//5U=")</f>
        <v>#REF!</v>
      </c>
      <c r="EU18" t="e">
        <f>AND(Liste!#REF!,"AAAAADf//5Y=")</f>
        <v>#REF!</v>
      </c>
      <c r="EV18" t="e">
        <f>AND(Liste!#REF!,"AAAAADf//5c=")</f>
        <v>#REF!</v>
      </c>
      <c r="EW18" t="e">
        <f>AND(Liste!#REF!,"AAAAADf//5g=")</f>
        <v>#REF!</v>
      </c>
      <c r="EX18" t="e">
        <f>AND(Liste!#REF!,"AAAAADf//5k=")</f>
        <v>#REF!</v>
      </c>
      <c r="EY18" t="e">
        <f>AND(Liste!#REF!,"AAAAADf//5o=")</f>
        <v>#REF!</v>
      </c>
      <c r="EZ18" t="e">
        <f>AND(Liste!#REF!,"AAAAADf//5s=")</f>
        <v>#REF!</v>
      </c>
      <c r="FA18" t="e">
        <f>AND(Liste!#REF!,"AAAAADf//5w=")</f>
        <v>#REF!</v>
      </c>
      <c r="FB18" t="e">
        <f>AND(Liste!#REF!,"AAAAADf//50=")</f>
        <v>#REF!</v>
      </c>
      <c r="FC18" t="e">
        <f>AND(Liste!#REF!,"AAAAADf//54=")</f>
        <v>#REF!</v>
      </c>
      <c r="FD18" t="e">
        <f>AND(Liste!#REF!,"AAAAADf//58=")</f>
        <v>#REF!</v>
      </c>
      <c r="FE18" t="e">
        <f>AND(Liste!#REF!,"AAAAADf//6A=")</f>
        <v>#REF!</v>
      </c>
      <c r="FF18" t="e">
        <f>AND(Liste!#REF!,"AAAAADf//6E=")</f>
        <v>#REF!</v>
      </c>
      <c r="FG18" t="e">
        <f>AND(Liste!#REF!,"AAAAADf//6I=")</f>
        <v>#REF!</v>
      </c>
      <c r="FH18" t="e">
        <f>AND(Liste!#REF!,"AAAAADf//6M=")</f>
        <v>#REF!</v>
      </c>
      <c r="FI18" t="e">
        <f>AND(Liste!#REF!,"AAAAADf//6Q=")</f>
        <v>#REF!</v>
      </c>
      <c r="FJ18" t="e">
        <f>AND(Liste!#REF!,"AAAAADf//6U=")</f>
        <v>#REF!</v>
      </c>
      <c r="FK18" t="e">
        <f>AND(Liste!#REF!,"AAAAADf//6Y=")</f>
        <v>#REF!</v>
      </c>
      <c r="FL18" t="e">
        <f>AND(Liste!#REF!,"AAAAADf//6c=")</f>
        <v>#REF!</v>
      </c>
      <c r="FM18" t="e">
        <f>AND(Liste!#REF!,"AAAAADf//6g=")</f>
        <v>#REF!</v>
      </c>
      <c r="FN18" t="e">
        <f>AND(Liste!#REF!,"AAAAADf//6k=")</f>
        <v>#REF!</v>
      </c>
      <c r="FO18" t="e">
        <f>AND(Liste!#REF!,"AAAAADf//6o=")</f>
        <v>#REF!</v>
      </c>
      <c r="FP18" t="e">
        <f>AND(Liste!#REF!,"AAAAADf//6s=")</f>
        <v>#REF!</v>
      </c>
      <c r="FQ18" t="e">
        <f>AND(Liste!#REF!,"AAAAADf//6w=")</f>
        <v>#REF!</v>
      </c>
      <c r="FR18" t="e">
        <f>AND(Liste!#REF!,"AAAAADf//60=")</f>
        <v>#REF!</v>
      </c>
      <c r="FS18" t="e">
        <f>IF(Liste!#REF!,"AAAAADf//64=",0)</f>
        <v>#REF!</v>
      </c>
      <c r="FT18" t="e">
        <f>AND(Liste!#REF!,"AAAAADf//68=")</f>
        <v>#REF!</v>
      </c>
      <c r="FU18" t="e">
        <f>AND(Liste!#REF!,"AAAAADf//7A=")</f>
        <v>#REF!</v>
      </c>
      <c r="FV18" t="e">
        <f>AND(Liste!#REF!,"AAAAADf//7E=")</f>
        <v>#REF!</v>
      </c>
      <c r="FW18" t="e">
        <f>AND(Liste!#REF!,"AAAAADf//7I=")</f>
        <v>#REF!</v>
      </c>
      <c r="FX18" t="e">
        <f>AND(Liste!#REF!,"AAAAADf//7M=")</f>
        <v>#REF!</v>
      </c>
      <c r="FY18" t="e">
        <f>AND(Liste!#REF!,"AAAAADf//7Q=")</f>
        <v>#REF!</v>
      </c>
      <c r="FZ18" t="e">
        <f>AND(Liste!#REF!,"AAAAADf//7U=")</f>
        <v>#REF!</v>
      </c>
      <c r="GA18" t="e">
        <f>AND(Liste!#REF!,"AAAAADf//7Y=")</f>
        <v>#REF!</v>
      </c>
      <c r="GB18" t="e">
        <f>AND(Liste!#REF!,"AAAAADf//7c=")</f>
        <v>#REF!</v>
      </c>
      <c r="GC18" t="e">
        <f>AND(Liste!#REF!,"AAAAADf//7g=")</f>
        <v>#REF!</v>
      </c>
      <c r="GD18" t="e">
        <f>AND(Liste!#REF!,"AAAAADf//7k=")</f>
        <v>#REF!</v>
      </c>
      <c r="GE18" t="e">
        <f>AND(Liste!#REF!,"AAAAADf//7o=")</f>
        <v>#REF!</v>
      </c>
      <c r="GF18" t="e">
        <f>AND(Liste!#REF!,"AAAAADf//7s=")</f>
        <v>#REF!</v>
      </c>
      <c r="GG18" t="e">
        <f>AND(Liste!#REF!,"AAAAADf//7w=")</f>
        <v>#REF!</v>
      </c>
      <c r="GH18" t="e">
        <f>AND(Liste!#REF!,"AAAAADf//70=")</f>
        <v>#REF!</v>
      </c>
      <c r="GI18" t="e">
        <f>AND(Liste!#REF!,"AAAAADf//74=")</f>
        <v>#REF!</v>
      </c>
      <c r="GJ18" t="e">
        <f>AND(Liste!#REF!,"AAAAADf//78=")</f>
        <v>#REF!</v>
      </c>
      <c r="GK18" t="e">
        <f>AND(Liste!#REF!,"AAAAADf//8A=")</f>
        <v>#REF!</v>
      </c>
      <c r="GL18" t="e">
        <f>AND(Liste!#REF!,"AAAAADf//8E=")</f>
        <v>#REF!</v>
      </c>
      <c r="GM18" t="e">
        <f>AND(Liste!#REF!,"AAAAADf//8I=")</f>
        <v>#REF!</v>
      </c>
      <c r="GN18" t="e">
        <f>AND(Liste!#REF!,"AAAAADf//8M=")</f>
        <v>#REF!</v>
      </c>
      <c r="GO18" t="e">
        <f>AND(Liste!#REF!,"AAAAADf//8Q=")</f>
        <v>#REF!</v>
      </c>
      <c r="GP18" t="e">
        <f>AND(Liste!#REF!,"AAAAADf//8U=")</f>
        <v>#REF!</v>
      </c>
      <c r="GQ18" t="e">
        <f>AND(Liste!#REF!,"AAAAADf//8Y=")</f>
        <v>#REF!</v>
      </c>
      <c r="GR18" t="e">
        <f>AND(Liste!#REF!,"AAAAADf//8c=")</f>
        <v>#REF!</v>
      </c>
      <c r="GS18" t="e">
        <f>AND(Liste!#REF!,"AAAAADf//8g=")</f>
        <v>#REF!</v>
      </c>
      <c r="GT18" t="e">
        <f>AND(Liste!#REF!,"AAAAADf//8k=")</f>
        <v>#REF!</v>
      </c>
      <c r="GU18" t="e">
        <f>AND(Liste!#REF!,"AAAAADf//8o=")</f>
        <v>#REF!</v>
      </c>
      <c r="GV18" t="e">
        <f>AND(Liste!#REF!,"AAAAADf//8s=")</f>
        <v>#REF!</v>
      </c>
      <c r="GW18" t="e">
        <f>AND(Liste!#REF!,"AAAAADf//8w=")</f>
        <v>#REF!</v>
      </c>
      <c r="GX18" t="e">
        <f>IF(Liste!#REF!,"AAAAADf//80=",0)</f>
        <v>#REF!</v>
      </c>
      <c r="GY18" t="e">
        <f>AND(Liste!#REF!,"AAAAADf//84=")</f>
        <v>#REF!</v>
      </c>
      <c r="GZ18" t="e">
        <f>AND(Liste!#REF!,"AAAAADf//88=")</f>
        <v>#REF!</v>
      </c>
      <c r="HA18" t="e">
        <f>AND(Liste!#REF!,"AAAAADf//9A=")</f>
        <v>#REF!</v>
      </c>
      <c r="HB18" t="e">
        <f>AND(Liste!#REF!,"AAAAADf//9E=")</f>
        <v>#REF!</v>
      </c>
      <c r="HC18" t="e">
        <f>AND(Liste!#REF!,"AAAAADf//9I=")</f>
        <v>#REF!</v>
      </c>
      <c r="HD18" t="e">
        <f>AND(Liste!#REF!,"AAAAADf//9M=")</f>
        <v>#REF!</v>
      </c>
      <c r="HE18" t="e">
        <f>AND(Liste!#REF!,"AAAAADf//9Q=")</f>
        <v>#REF!</v>
      </c>
      <c r="HF18" t="e">
        <f>AND(Liste!#REF!,"AAAAADf//9U=")</f>
        <v>#REF!</v>
      </c>
      <c r="HG18" t="e">
        <f>AND(Liste!#REF!,"AAAAADf//9Y=")</f>
        <v>#REF!</v>
      </c>
      <c r="HH18" t="e">
        <f>AND(Liste!#REF!,"AAAAADf//9c=")</f>
        <v>#REF!</v>
      </c>
      <c r="HI18" t="e">
        <f>AND(Liste!#REF!,"AAAAADf//9g=")</f>
        <v>#REF!</v>
      </c>
      <c r="HJ18" t="e">
        <f>AND(Liste!#REF!,"AAAAADf//9k=")</f>
        <v>#REF!</v>
      </c>
      <c r="HK18" t="e">
        <f>AND(Liste!#REF!,"AAAAADf//9o=")</f>
        <v>#REF!</v>
      </c>
      <c r="HL18" t="e">
        <f>AND(Liste!#REF!,"AAAAADf//9s=")</f>
        <v>#REF!</v>
      </c>
      <c r="HM18" t="e">
        <f>AND(Liste!#REF!,"AAAAADf//9w=")</f>
        <v>#REF!</v>
      </c>
      <c r="HN18" t="e">
        <f>AND(Liste!#REF!,"AAAAADf//90=")</f>
        <v>#REF!</v>
      </c>
      <c r="HO18" t="e">
        <f>AND(Liste!#REF!,"AAAAADf//94=")</f>
        <v>#REF!</v>
      </c>
      <c r="HP18" t="e">
        <f>AND(Liste!#REF!,"AAAAADf//98=")</f>
        <v>#REF!</v>
      </c>
      <c r="HQ18" t="e">
        <f>AND(Liste!#REF!,"AAAAADf//+A=")</f>
        <v>#REF!</v>
      </c>
      <c r="HR18" t="e">
        <f>AND(Liste!#REF!,"AAAAADf//+E=")</f>
        <v>#REF!</v>
      </c>
      <c r="HS18" t="e">
        <f>AND(Liste!#REF!,"AAAAADf//+I=")</f>
        <v>#REF!</v>
      </c>
      <c r="HT18" t="e">
        <f>AND(Liste!#REF!,"AAAAADf//+M=")</f>
        <v>#REF!</v>
      </c>
      <c r="HU18" t="e">
        <f>AND(Liste!#REF!,"AAAAADf//+Q=")</f>
        <v>#REF!</v>
      </c>
      <c r="HV18" t="e">
        <f>AND(Liste!#REF!,"AAAAADf//+U=")</f>
        <v>#REF!</v>
      </c>
      <c r="HW18" t="e">
        <f>AND(Liste!#REF!,"AAAAADf//+Y=")</f>
        <v>#REF!</v>
      </c>
      <c r="HX18" t="e">
        <f>AND(Liste!#REF!,"AAAAADf//+c=")</f>
        <v>#REF!</v>
      </c>
      <c r="HY18" t="e">
        <f>AND(Liste!#REF!,"AAAAADf//+g=")</f>
        <v>#REF!</v>
      </c>
      <c r="HZ18" t="e">
        <f>AND(Liste!#REF!,"AAAAADf//+k=")</f>
        <v>#REF!</v>
      </c>
      <c r="IA18" t="e">
        <f>AND(Liste!#REF!,"AAAAADf//+o=")</f>
        <v>#REF!</v>
      </c>
      <c r="IB18" t="e">
        <f>AND(Liste!#REF!,"AAAAADf//+s=")</f>
        <v>#REF!</v>
      </c>
      <c r="IC18" t="e">
        <f>IF(Liste!#REF!,"AAAAADf//+w=",0)</f>
        <v>#REF!</v>
      </c>
      <c r="ID18" t="e">
        <f>AND(Liste!#REF!,"AAAAADf//+0=")</f>
        <v>#REF!</v>
      </c>
      <c r="IE18" t="e">
        <f>AND(Liste!#REF!,"AAAAADf//+4=")</f>
        <v>#REF!</v>
      </c>
      <c r="IF18" t="e">
        <f>AND(Liste!#REF!,"AAAAADf//+8=")</f>
        <v>#REF!</v>
      </c>
      <c r="IG18" t="e">
        <f>AND(Liste!#REF!,"AAAAADf///A=")</f>
        <v>#REF!</v>
      </c>
      <c r="IH18" t="e">
        <f>AND(Liste!#REF!,"AAAAADf///E=")</f>
        <v>#REF!</v>
      </c>
      <c r="II18" t="e">
        <f>AND(Liste!#REF!,"AAAAADf///I=")</f>
        <v>#REF!</v>
      </c>
      <c r="IJ18" t="e">
        <f>AND(Liste!#REF!,"AAAAADf///M=")</f>
        <v>#REF!</v>
      </c>
      <c r="IK18" t="e">
        <f>AND(Liste!#REF!,"AAAAADf///Q=")</f>
        <v>#REF!</v>
      </c>
      <c r="IL18" t="e">
        <f>AND(Liste!#REF!,"AAAAADf///U=")</f>
        <v>#REF!</v>
      </c>
      <c r="IM18" t="e">
        <f>AND(Liste!#REF!,"AAAAADf///Y=")</f>
        <v>#REF!</v>
      </c>
      <c r="IN18" t="e">
        <f>AND(Liste!#REF!,"AAAAADf///c=")</f>
        <v>#REF!</v>
      </c>
      <c r="IO18" t="e">
        <f>AND(Liste!#REF!,"AAAAADf///g=")</f>
        <v>#REF!</v>
      </c>
      <c r="IP18" t="e">
        <f>AND(Liste!#REF!,"AAAAADf///k=")</f>
        <v>#REF!</v>
      </c>
      <c r="IQ18" t="e">
        <f>AND(Liste!#REF!,"AAAAADf///o=")</f>
        <v>#REF!</v>
      </c>
      <c r="IR18" t="e">
        <f>AND(Liste!#REF!,"AAAAADf///s=")</f>
        <v>#REF!</v>
      </c>
      <c r="IS18" t="e">
        <f>AND(Liste!#REF!,"AAAAADf///w=")</f>
        <v>#REF!</v>
      </c>
      <c r="IT18" t="e">
        <f>AND(Liste!#REF!,"AAAAADf///0=")</f>
        <v>#REF!</v>
      </c>
      <c r="IU18" t="e">
        <f>AND(Liste!#REF!,"AAAAADf///4=")</f>
        <v>#REF!</v>
      </c>
      <c r="IV18" t="e">
        <f>AND(Liste!#REF!,"AAAAADf///8=")</f>
        <v>#REF!</v>
      </c>
    </row>
    <row r="19" spans="1:256" x14ac:dyDescent="0.2">
      <c r="A19" t="e">
        <f>AND(Liste!#REF!,"AAAAAH89vgA=")</f>
        <v>#REF!</v>
      </c>
      <c r="B19" t="e">
        <f>AND(Liste!#REF!,"AAAAAH89vgE=")</f>
        <v>#REF!</v>
      </c>
      <c r="C19" t="e">
        <f>AND(Liste!#REF!,"AAAAAH89vgI=")</f>
        <v>#REF!</v>
      </c>
      <c r="D19" t="e">
        <f>AND(Liste!#REF!,"AAAAAH89vgM=")</f>
        <v>#REF!</v>
      </c>
      <c r="E19" t="e">
        <f>AND(Liste!#REF!,"AAAAAH89vgQ=")</f>
        <v>#REF!</v>
      </c>
      <c r="F19" t="e">
        <f>AND(Liste!#REF!,"AAAAAH89vgU=")</f>
        <v>#REF!</v>
      </c>
      <c r="G19" t="e">
        <f>AND(Liste!#REF!,"AAAAAH89vgY=")</f>
        <v>#REF!</v>
      </c>
      <c r="H19" t="e">
        <f>AND(Liste!#REF!,"AAAAAH89vgc=")</f>
        <v>#REF!</v>
      </c>
      <c r="I19" t="e">
        <f>AND(Liste!#REF!,"AAAAAH89vgg=")</f>
        <v>#REF!</v>
      </c>
      <c r="J19" t="e">
        <f>AND(Liste!#REF!,"AAAAAH89vgk=")</f>
        <v>#REF!</v>
      </c>
      <c r="K19" t="e">
        <f>AND(Liste!#REF!,"AAAAAH89vgo=")</f>
        <v>#REF!</v>
      </c>
      <c r="L19" t="e">
        <f>IF(Liste!#REF!,"AAAAAH89vgs=",0)</f>
        <v>#REF!</v>
      </c>
      <c r="M19" t="e">
        <f>AND(Liste!#REF!,"AAAAAH89vgw=")</f>
        <v>#REF!</v>
      </c>
      <c r="N19" t="e">
        <f>AND(Liste!#REF!,"AAAAAH89vg0=")</f>
        <v>#REF!</v>
      </c>
      <c r="O19" t="e">
        <f>AND(Liste!#REF!,"AAAAAH89vg4=")</f>
        <v>#REF!</v>
      </c>
      <c r="P19" t="e">
        <f>AND(Liste!#REF!,"AAAAAH89vg8=")</f>
        <v>#REF!</v>
      </c>
      <c r="Q19" t="e">
        <f>AND(Liste!#REF!,"AAAAAH89vhA=")</f>
        <v>#REF!</v>
      </c>
      <c r="R19" t="e">
        <f>AND(Liste!#REF!,"AAAAAH89vhE=")</f>
        <v>#REF!</v>
      </c>
      <c r="S19" t="e">
        <f>AND(Liste!#REF!,"AAAAAH89vhI=")</f>
        <v>#REF!</v>
      </c>
      <c r="T19" t="e">
        <f>AND(Liste!#REF!,"AAAAAH89vhM=")</f>
        <v>#REF!</v>
      </c>
      <c r="U19" t="e">
        <f>AND(Liste!#REF!,"AAAAAH89vhQ=")</f>
        <v>#REF!</v>
      </c>
      <c r="V19" t="e">
        <f>AND(Liste!#REF!,"AAAAAH89vhU=")</f>
        <v>#REF!</v>
      </c>
      <c r="W19" t="e">
        <f>AND(Liste!#REF!,"AAAAAH89vhY=")</f>
        <v>#REF!</v>
      </c>
      <c r="X19" t="e">
        <f>AND(Liste!#REF!,"AAAAAH89vhc=")</f>
        <v>#REF!</v>
      </c>
      <c r="Y19" t="e">
        <f>AND(Liste!#REF!,"AAAAAH89vhg=")</f>
        <v>#REF!</v>
      </c>
      <c r="Z19" t="e">
        <f>AND(Liste!#REF!,"AAAAAH89vhk=")</f>
        <v>#REF!</v>
      </c>
      <c r="AA19" t="e">
        <f>AND(Liste!#REF!,"AAAAAH89vho=")</f>
        <v>#REF!</v>
      </c>
      <c r="AB19" t="e">
        <f>AND(Liste!#REF!,"AAAAAH89vhs=")</f>
        <v>#REF!</v>
      </c>
      <c r="AC19" t="e">
        <f>AND(Liste!#REF!,"AAAAAH89vhw=")</f>
        <v>#REF!</v>
      </c>
      <c r="AD19" t="e">
        <f>AND(Liste!#REF!,"AAAAAH89vh0=")</f>
        <v>#REF!</v>
      </c>
      <c r="AE19" t="e">
        <f>AND(Liste!#REF!,"AAAAAH89vh4=")</f>
        <v>#REF!</v>
      </c>
      <c r="AF19" t="e">
        <f>AND(Liste!#REF!,"AAAAAH89vh8=")</f>
        <v>#REF!</v>
      </c>
      <c r="AG19" t="e">
        <f>AND(Liste!#REF!,"AAAAAH89viA=")</f>
        <v>#REF!</v>
      </c>
      <c r="AH19" t="e">
        <f>AND(Liste!#REF!,"AAAAAH89viE=")</f>
        <v>#REF!</v>
      </c>
      <c r="AI19" t="e">
        <f>AND(Liste!#REF!,"AAAAAH89viI=")</f>
        <v>#REF!</v>
      </c>
      <c r="AJ19" t="e">
        <f>AND(Liste!#REF!,"AAAAAH89viM=")</f>
        <v>#REF!</v>
      </c>
      <c r="AK19" t="e">
        <f>AND(Liste!#REF!,"AAAAAH89viQ=")</f>
        <v>#REF!</v>
      </c>
      <c r="AL19" t="e">
        <f>AND(Liste!#REF!,"AAAAAH89viU=")</f>
        <v>#REF!</v>
      </c>
      <c r="AM19" t="e">
        <f>AND(Liste!#REF!,"AAAAAH89viY=")</f>
        <v>#REF!</v>
      </c>
      <c r="AN19" t="e">
        <f>AND(Liste!#REF!,"AAAAAH89vic=")</f>
        <v>#REF!</v>
      </c>
      <c r="AO19" t="e">
        <f>AND(Liste!#REF!,"AAAAAH89vig=")</f>
        <v>#REF!</v>
      </c>
      <c r="AP19" t="e">
        <f>AND(Liste!#REF!,"AAAAAH89vik=")</f>
        <v>#REF!</v>
      </c>
      <c r="AQ19" t="e">
        <f>IF(Liste!#REF!,"AAAAAH89vio=",0)</f>
        <v>#REF!</v>
      </c>
      <c r="AR19" t="e">
        <f>AND(Liste!#REF!,"AAAAAH89vis=")</f>
        <v>#REF!</v>
      </c>
      <c r="AS19" t="e">
        <f>AND(Liste!#REF!,"AAAAAH89viw=")</f>
        <v>#REF!</v>
      </c>
      <c r="AT19" t="e">
        <f>AND(Liste!#REF!,"AAAAAH89vi0=")</f>
        <v>#REF!</v>
      </c>
      <c r="AU19" t="e">
        <f>AND(Liste!#REF!,"AAAAAH89vi4=")</f>
        <v>#REF!</v>
      </c>
      <c r="AV19" t="e">
        <f>AND(Liste!#REF!,"AAAAAH89vi8=")</f>
        <v>#REF!</v>
      </c>
      <c r="AW19" t="e">
        <f>AND(Liste!#REF!,"AAAAAH89vjA=")</f>
        <v>#REF!</v>
      </c>
      <c r="AX19" t="e">
        <f>AND(Liste!#REF!,"AAAAAH89vjE=")</f>
        <v>#REF!</v>
      </c>
      <c r="AY19" t="e">
        <f>AND(Liste!#REF!,"AAAAAH89vjI=")</f>
        <v>#REF!</v>
      </c>
      <c r="AZ19" t="e">
        <f>AND(Liste!#REF!,"AAAAAH89vjM=")</f>
        <v>#REF!</v>
      </c>
      <c r="BA19" t="e">
        <f>AND(Liste!#REF!,"AAAAAH89vjQ=")</f>
        <v>#REF!</v>
      </c>
      <c r="BB19" t="e">
        <f>AND(Liste!#REF!,"AAAAAH89vjU=")</f>
        <v>#REF!</v>
      </c>
      <c r="BC19" t="e">
        <f>AND(Liste!#REF!,"AAAAAH89vjY=")</f>
        <v>#REF!</v>
      </c>
      <c r="BD19" t="e">
        <f>AND(Liste!#REF!,"AAAAAH89vjc=")</f>
        <v>#REF!</v>
      </c>
      <c r="BE19" t="e">
        <f>AND(Liste!#REF!,"AAAAAH89vjg=")</f>
        <v>#REF!</v>
      </c>
      <c r="BF19" t="e">
        <f>AND(Liste!#REF!,"AAAAAH89vjk=")</f>
        <v>#REF!</v>
      </c>
      <c r="BG19" t="e">
        <f>AND(Liste!#REF!,"AAAAAH89vjo=")</f>
        <v>#REF!</v>
      </c>
      <c r="BH19" t="e">
        <f>AND(Liste!#REF!,"AAAAAH89vjs=")</f>
        <v>#REF!</v>
      </c>
      <c r="BI19" t="e">
        <f>AND(Liste!#REF!,"AAAAAH89vjw=")</f>
        <v>#REF!</v>
      </c>
      <c r="BJ19" t="e">
        <f>AND(Liste!#REF!,"AAAAAH89vj0=")</f>
        <v>#REF!</v>
      </c>
      <c r="BK19" t="e">
        <f>AND(Liste!#REF!,"AAAAAH89vj4=")</f>
        <v>#REF!</v>
      </c>
      <c r="BL19" t="e">
        <f>AND(Liste!#REF!,"AAAAAH89vj8=")</f>
        <v>#REF!</v>
      </c>
      <c r="BM19" t="e">
        <f>AND(Liste!#REF!,"AAAAAH89vkA=")</f>
        <v>#REF!</v>
      </c>
      <c r="BN19" t="e">
        <f>AND(Liste!#REF!,"AAAAAH89vkE=")</f>
        <v>#REF!</v>
      </c>
      <c r="BO19" t="e">
        <f>AND(Liste!#REF!,"AAAAAH89vkI=")</f>
        <v>#REF!</v>
      </c>
      <c r="BP19" t="e">
        <f>AND(Liste!#REF!,"AAAAAH89vkM=")</f>
        <v>#REF!</v>
      </c>
      <c r="BQ19" t="e">
        <f>AND(Liste!#REF!,"AAAAAH89vkQ=")</f>
        <v>#REF!</v>
      </c>
      <c r="BR19" t="e">
        <f>AND(Liste!#REF!,"AAAAAH89vkU=")</f>
        <v>#REF!</v>
      </c>
      <c r="BS19" t="e">
        <f>AND(Liste!#REF!,"AAAAAH89vkY=")</f>
        <v>#REF!</v>
      </c>
      <c r="BT19" t="e">
        <f>AND(Liste!#REF!,"AAAAAH89vkc=")</f>
        <v>#REF!</v>
      </c>
      <c r="BU19" t="e">
        <f>AND(Liste!#REF!,"AAAAAH89vkg=")</f>
        <v>#REF!</v>
      </c>
      <c r="BV19" t="e">
        <f>IF(Liste!#REF!,"AAAAAH89vkk=",0)</f>
        <v>#REF!</v>
      </c>
      <c r="BW19" t="e">
        <f>AND(Liste!#REF!,"AAAAAH89vko=")</f>
        <v>#REF!</v>
      </c>
      <c r="BX19" t="e">
        <f>AND(Liste!#REF!,"AAAAAH89vks=")</f>
        <v>#REF!</v>
      </c>
      <c r="BY19" t="e">
        <f>AND(Liste!#REF!,"AAAAAH89vkw=")</f>
        <v>#REF!</v>
      </c>
      <c r="BZ19" t="e">
        <f>AND(Liste!#REF!,"AAAAAH89vk0=")</f>
        <v>#REF!</v>
      </c>
      <c r="CA19" t="e">
        <f>AND(Liste!#REF!,"AAAAAH89vk4=")</f>
        <v>#REF!</v>
      </c>
      <c r="CB19" t="e">
        <f>AND(Liste!#REF!,"AAAAAH89vk8=")</f>
        <v>#REF!</v>
      </c>
      <c r="CC19" t="e">
        <f>AND(Liste!#REF!,"AAAAAH89vlA=")</f>
        <v>#REF!</v>
      </c>
      <c r="CD19" t="e">
        <f>AND(Liste!#REF!,"AAAAAH89vlE=")</f>
        <v>#REF!</v>
      </c>
      <c r="CE19" t="e">
        <f>AND(Liste!#REF!,"AAAAAH89vlI=")</f>
        <v>#REF!</v>
      </c>
      <c r="CF19" t="e">
        <f>AND(Liste!#REF!,"AAAAAH89vlM=")</f>
        <v>#REF!</v>
      </c>
      <c r="CG19" t="e">
        <f>AND(Liste!#REF!,"AAAAAH89vlQ=")</f>
        <v>#REF!</v>
      </c>
      <c r="CH19" t="e">
        <f>AND(Liste!#REF!,"AAAAAH89vlU=")</f>
        <v>#REF!</v>
      </c>
      <c r="CI19" t="e">
        <f>AND(Liste!#REF!,"AAAAAH89vlY=")</f>
        <v>#REF!</v>
      </c>
      <c r="CJ19" t="e">
        <f>AND(Liste!#REF!,"AAAAAH89vlc=")</f>
        <v>#REF!</v>
      </c>
      <c r="CK19" t="e">
        <f>AND(Liste!#REF!,"AAAAAH89vlg=")</f>
        <v>#REF!</v>
      </c>
      <c r="CL19" t="e">
        <f>AND(Liste!#REF!,"AAAAAH89vlk=")</f>
        <v>#REF!</v>
      </c>
      <c r="CM19" t="e">
        <f>AND(Liste!#REF!,"AAAAAH89vlo=")</f>
        <v>#REF!</v>
      </c>
      <c r="CN19" t="e">
        <f>AND(Liste!#REF!,"AAAAAH89vls=")</f>
        <v>#REF!</v>
      </c>
      <c r="CO19" t="e">
        <f>AND(Liste!#REF!,"AAAAAH89vlw=")</f>
        <v>#REF!</v>
      </c>
      <c r="CP19" t="e">
        <f>AND(Liste!#REF!,"AAAAAH89vl0=")</f>
        <v>#REF!</v>
      </c>
      <c r="CQ19" t="e">
        <f>AND(Liste!#REF!,"AAAAAH89vl4=")</f>
        <v>#REF!</v>
      </c>
      <c r="CR19" t="e">
        <f>AND(Liste!#REF!,"AAAAAH89vl8=")</f>
        <v>#REF!</v>
      </c>
      <c r="CS19" t="e">
        <f>AND(Liste!#REF!,"AAAAAH89vmA=")</f>
        <v>#REF!</v>
      </c>
      <c r="CT19" t="e">
        <f>AND(Liste!#REF!,"AAAAAH89vmE=")</f>
        <v>#REF!</v>
      </c>
      <c r="CU19" t="e">
        <f>AND(Liste!#REF!,"AAAAAH89vmI=")</f>
        <v>#REF!</v>
      </c>
      <c r="CV19" t="e">
        <f>AND(Liste!#REF!,"AAAAAH89vmM=")</f>
        <v>#REF!</v>
      </c>
      <c r="CW19" t="e">
        <f>AND(Liste!#REF!,"AAAAAH89vmQ=")</f>
        <v>#REF!</v>
      </c>
      <c r="CX19" t="e">
        <f>AND(Liste!#REF!,"AAAAAH89vmU=")</f>
        <v>#REF!</v>
      </c>
      <c r="CY19" t="e">
        <f>AND(Liste!#REF!,"AAAAAH89vmY=")</f>
        <v>#REF!</v>
      </c>
      <c r="CZ19" t="e">
        <f>AND(Liste!#REF!,"AAAAAH89vmc=")</f>
        <v>#REF!</v>
      </c>
      <c r="DA19" t="e">
        <f>IF(Liste!#REF!,"AAAAAH89vmg=",0)</f>
        <v>#REF!</v>
      </c>
      <c r="DB19" t="e">
        <f>AND(Liste!#REF!,"AAAAAH89vmk=")</f>
        <v>#REF!</v>
      </c>
      <c r="DC19" t="e">
        <f>AND(Liste!#REF!,"AAAAAH89vmo=")</f>
        <v>#REF!</v>
      </c>
      <c r="DD19" t="e">
        <f>AND(Liste!#REF!,"AAAAAH89vms=")</f>
        <v>#REF!</v>
      </c>
      <c r="DE19" t="e">
        <f>AND(Liste!#REF!,"AAAAAH89vmw=")</f>
        <v>#REF!</v>
      </c>
      <c r="DF19" t="e">
        <f>AND(Liste!#REF!,"AAAAAH89vm0=")</f>
        <v>#REF!</v>
      </c>
      <c r="DG19" t="e">
        <f>AND(Liste!#REF!,"AAAAAH89vm4=")</f>
        <v>#REF!</v>
      </c>
      <c r="DH19" t="e">
        <f>AND(Liste!#REF!,"AAAAAH89vm8=")</f>
        <v>#REF!</v>
      </c>
      <c r="DI19" t="e">
        <f>AND(Liste!#REF!,"AAAAAH89vnA=")</f>
        <v>#REF!</v>
      </c>
      <c r="DJ19" t="e">
        <f>AND(Liste!#REF!,"AAAAAH89vnE=")</f>
        <v>#REF!</v>
      </c>
      <c r="DK19" t="e">
        <f>AND(Liste!#REF!,"AAAAAH89vnI=")</f>
        <v>#REF!</v>
      </c>
      <c r="DL19" t="e">
        <f>AND(Liste!#REF!,"AAAAAH89vnM=")</f>
        <v>#REF!</v>
      </c>
      <c r="DM19" t="e">
        <f>AND(Liste!#REF!,"AAAAAH89vnQ=")</f>
        <v>#REF!</v>
      </c>
      <c r="DN19" t="e">
        <f>AND(Liste!#REF!,"AAAAAH89vnU=")</f>
        <v>#REF!</v>
      </c>
      <c r="DO19" t="e">
        <f>AND(Liste!#REF!,"AAAAAH89vnY=")</f>
        <v>#REF!</v>
      </c>
      <c r="DP19" t="e">
        <f>AND(Liste!#REF!,"AAAAAH89vnc=")</f>
        <v>#REF!</v>
      </c>
      <c r="DQ19" t="e">
        <f>AND(Liste!#REF!,"AAAAAH89vng=")</f>
        <v>#REF!</v>
      </c>
      <c r="DR19" t="e">
        <f>AND(Liste!#REF!,"AAAAAH89vnk=")</f>
        <v>#REF!</v>
      </c>
      <c r="DS19" t="e">
        <f>AND(Liste!#REF!,"AAAAAH89vno=")</f>
        <v>#REF!</v>
      </c>
      <c r="DT19" t="e">
        <f>AND(Liste!#REF!,"AAAAAH89vns=")</f>
        <v>#REF!</v>
      </c>
      <c r="DU19" t="e">
        <f>AND(Liste!#REF!,"AAAAAH89vnw=")</f>
        <v>#REF!</v>
      </c>
      <c r="DV19" t="e">
        <f>AND(Liste!#REF!,"AAAAAH89vn0=")</f>
        <v>#REF!</v>
      </c>
      <c r="DW19" t="e">
        <f>AND(Liste!#REF!,"AAAAAH89vn4=")</f>
        <v>#REF!</v>
      </c>
      <c r="DX19" t="e">
        <f>AND(Liste!#REF!,"AAAAAH89vn8=")</f>
        <v>#REF!</v>
      </c>
      <c r="DY19" t="e">
        <f>AND(Liste!#REF!,"AAAAAH89voA=")</f>
        <v>#REF!</v>
      </c>
      <c r="DZ19" t="e">
        <f>AND(Liste!#REF!,"AAAAAH89voE=")</f>
        <v>#REF!</v>
      </c>
      <c r="EA19" t="e">
        <f>AND(Liste!#REF!,"AAAAAH89voI=")</f>
        <v>#REF!</v>
      </c>
      <c r="EB19" t="e">
        <f>AND(Liste!#REF!,"AAAAAH89voM=")</f>
        <v>#REF!</v>
      </c>
      <c r="EC19" t="e">
        <f>AND(Liste!#REF!,"AAAAAH89voQ=")</f>
        <v>#REF!</v>
      </c>
      <c r="ED19" t="e">
        <f>AND(Liste!#REF!,"AAAAAH89voU=")</f>
        <v>#REF!</v>
      </c>
      <c r="EE19" t="e">
        <f>AND(Liste!#REF!,"AAAAAH89voY=")</f>
        <v>#REF!</v>
      </c>
      <c r="EF19" t="e">
        <f>IF(Liste!#REF!,"AAAAAH89voc=",0)</f>
        <v>#REF!</v>
      </c>
      <c r="EG19" t="e">
        <f>AND(Liste!#REF!,"AAAAAH89vog=")</f>
        <v>#REF!</v>
      </c>
      <c r="EH19" t="e">
        <f>AND(Liste!#REF!,"AAAAAH89vok=")</f>
        <v>#REF!</v>
      </c>
      <c r="EI19" t="e">
        <f>AND(Liste!#REF!,"AAAAAH89voo=")</f>
        <v>#REF!</v>
      </c>
      <c r="EJ19" t="e">
        <f>AND(Liste!#REF!,"AAAAAH89vos=")</f>
        <v>#REF!</v>
      </c>
      <c r="EK19" t="e">
        <f>AND(Liste!#REF!,"AAAAAH89vow=")</f>
        <v>#REF!</v>
      </c>
      <c r="EL19" t="e">
        <f>AND(Liste!#REF!,"AAAAAH89vo0=")</f>
        <v>#REF!</v>
      </c>
      <c r="EM19" t="e">
        <f>AND(Liste!#REF!,"AAAAAH89vo4=")</f>
        <v>#REF!</v>
      </c>
      <c r="EN19" t="e">
        <f>AND(Liste!#REF!,"AAAAAH89vo8=")</f>
        <v>#REF!</v>
      </c>
      <c r="EO19" t="e">
        <f>AND(Liste!#REF!,"AAAAAH89vpA=")</f>
        <v>#REF!</v>
      </c>
      <c r="EP19" t="e">
        <f>AND(Liste!#REF!,"AAAAAH89vpE=")</f>
        <v>#REF!</v>
      </c>
      <c r="EQ19" t="e">
        <f>AND(Liste!#REF!,"AAAAAH89vpI=")</f>
        <v>#REF!</v>
      </c>
      <c r="ER19" t="e">
        <f>AND(Liste!#REF!,"AAAAAH89vpM=")</f>
        <v>#REF!</v>
      </c>
      <c r="ES19" t="e">
        <f>AND(Liste!#REF!,"AAAAAH89vpQ=")</f>
        <v>#REF!</v>
      </c>
      <c r="ET19" t="e">
        <f>AND(Liste!#REF!,"AAAAAH89vpU=")</f>
        <v>#REF!</v>
      </c>
      <c r="EU19" t="e">
        <f>AND(Liste!#REF!,"AAAAAH89vpY=")</f>
        <v>#REF!</v>
      </c>
      <c r="EV19" t="e">
        <f>AND(Liste!#REF!,"AAAAAH89vpc=")</f>
        <v>#REF!</v>
      </c>
      <c r="EW19" t="e">
        <f>AND(Liste!#REF!,"AAAAAH89vpg=")</f>
        <v>#REF!</v>
      </c>
      <c r="EX19" t="e">
        <f>AND(Liste!#REF!,"AAAAAH89vpk=")</f>
        <v>#REF!</v>
      </c>
      <c r="EY19" t="e">
        <f>AND(Liste!#REF!,"AAAAAH89vpo=")</f>
        <v>#REF!</v>
      </c>
      <c r="EZ19" t="e">
        <f>AND(Liste!#REF!,"AAAAAH89vps=")</f>
        <v>#REF!</v>
      </c>
      <c r="FA19" t="e">
        <f>AND(Liste!#REF!,"AAAAAH89vpw=")</f>
        <v>#REF!</v>
      </c>
      <c r="FB19" t="e">
        <f>AND(Liste!#REF!,"AAAAAH89vp0=")</f>
        <v>#REF!</v>
      </c>
      <c r="FC19" t="e">
        <f>AND(Liste!#REF!,"AAAAAH89vp4=")</f>
        <v>#REF!</v>
      </c>
      <c r="FD19" t="e">
        <f>AND(Liste!#REF!,"AAAAAH89vp8=")</f>
        <v>#REF!</v>
      </c>
      <c r="FE19" t="e">
        <f>AND(Liste!#REF!,"AAAAAH89vqA=")</f>
        <v>#REF!</v>
      </c>
      <c r="FF19" t="e">
        <f>AND(Liste!#REF!,"AAAAAH89vqE=")</f>
        <v>#REF!</v>
      </c>
      <c r="FG19" t="e">
        <f>AND(Liste!#REF!,"AAAAAH89vqI=")</f>
        <v>#REF!</v>
      </c>
      <c r="FH19" t="e">
        <f>AND(Liste!#REF!,"AAAAAH89vqM=")</f>
        <v>#REF!</v>
      </c>
      <c r="FI19" t="e">
        <f>AND(Liste!#REF!,"AAAAAH89vqQ=")</f>
        <v>#REF!</v>
      </c>
      <c r="FJ19" t="e">
        <f>AND(Liste!#REF!,"AAAAAH89vqU=")</f>
        <v>#REF!</v>
      </c>
      <c r="FK19" t="e">
        <f>IF(Liste!#REF!,"AAAAAH89vqY=",0)</f>
        <v>#REF!</v>
      </c>
      <c r="FL19" t="e">
        <f>AND(Liste!#REF!,"AAAAAH89vqc=")</f>
        <v>#REF!</v>
      </c>
      <c r="FM19" t="e">
        <f>AND(Liste!#REF!,"AAAAAH89vqg=")</f>
        <v>#REF!</v>
      </c>
      <c r="FN19" t="e">
        <f>AND(Liste!#REF!,"AAAAAH89vqk=")</f>
        <v>#REF!</v>
      </c>
      <c r="FO19" t="e">
        <f>AND(Liste!#REF!,"AAAAAH89vqo=")</f>
        <v>#REF!</v>
      </c>
      <c r="FP19" t="e">
        <f>AND(Liste!#REF!,"AAAAAH89vqs=")</f>
        <v>#REF!</v>
      </c>
      <c r="FQ19" t="e">
        <f>AND(Liste!#REF!,"AAAAAH89vqw=")</f>
        <v>#REF!</v>
      </c>
      <c r="FR19" t="e">
        <f>AND(Liste!#REF!,"AAAAAH89vq0=")</f>
        <v>#REF!</v>
      </c>
      <c r="FS19" t="e">
        <f>AND(Liste!#REF!,"AAAAAH89vq4=")</f>
        <v>#REF!</v>
      </c>
      <c r="FT19" t="e">
        <f>AND(Liste!#REF!,"AAAAAH89vq8=")</f>
        <v>#REF!</v>
      </c>
      <c r="FU19" t="e">
        <f>AND(Liste!#REF!,"AAAAAH89vrA=")</f>
        <v>#REF!</v>
      </c>
      <c r="FV19" t="e">
        <f>AND(Liste!#REF!,"AAAAAH89vrE=")</f>
        <v>#REF!</v>
      </c>
      <c r="FW19" t="e">
        <f>AND(Liste!#REF!,"AAAAAH89vrI=")</f>
        <v>#REF!</v>
      </c>
      <c r="FX19" t="e">
        <f>AND(Liste!#REF!,"AAAAAH89vrM=")</f>
        <v>#REF!</v>
      </c>
      <c r="FY19" t="e">
        <f>AND(Liste!#REF!,"AAAAAH89vrQ=")</f>
        <v>#REF!</v>
      </c>
      <c r="FZ19" t="e">
        <f>AND(Liste!#REF!,"AAAAAH89vrU=")</f>
        <v>#REF!</v>
      </c>
      <c r="GA19" t="e">
        <f>AND(Liste!#REF!,"AAAAAH89vrY=")</f>
        <v>#REF!</v>
      </c>
      <c r="GB19" t="e">
        <f>AND(Liste!#REF!,"AAAAAH89vrc=")</f>
        <v>#REF!</v>
      </c>
      <c r="GC19" t="e">
        <f>AND(Liste!#REF!,"AAAAAH89vrg=")</f>
        <v>#REF!</v>
      </c>
      <c r="GD19" t="e">
        <f>AND(Liste!#REF!,"AAAAAH89vrk=")</f>
        <v>#REF!</v>
      </c>
      <c r="GE19" t="e">
        <f>AND(Liste!#REF!,"AAAAAH89vro=")</f>
        <v>#REF!</v>
      </c>
      <c r="GF19" t="e">
        <f>AND(Liste!#REF!,"AAAAAH89vrs=")</f>
        <v>#REF!</v>
      </c>
      <c r="GG19" t="e">
        <f>AND(Liste!#REF!,"AAAAAH89vrw=")</f>
        <v>#REF!</v>
      </c>
      <c r="GH19" t="e">
        <f>AND(Liste!#REF!,"AAAAAH89vr0=")</f>
        <v>#REF!</v>
      </c>
      <c r="GI19" t="e">
        <f>AND(Liste!#REF!,"AAAAAH89vr4=")</f>
        <v>#REF!</v>
      </c>
      <c r="GJ19" t="e">
        <f>AND(Liste!#REF!,"AAAAAH89vr8=")</f>
        <v>#REF!</v>
      </c>
      <c r="GK19" t="e">
        <f>AND(Liste!#REF!,"AAAAAH89vsA=")</f>
        <v>#REF!</v>
      </c>
      <c r="GL19" t="e">
        <f>AND(Liste!#REF!,"AAAAAH89vsE=")</f>
        <v>#REF!</v>
      </c>
      <c r="GM19" t="e">
        <f>AND(Liste!#REF!,"AAAAAH89vsI=")</f>
        <v>#REF!</v>
      </c>
      <c r="GN19" t="e">
        <f>AND(Liste!#REF!,"AAAAAH89vsM=")</f>
        <v>#REF!</v>
      </c>
      <c r="GO19" t="e">
        <f>AND(Liste!#REF!,"AAAAAH89vsQ=")</f>
        <v>#REF!</v>
      </c>
      <c r="GP19">
        <f>IF(Liste!141:141,"AAAAAH89vsU=",0)</f>
        <v>0</v>
      </c>
      <c r="GQ19" t="e">
        <f>AND(Liste!A141,"AAAAAH89vsY=")</f>
        <v>#VALUE!</v>
      </c>
      <c r="GR19" t="e">
        <f>AND(Liste!#REF!,"AAAAAH89vsc=")</f>
        <v>#REF!</v>
      </c>
      <c r="GS19" t="e">
        <f>AND(Liste!#REF!,"AAAAAH89vsg=")</f>
        <v>#REF!</v>
      </c>
      <c r="GT19" t="e">
        <f>AND(Liste!#REF!,"AAAAAH89vsk=")</f>
        <v>#REF!</v>
      </c>
      <c r="GU19" t="e">
        <f>AND(Liste!#REF!,"AAAAAH89vso=")</f>
        <v>#REF!</v>
      </c>
      <c r="GV19" t="e">
        <f>AND(Liste!#REF!,"AAAAAH89vss=")</f>
        <v>#REF!</v>
      </c>
      <c r="GW19" t="e">
        <f>AND(Liste!#REF!,"AAAAAH89vsw=")</f>
        <v>#REF!</v>
      </c>
      <c r="GX19" t="e">
        <f>AND(Liste!#REF!,"AAAAAH89vs0=")</f>
        <v>#REF!</v>
      </c>
      <c r="GY19" t="e">
        <f>AND(Liste!#REF!,"AAAAAH89vs4=")</f>
        <v>#REF!</v>
      </c>
      <c r="GZ19" t="e">
        <f>AND(Liste!#REF!,"AAAAAH89vs8=")</f>
        <v>#REF!</v>
      </c>
      <c r="HA19" t="e">
        <f>AND(Liste!#REF!,"AAAAAH89vtA=")</f>
        <v>#REF!</v>
      </c>
      <c r="HB19" t="e">
        <f>AND(Liste!#REF!,"AAAAAH89vtE=")</f>
        <v>#REF!</v>
      </c>
      <c r="HC19" t="e">
        <f>AND(Liste!#REF!,"AAAAAH89vtI=")</f>
        <v>#REF!</v>
      </c>
      <c r="HD19" t="e">
        <f>AND(Liste!#REF!,"AAAAAH89vtM=")</f>
        <v>#REF!</v>
      </c>
      <c r="HE19" t="e">
        <f>AND(Liste!#REF!,"AAAAAH89vtQ=")</f>
        <v>#REF!</v>
      </c>
      <c r="HF19" t="e">
        <f>AND(Liste!#REF!,"AAAAAH89vtU=")</f>
        <v>#REF!</v>
      </c>
      <c r="HG19" t="e">
        <f>AND(Liste!#REF!,"AAAAAH89vtY=")</f>
        <v>#REF!</v>
      </c>
      <c r="HH19" t="e">
        <f>AND(Liste!#REF!,"AAAAAH89vtc=")</f>
        <v>#REF!</v>
      </c>
      <c r="HI19" t="e">
        <f>AND(Liste!#REF!,"AAAAAH89vtg=")</f>
        <v>#REF!</v>
      </c>
      <c r="HJ19" t="e">
        <f>AND(Liste!#REF!,"AAAAAH89vtk=")</f>
        <v>#REF!</v>
      </c>
      <c r="HK19" t="e">
        <f>AND(Liste!#REF!,"AAAAAH89vto=")</f>
        <v>#REF!</v>
      </c>
      <c r="HL19" t="e">
        <f>AND(Liste!#REF!,"AAAAAH89vts=")</f>
        <v>#REF!</v>
      </c>
      <c r="HM19" t="e">
        <f>AND(Liste!#REF!,"AAAAAH89vtw=")</f>
        <v>#REF!</v>
      </c>
      <c r="HN19" t="e">
        <f>AND(Liste!#REF!,"AAAAAH89vt0=")</f>
        <v>#REF!</v>
      </c>
      <c r="HO19" t="e">
        <f>AND(Liste!#REF!,"AAAAAH89vt4=")</f>
        <v>#REF!</v>
      </c>
      <c r="HP19" t="e">
        <f>AND(Liste!#REF!,"AAAAAH89vt8=")</f>
        <v>#REF!</v>
      </c>
      <c r="HQ19" t="e">
        <f>AND(Liste!#REF!,"AAAAAH89vuA=")</f>
        <v>#REF!</v>
      </c>
      <c r="HR19" t="e">
        <f>AND(Liste!#REF!,"AAAAAH89vuE=")</f>
        <v>#REF!</v>
      </c>
      <c r="HS19" t="e">
        <f>AND(Liste!#REF!,"AAAAAH89vuI=")</f>
        <v>#REF!</v>
      </c>
      <c r="HT19" t="e">
        <f>AND(Liste!#REF!,"AAAAAH89vuM=")</f>
        <v>#REF!</v>
      </c>
      <c r="HU19">
        <f>IF(Liste!142:142,"AAAAAH89vuQ=",0)</f>
        <v>0</v>
      </c>
      <c r="HV19" t="e">
        <f>AND(Liste!A142,"AAAAAH89vuU=")</f>
        <v>#VALUE!</v>
      </c>
      <c r="HW19" t="e">
        <f>AND(Liste!#REF!,"AAAAAH89vuY=")</f>
        <v>#REF!</v>
      </c>
      <c r="HX19" t="e">
        <f>AND(Liste!#REF!,"AAAAAH89vuc=")</f>
        <v>#REF!</v>
      </c>
      <c r="HY19" t="e">
        <f>AND(Liste!#REF!,"AAAAAH89vug=")</f>
        <v>#REF!</v>
      </c>
      <c r="HZ19" t="e">
        <f>AND(Liste!#REF!,"AAAAAH89vuk=")</f>
        <v>#REF!</v>
      </c>
      <c r="IA19" t="e">
        <f>AND(Liste!#REF!,"AAAAAH89vuo=")</f>
        <v>#REF!</v>
      </c>
      <c r="IB19" t="e">
        <f>AND(Liste!#REF!,"AAAAAH89vus=")</f>
        <v>#REF!</v>
      </c>
      <c r="IC19" t="e">
        <f>AND(Liste!#REF!,"AAAAAH89vuw=")</f>
        <v>#REF!</v>
      </c>
      <c r="ID19" t="e">
        <f>AND(Liste!#REF!,"AAAAAH89vu0=")</f>
        <v>#REF!</v>
      </c>
      <c r="IE19" t="e">
        <f>AND(Liste!#REF!,"AAAAAH89vu4=")</f>
        <v>#REF!</v>
      </c>
      <c r="IF19" t="e">
        <f>AND(Liste!#REF!,"AAAAAH89vu8=")</f>
        <v>#REF!</v>
      </c>
      <c r="IG19" t="e">
        <f>AND(Liste!#REF!,"AAAAAH89vvA=")</f>
        <v>#REF!</v>
      </c>
      <c r="IH19" t="e">
        <f>AND(Liste!#REF!,"AAAAAH89vvE=")</f>
        <v>#REF!</v>
      </c>
      <c r="II19" t="e">
        <f>AND(Liste!#REF!,"AAAAAH89vvI=")</f>
        <v>#REF!</v>
      </c>
      <c r="IJ19" t="e">
        <f>AND(Liste!#REF!,"AAAAAH89vvM=")</f>
        <v>#REF!</v>
      </c>
      <c r="IK19" t="e">
        <f>AND(Liste!#REF!,"AAAAAH89vvQ=")</f>
        <v>#REF!</v>
      </c>
      <c r="IL19" t="e">
        <f>AND(Liste!#REF!,"AAAAAH89vvU=")</f>
        <v>#REF!</v>
      </c>
      <c r="IM19" t="e">
        <f>AND(Liste!#REF!,"AAAAAH89vvY=")</f>
        <v>#REF!</v>
      </c>
      <c r="IN19" t="e">
        <f>AND(Liste!#REF!,"AAAAAH89vvc=")</f>
        <v>#REF!</v>
      </c>
      <c r="IO19" t="e">
        <f>AND(Liste!#REF!,"AAAAAH89vvg=")</f>
        <v>#REF!</v>
      </c>
      <c r="IP19" t="e">
        <f>AND(Liste!#REF!,"AAAAAH89vvk=")</f>
        <v>#REF!</v>
      </c>
      <c r="IQ19" t="e">
        <f>AND(Liste!#REF!,"AAAAAH89vvo=")</f>
        <v>#REF!</v>
      </c>
      <c r="IR19" t="e">
        <f>AND(Liste!#REF!,"AAAAAH89vvs=")</f>
        <v>#REF!</v>
      </c>
      <c r="IS19" t="e">
        <f>AND(Liste!#REF!,"AAAAAH89vvw=")</f>
        <v>#REF!</v>
      </c>
      <c r="IT19" t="e">
        <f>AND(Liste!#REF!,"AAAAAH89vv0=")</f>
        <v>#REF!</v>
      </c>
      <c r="IU19" t="e">
        <f>AND(Liste!#REF!,"AAAAAH89vv4=")</f>
        <v>#REF!</v>
      </c>
      <c r="IV19" t="e">
        <f>AND(Liste!#REF!,"AAAAAH89vv8=")</f>
        <v>#REF!</v>
      </c>
    </row>
    <row r="20" spans="1:256" x14ac:dyDescent="0.2">
      <c r="A20" t="e">
        <f>AND(Liste!#REF!,"AAAAAH///AA=")</f>
        <v>#REF!</v>
      </c>
      <c r="B20" t="e">
        <f>AND(Liste!#REF!,"AAAAAH///AE=")</f>
        <v>#REF!</v>
      </c>
      <c r="C20" t="e">
        <f>AND(Liste!#REF!,"AAAAAH///AI=")</f>
        <v>#REF!</v>
      </c>
      <c r="D20" t="e">
        <f>IF(Liste!143:143,"AAAAAH///AM=",0)</f>
        <v>#VALUE!</v>
      </c>
      <c r="E20" t="b">
        <f>AND(Liste!A143,"AAAAAH///AQ=")</f>
        <v>1</v>
      </c>
      <c r="F20" t="e">
        <f>AND(Liste!#REF!,"AAAAAH///AU=")</f>
        <v>#REF!</v>
      </c>
      <c r="G20" t="e">
        <f>AND(Liste!#REF!,"AAAAAH///AY=")</f>
        <v>#REF!</v>
      </c>
      <c r="H20" t="e">
        <f>AND(Liste!#REF!,"AAAAAH///Ac=")</f>
        <v>#REF!</v>
      </c>
      <c r="I20" t="e">
        <f>AND(Liste!#REF!,"AAAAAH///Ag=")</f>
        <v>#REF!</v>
      </c>
      <c r="J20" t="e">
        <f>AND(Liste!#REF!,"AAAAAH///Ak=")</f>
        <v>#REF!</v>
      </c>
      <c r="K20" t="e">
        <f>AND(Liste!#REF!,"AAAAAH///Ao=")</f>
        <v>#REF!</v>
      </c>
      <c r="L20" t="e">
        <f>AND(Liste!#REF!,"AAAAAH///As=")</f>
        <v>#REF!</v>
      </c>
      <c r="M20" t="e">
        <f>AND(Liste!#REF!,"AAAAAH///Aw=")</f>
        <v>#REF!</v>
      </c>
      <c r="N20" t="e">
        <f>AND(Liste!#REF!,"AAAAAH///A0=")</f>
        <v>#REF!</v>
      </c>
      <c r="O20" t="e">
        <f>AND(Liste!#REF!,"AAAAAH///A4=")</f>
        <v>#REF!</v>
      </c>
      <c r="P20" t="e">
        <f>AND(Liste!#REF!,"AAAAAH///A8=")</f>
        <v>#REF!</v>
      </c>
      <c r="Q20" t="e">
        <f>AND(Liste!#REF!,"AAAAAH///BA=")</f>
        <v>#REF!</v>
      </c>
      <c r="R20" t="e">
        <f>AND(Liste!#REF!,"AAAAAH///BE=")</f>
        <v>#REF!</v>
      </c>
      <c r="S20" t="e">
        <f>AND(Liste!#REF!,"AAAAAH///BI=")</f>
        <v>#REF!</v>
      </c>
      <c r="T20" t="e">
        <f>AND(Liste!#REF!,"AAAAAH///BM=")</f>
        <v>#REF!</v>
      </c>
      <c r="U20" t="e">
        <f>AND(Liste!#REF!,"AAAAAH///BQ=")</f>
        <v>#REF!</v>
      </c>
      <c r="V20" t="e">
        <f>AND(Liste!#REF!,"AAAAAH///BU=")</f>
        <v>#REF!</v>
      </c>
      <c r="W20" t="e">
        <f>AND(Liste!#REF!,"AAAAAH///BY=")</f>
        <v>#REF!</v>
      </c>
      <c r="X20" t="e">
        <f>AND(Liste!#REF!,"AAAAAH///Bc=")</f>
        <v>#REF!</v>
      </c>
      <c r="Y20" t="e">
        <f>AND(Liste!#REF!,"AAAAAH///Bg=")</f>
        <v>#REF!</v>
      </c>
      <c r="Z20" t="e">
        <f>AND(Liste!#REF!,"AAAAAH///Bk=")</f>
        <v>#REF!</v>
      </c>
      <c r="AA20" t="e">
        <f>AND(Liste!#REF!,"AAAAAH///Bo=")</f>
        <v>#REF!</v>
      </c>
      <c r="AB20" t="e">
        <f>AND(Liste!#REF!,"AAAAAH///Bs=")</f>
        <v>#REF!</v>
      </c>
      <c r="AC20" t="e">
        <f>AND(Liste!#REF!,"AAAAAH///Bw=")</f>
        <v>#REF!</v>
      </c>
      <c r="AD20" t="e">
        <f>AND(Liste!#REF!,"AAAAAH///B0=")</f>
        <v>#REF!</v>
      </c>
      <c r="AE20" t="e">
        <f>AND(Liste!#REF!,"AAAAAH///B4=")</f>
        <v>#REF!</v>
      </c>
      <c r="AF20" t="e">
        <f>AND(Liste!#REF!,"AAAAAH///B8=")</f>
        <v>#REF!</v>
      </c>
      <c r="AG20" t="e">
        <f>AND(Liste!#REF!,"AAAAAH///CA=")</f>
        <v>#REF!</v>
      </c>
      <c r="AH20" t="e">
        <f>AND(Liste!#REF!,"AAAAAH///CE=")</f>
        <v>#REF!</v>
      </c>
      <c r="AI20">
        <f>IF(Liste!144:144,"AAAAAH///CI=",0)</f>
        <v>0</v>
      </c>
      <c r="AJ20" t="b">
        <f>AND(Liste!A144,"AAAAAH///CM=")</f>
        <v>1</v>
      </c>
      <c r="AK20" t="e">
        <f>AND(Liste!#REF!,"AAAAAH///CQ=")</f>
        <v>#REF!</v>
      </c>
      <c r="AL20" t="e">
        <f>AND(Liste!#REF!,"AAAAAH///CU=")</f>
        <v>#REF!</v>
      </c>
      <c r="AM20" t="e">
        <f>AND(Liste!#REF!,"AAAAAH///CY=")</f>
        <v>#REF!</v>
      </c>
      <c r="AN20" t="e">
        <f>AND(Liste!#REF!,"AAAAAH///Cc=")</f>
        <v>#REF!</v>
      </c>
      <c r="AO20" t="e">
        <f>AND(Liste!#REF!,"AAAAAH///Cg=")</f>
        <v>#REF!</v>
      </c>
      <c r="AP20" t="e">
        <f>AND(Liste!#REF!,"AAAAAH///Ck=")</f>
        <v>#REF!</v>
      </c>
      <c r="AQ20" t="e">
        <f>AND(Liste!#REF!,"AAAAAH///Co=")</f>
        <v>#REF!</v>
      </c>
      <c r="AR20" t="e">
        <f>AND(Liste!#REF!,"AAAAAH///Cs=")</f>
        <v>#REF!</v>
      </c>
      <c r="AS20" t="e">
        <f>AND(Liste!#REF!,"AAAAAH///Cw=")</f>
        <v>#REF!</v>
      </c>
      <c r="AT20" t="e">
        <f>AND(Liste!#REF!,"AAAAAH///C0=")</f>
        <v>#REF!</v>
      </c>
      <c r="AU20" t="e">
        <f>AND(Liste!#REF!,"AAAAAH///C4=")</f>
        <v>#REF!</v>
      </c>
      <c r="AV20" t="e">
        <f>AND(Liste!#REF!,"AAAAAH///C8=")</f>
        <v>#REF!</v>
      </c>
      <c r="AW20" t="e">
        <f>AND(Liste!#REF!,"AAAAAH///DA=")</f>
        <v>#REF!</v>
      </c>
      <c r="AX20" t="e">
        <f>AND(Liste!#REF!,"AAAAAH///DE=")</f>
        <v>#REF!</v>
      </c>
      <c r="AY20" t="e">
        <f>AND(Liste!#REF!,"AAAAAH///DI=")</f>
        <v>#REF!</v>
      </c>
      <c r="AZ20" t="e">
        <f>AND(Liste!#REF!,"AAAAAH///DM=")</f>
        <v>#REF!</v>
      </c>
      <c r="BA20" t="e">
        <f>AND(Liste!#REF!,"AAAAAH///DQ=")</f>
        <v>#REF!</v>
      </c>
      <c r="BB20" t="e">
        <f>AND(Liste!#REF!,"AAAAAH///DU=")</f>
        <v>#REF!</v>
      </c>
      <c r="BC20" t="e">
        <f>AND(Liste!#REF!,"AAAAAH///DY=")</f>
        <v>#REF!</v>
      </c>
      <c r="BD20" t="e">
        <f>AND(Liste!#REF!,"AAAAAH///Dc=")</f>
        <v>#REF!</v>
      </c>
      <c r="BE20" t="e">
        <f>AND(Liste!#REF!,"AAAAAH///Dg=")</f>
        <v>#REF!</v>
      </c>
      <c r="BF20" t="e">
        <f>AND(Liste!#REF!,"AAAAAH///Dk=")</f>
        <v>#REF!</v>
      </c>
      <c r="BG20" t="e">
        <f>AND(Liste!#REF!,"AAAAAH///Do=")</f>
        <v>#REF!</v>
      </c>
      <c r="BH20" t="e">
        <f>AND(Liste!#REF!,"AAAAAH///Ds=")</f>
        <v>#REF!</v>
      </c>
      <c r="BI20" t="e">
        <f>AND(Liste!#REF!,"AAAAAH///Dw=")</f>
        <v>#REF!</v>
      </c>
      <c r="BJ20" t="e">
        <f>AND(Liste!#REF!,"AAAAAH///D0=")</f>
        <v>#REF!</v>
      </c>
      <c r="BK20" t="e">
        <f>AND(Liste!#REF!,"AAAAAH///D4=")</f>
        <v>#REF!</v>
      </c>
      <c r="BL20" t="e">
        <f>AND(Liste!#REF!,"AAAAAH///D8=")</f>
        <v>#REF!</v>
      </c>
      <c r="BM20" t="e">
        <f>AND(Liste!#REF!,"AAAAAH///EA=")</f>
        <v>#REF!</v>
      </c>
      <c r="BN20">
        <f>IF(Liste!145:145,"AAAAAH///EE=",0)</f>
        <v>0</v>
      </c>
      <c r="BO20" t="b">
        <f>AND(Liste!A145,"AAAAAH///EI=")</f>
        <v>1</v>
      </c>
      <c r="BP20" t="e">
        <f>AND(Liste!#REF!,"AAAAAH///EM=")</f>
        <v>#REF!</v>
      </c>
      <c r="BQ20" t="e">
        <f>AND(Liste!#REF!,"AAAAAH///EQ=")</f>
        <v>#REF!</v>
      </c>
      <c r="BR20" t="e">
        <f>AND(Liste!#REF!,"AAAAAH///EU=")</f>
        <v>#REF!</v>
      </c>
      <c r="BS20" t="e">
        <f>AND(Liste!#REF!,"AAAAAH///EY=")</f>
        <v>#REF!</v>
      </c>
      <c r="BT20" t="e">
        <f>AND(Liste!#REF!,"AAAAAH///Ec=")</f>
        <v>#REF!</v>
      </c>
      <c r="BU20" t="e">
        <f>AND(Liste!#REF!,"AAAAAH///Eg=")</f>
        <v>#REF!</v>
      </c>
      <c r="BV20" t="e">
        <f>AND(Liste!#REF!,"AAAAAH///Ek=")</f>
        <v>#REF!</v>
      </c>
      <c r="BW20" t="e">
        <f>AND(Liste!#REF!,"AAAAAH///Eo=")</f>
        <v>#REF!</v>
      </c>
      <c r="BX20" t="e">
        <f>AND(Liste!#REF!,"AAAAAH///Es=")</f>
        <v>#REF!</v>
      </c>
      <c r="BY20" t="e">
        <f>AND(Liste!#REF!,"AAAAAH///Ew=")</f>
        <v>#REF!</v>
      </c>
      <c r="BZ20" t="e">
        <f>AND(Liste!#REF!,"AAAAAH///E0=")</f>
        <v>#REF!</v>
      </c>
      <c r="CA20" t="e">
        <f>AND(Liste!#REF!,"AAAAAH///E4=")</f>
        <v>#REF!</v>
      </c>
      <c r="CB20" t="e">
        <f>AND(Liste!#REF!,"AAAAAH///E8=")</f>
        <v>#REF!</v>
      </c>
      <c r="CC20" t="e">
        <f>AND(Liste!#REF!,"AAAAAH///FA=")</f>
        <v>#REF!</v>
      </c>
      <c r="CD20" t="e">
        <f>AND(Liste!#REF!,"AAAAAH///FE=")</f>
        <v>#REF!</v>
      </c>
      <c r="CE20" t="e">
        <f>AND(Liste!#REF!,"AAAAAH///FI=")</f>
        <v>#REF!</v>
      </c>
      <c r="CF20" t="e">
        <f>AND(Liste!#REF!,"AAAAAH///FM=")</f>
        <v>#REF!</v>
      </c>
      <c r="CG20" t="e">
        <f>AND(Liste!#REF!,"AAAAAH///FQ=")</f>
        <v>#REF!</v>
      </c>
      <c r="CH20" t="e">
        <f>AND(Liste!#REF!,"AAAAAH///FU=")</f>
        <v>#REF!</v>
      </c>
      <c r="CI20" t="e">
        <f>AND(Liste!#REF!,"AAAAAH///FY=")</f>
        <v>#REF!</v>
      </c>
      <c r="CJ20" t="e">
        <f>AND(Liste!#REF!,"AAAAAH///Fc=")</f>
        <v>#REF!</v>
      </c>
      <c r="CK20" t="e">
        <f>AND(Liste!#REF!,"AAAAAH///Fg=")</f>
        <v>#REF!</v>
      </c>
      <c r="CL20" t="e">
        <f>AND(Liste!#REF!,"AAAAAH///Fk=")</f>
        <v>#REF!</v>
      </c>
      <c r="CM20" t="e">
        <f>AND(Liste!#REF!,"AAAAAH///Fo=")</f>
        <v>#REF!</v>
      </c>
      <c r="CN20" t="e">
        <f>AND(Liste!#REF!,"AAAAAH///Fs=")</f>
        <v>#REF!</v>
      </c>
      <c r="CO20" t="e">
        <f>AND(Liste!#REF!,"AAAAAH///Fw=")</f>
        <v>#REF!</v>
      </c>
      <c r="CP20" t="e">
        <f>AND(Liste!#REF!,"AAAAAH///F0=")</f>
        <v>#REF!</v>
      </c>
      <c r="CQ20" t="e">
        <f>AND(Liste!#REF!,"AAAAAH///F4=")</f>
        <v>#REF!</v>
      </c>
      <c r="CR20" t="e">
        <f>AND(Liste!#REF!,"AAAAAH///F8=")</f>
        <v>#REF!</v>
      </c>
      <c r="CS20">
        <f>IF(Liste!146:146,"AAAAAH///GA=",0)</f>
        <v>0</v>
      </c>
      <c r="CT20" t="b">
        <f>AND(Liste!A146,"AAAAAH///GE=")</f>
        <v>1</v>
      </c>
      <c r="CU20" t="e">
        <f>AND(Liste!#REF!,"AAAAAH///GI=")</f>
        <v>#REF!</v>
      </c>
      <c r="CV20" t="e">
        <f>AND(Liste!#REF!,"AAAAAH///GM=")</f>
        <v>#REF!</v>
      </c>
      <c r="CW20" t="e">
        <f>AND(Liste!#REF!,"AAAAAH///GQ=")</f>
        <v>#REF!</v>
      </c>
      <c r="CX20" t="e">
        <f>AND(Liste!#REF!,"AAAAAH///GU=")</f>
        <v>#REF!</v>
      </c>
      <c r="CY20" t="e">
        <f>AND(Liste!#REF!,"AAAAAH///GY=")</f>
        <v>#REF!</v>
      </c>
      <c r="CZ20" t="e">
        <f>AND(Liste!#REF!,"AAAAAH///Gc=")</f>
        <v>#REF!</v>
      </c>
      <c r="DA20" t="e">
        <f>AND(Liste!#REF!,"AAAAAH///Gg=")</f>
        <v>#REF!</v>
      </c>
      <c r="DB20" t="e">
        <f>AND(Liste!#REF!,"AAAAAH///Gk=")</f>
        <v>#REF!</v>
      </c>
      <c r="DC20" t="e">
        <f>AND(Liste!#REF!,"AAAAAH///Go=")</f>
        <v>#REF!</v>
      </c>
      <c r="DD20" t="e">
        <f>AND(Liste!#REF!,"AAAAAH///Gs=")</f>
        <v>#REF!</v>
      </c>
      <c r="DE20" t="e">
        <f>AND(Liste!#REF!,"AAAAAH///Gw=")</f>
        <v>#REF!</v>
      </c>
      <c r="DF20" t="e">
        <f>AND(Liste!#REF!,"AAAAAH///G0=")</f>
        <v>#REF!</v>
      </c>
      <c r="DG20" t="e">
        <f>AND(Liste!#REF!,"AAAAAH///G4=")</f>
        <v>#REF!</v>
      </c>
      <c r="DH20" t="e">
        <f>AND(Liste!#REF!,"AAAAAH///G8=")</f>
        <v>#REF!</v>
      </c>
      <c r="DI20" t="e">
        <f>AND(Liste!#REF!,"AAAAAH///HA=")</f>
        <v>#REF!</v>
      </c>
      <c r="DJ20" t="e">
        <f>AND(Liste!#REF!,"AAAAAH///HE=")</f>
        <v>#REF!</v>
      </c>
      <c r="DK20" t="e">
        <f>AND(Liste!#REF!,"AAAAAH///HI=")</f>
        <v>#REF!</v>
      </c>
      <c r="DL20" t="e">
        <f>AND(Liste!#REF!,"AAAAAH///HM=")</f>
        <v>#REF!</v>
      </c>
      <c r="DM20" t="e">
        <f>AND(Liste!#REF!,"AAAAAH///HQ=")</f>
        <v>#REF!</v>
      </c>
      <c r="DN20" t="e">
        <f>AND(Liste!#REF!,"AAAAAH///HU=")</f>
        <v>#REF!</v>
      </c>
      <c r="DO20" t="e">
        <f>AND(Liste!#REF!,"AAAAAH///HY=")</f>
        <v>#REF!</v>
      </c>
      <c r="DP20" t="e">
        <f>AND(Liste!#REF!,"AAAAAH///Hc=")</f>
        <v>#REF!</v>
      </c>
      <c r="DQ20" t="e">
        <f>AND(Liste!#REF!,"AAAAAH///Hg=")</f>
        <v>#REF!</v>
      </c>
      <c r="DR20" t="e">
        <f>AND(Liste!#REF!,"AAAAAH///Hk=")</f>
        <v>#REF!</v>
      </c>
      <c r="DS20" t="e">
        <f>AND(Liste!#REF!,"AAAAAH///Ho=")</f>
        <v>#REF!</v>
      </c>
      <c r="DT20" t="e">
        <f>AND(Liste!#REF!,"AAAAAH///Hs=")</f>
        <v>#REF!</v>
      </c>
      <c r="DU20" t="e">
        <f>AND(Liste!#REF!,"AAAAAH///Hw=")</f>
        <v>#REF!</v>
      </c>
      <c r="DV20" t="e">
        <f>AND(Liste!#REF!,"AAAAAH///H0=")</f>
        <v>#REF!</v>
      </c>
      <c r="DW20" t="e">
        <f>AND(Liste!#REF!,"AAAAAH///H4=")</f>
        <v>#REF!</v>
      </c>
      <c r="DX20">
        <f>IF(Liste!147:147,"AAAAAH///H8=",0)</f>
        <v>0</v>
      </c>
      <c r="DY20" t="b">
        <f>AND(Liste!A147,"AAAAAH///IA=")</f>
        <v>1</v>
      </c>
      <c r="DZ20" t="e">
        <f>AND(Liste!#REF!,"AAAAAH///IE=")</f>
        <v>#REF!</v>
      </c>
      <c r="EA20" t="e">
        <f>AND(Liste!#REF!,"AAAAAH///II=")</f>
        <v>#REF!</v>
      </c>
      <c r="EB20" t="e">
        <f>AND(Liste!#REF!,"AAAAAH///IM=")</f>
        <v>#REF!</v>
      </c>
      <c r="EC20" t="e">
        <f>AND(Liste!#REF!,"AAAAAH///IQ=")</f>
        <v>#REF!</v>
      </c>
      <c r="ED20" t="e">
        <f>AND(Liste!#REF!,"AAAAAH///IU=")</f>
        <v>#REF!</v>
      </c>
      <c r="EE20" t="e">
        <f>AND(Liste!#REF!,"AAAAAH///IY=")</f>
        <v>#REF!</v>
      </c>
      <c r="EF20" t="e">
        <f>AND(Liste!#REF!,"AAAAAH///Ic=")</f>
        <v>#REF!</v>
      </c>
      <c r="EG20" t="e">
        <f>AND(Liste!#REF!,"AAAAAH///Ig=")</f>
        <v>#REF!</v>
      </c>
      <c r="EH20" t="e">
        <f>AND(Liste!#REF!,"AAAAAH///Ik=")</f>
        <v>#REF!</v>
      </c>
      <c r="EI20" t="e">
        <f>AND(Liste!#REF!,"AAAAAH///Io=")</f>
        <v>#REF!</v>
      </c>
      <c r="EJ20" t="e">
        <f>AND(Liste!#REF!,"AAAAAH///Is=")</f>
        <v>#REF!</v>
      </c>
      <c r="EK20" t="e">
        <f>AND(Liste!#REF!,"AAAAAH///Iw=")</f>
        <v>#REF!</v>
      </c>
      <c r="EL20" t="e">
        <f>AND(Liste!#REF!,"AAAAAH///I0=")</f>
        <v>#REF!</v>
      </c>
      <c r="EM20" t="e">
        <f>AND(Liste!#REF!,"AAAAAH///I4=")</f>
        <v>#REF!</v>
      </c>
      <c r="EN20" t="e">
        <f>AND(Liste!#REF!,"AAAAAH///I8=")</f>
        <v>#REF!</v>
      </c>
      <c r="EO20" t="e">
        <f>AND(Liste!#REF!,"AAAAAH///JA=")</f>
        <v>#REF!</v>
      </c>
      <c r="EP20" t="e">
        <f>AND(Liste!#REF!,"AAAAAH///JE=")</f>
        <v>#REF!</v>
      </c>
      <c r="EQ20" t="e">
        <f>AND(Liste!#REF!,"AAAAAH///JI=")</f>
        <v>#REF!</v>
      </c>
      <c r="ER20" t="e">
        <f>AND(Liste!#REF!,"AAAAAH///JM=")</f>
        <v>#REF!</v>
      </c>
      <c r="ES20" t="e">
        <f>AND(Liste!#REF!,"AAAAAH///JQ=")</f>
        <v>#REF!</v>
      </c>
      <c r="ET20" t="e">
        <f>AND(Liste!#REF!,"AAAAAH///JU=")</f>
        <v>#REF!</v>
      </c>
      <c r="EU20" t="e">
        <f>AND(Liste!#REF!,"AAAAAH///JY=")</f>
        <v>#REF!</v>
      </c>
      <c r="EV20" t="e">
        <f>AND(Liste!#REF!,"AAAAAH///Jc=")</f>
        <v>#REF!</v>
      </c>
      <c r="EW20" t="e">
        <f>AND(Liste!#REF!,"AAAAAH///Jg=")</f>
        <v>#REF!</v>
      </c>
      <c r="EX20" t="e">
        <f>AND(Liste!#REF!,"AAAAAH///Jk=")</f>
        <v>#REF!</v>
      </c>
      <c r="EY20" t="e">
        <f>AND(Liste!#REF!,"AAAAAH///Jo=")</f>
        <v>#REF!</v>
      </c>
      <c r="EZ20" t="e">
        <f>AND(Liste!#REF!,"AAAAAH///Js=")</f>
        <v>#REF!</v>
      </c>
      <c r="FA20" t="e">
        <f>AND(Liste!#REF!,"AAAAAH///Jw=")</f>
        <v>#REF!</v>
      </c>
      <c r="FB20" t="e">
        <f>AND(Liste!#REF!,"AAAAAH///J0=")</f>
        <v>#REF!</v>
      </c>
      <c r="FC20">
        <f>IF(Liste!159:159,"AAAAAH///J4=",0)</f>
        <v>0</v>
      </c>
      <c r="FD20" t="b">
        <f>AND(Liste!A159,"AAAAAH///J8=")</f>
        <v>1</v>
      </c>
      <c r="FE20" t="e">
        <f>AND(Liste!#REF!,"AAAAAH///KA=")</f>
        <v>#REF!</v>
      </c>
      <c r="FF20" t="e">
        <f>AND(Liste!#REF!,"AAAAAH///KE=")</f>
        <v>#REF!</v>
      </c>
      <c r="FG20" t="e">
        <f>AND(Liste!#REF!,"AAAAAH///KI=")</f>
        <v>#REF!</v>
      </c>
      <c r="FH20" t="e">
        <f>AND(Liste!#REF!,"AAAAAH///KM=")</f>
        <v>#REF!</v>
      </c>
      <c r="FI20" t="e">
        <f>AND(Liste!#REF!,"AAAAAH///KQ=")</f>
        <v>#REF!</v>
      </c>
      <c r="FJ20" t="e">
        <f>AND(Liste!#REF!,"AAAAAH///KU=")</f>
        <v>#REF!</v>
      </c>
      <c r="FK20" t="e">
        <f>AND(Liste!#REF!,"AAAAAH///KY=")</f>
        <v>#REF!</v>
      </c>
      <c r="FL20" t="e">
        <f>AND(Liste!#REF!,"AAAAAH///Kc=")</f>
        <v>#REF!</v>
      </c>
      <c r="FM20" t="e">
        <f>AND(Liste!#REF!,"AAAAAH///Kg=")</f>
        <v>#REF!</v>
      </c>
      <c r="FN20" t="e">
        <f>AND(Liste!#REF!,"AAAAAH///Kk=")</f>
        <v>#REF!</v>
      </c>
      <c r="FO20" t="e">
        <f>AND(Liste!#REF!,"AAAAAH///Ko=")</f>
        <v>#REF!</v>
      </c>
      <c r="FP20" t="e">
        <f>AND(Liste!#REF!,"AAAAAH///Ks=")</f>
        <v>#REF!</v>
      </c>
      <c r="FQ20" t="e">
        <f>AND(Liste!#REF!,"AAAAAH///Kw=")</f>
        <v>#REF!</v>
      </c>
      <c r="FR20" t="e">
        <f>AND(Liste!#REF!,"AAAAAH///K0=")</f>
        <v>#REF!</v>
      </c>
      <c r="FS20" t="e">
        <f>AND(Liste!#REF!,"AAAAAH///K4=")</f>
        <v>#REF!</v>
      </c>
      <c r="FT20" t="e">
        <f>AND(Liste!#REF!,"AAAAAH///K8=")</f>
        <v>#REF!</v>
      </c>
      <c r="FU20" t="e">
        <f>AND(Liste!#REF!,"AAAAAH///LA=")</f>
        <v>#REF!</v>
      </c>
      <c r="FV20" t="e">
        <f>AND(Liste!#REF!,"AAAAAH///LE=")</f>
        <v>#REF!</v>
      </c>
      <c r="FW20" t="e">
        <f>AND(Liste!#REF!,"AAAAAH///LI=")</f>
        <v>#REF!</v>
      </c>
      <c r="FX20" t="e">
        <f>AND(Liste!#REF!,"AAAAAH///LM=")</f>
        <v>#REF!</v>
      </c>
      <c r="FY20" t="e">
        <f>AND(Liste!#REF!,"AAAAAH///LQ=")</f>
        <v>#REF!</v>
      </c>
      <c r="FZ20" t="e">
        <f>AND(Liste!#REF!,"AAAAAH///LU=")</f>
        <v>#REF!</v>
      </c>
      <c r="GA20" t="e">
        <f>AND(Liste!#REF!,"AAAAAH///LY=")</f>
        <v>#REF!</v>
      </c>
      <c r="GB20" t="e">
        <f>AND(Liste!#REF!,"AAAAAH///Lc=")</f>
        <v>#REF!</v>
      </c>
      <c r="GC20" t="e">
        <f>AND(Liste!#REF!,"AAAAAH///Lg=")</f>
        <v>#REF!</v>
      </c>
      <c r="GD20" t="e">
        <f>AND(Liste!#REF!,"AAAAAH///Lk=")</f>
        <v>#REF!</v>
      </c>
      <c r="GE20" t="e">
        <f>AND(Liste!#REF!,"AAAAAH///Lo=")</f>
        <v>#REF!</v>
      </c>
      <c r="GF20" t="e">
        <f>AND(Liste!#REF!,"AAAAAH///Ls=")</f>
        <v>#REF!</v>
      </c>
      <c r="GG20" t="e">
        <f>AND(Liste!#REF!,"AAAAAH///Lw=")</f>
        <v>#REF!</v>
      </c>
      <c r="GH20">
        <f>IF(Liste!160:160,"AAAAAH///L0=",0)</f>
        <v>0</v>
      </c>
      <c r="GI20" t="b">
        <f>AND(Liste!A160,"AAAAAH///L4=")</f>
        <v>1</v>
      </c>
      <c r="GJ20" t="e">
        <f>AND(Liste!#REF!,"AAAAAH///L8=")</f>
        <v>#REF!</v>
      </c>
      <c r="GK20" t="e">
        <f>AND(Liste!#REF!,"AAAAAH///MA=")</f>
        <v>#REF!</v>
      </c>
      <c r="GL20" t="e">
        <f>AND(Liste!#REF!,"AAAAAH///ME=")</f>
        <v>#REF!</v>
      </c>
      <c r="GM20" t="e">
        <f>AND(Liste!#REF!,"AAAAAH///MI=")</f>
        <v>#REF!</v>
      </c>
      <c r="GN20" t="e">
        <f>AND(Liste!#REF!,"AAAAAH///MM=")</f>
        <v>#REF!</v>
      </c>
      <c r="GO20" t="e">
        <f>AND(Liste!#REF!,"AAAAAH///MQ=")</f>
        <v>#REF!</v>
      </c>
      <c r="GP20" t="e">
        <f>AND(Liste!#REF!,"AAAAAH///MU=")</f>
        <v>#REF!</v>
      </c>
      <c r="GQ20" t="e">
        <f>AND(Liste!#REF!,"AAAAAH///MY=")</f>
        <v>#REF!</v>
      </c>
      <c r="GR20" t="e">
        <f>AND(Liste!#REF!,"AAAAAH///Mc=")</f>
        <v>#REF!</v>
      </c>
      <c r="GS20" t="e">
        <f>AND(Liste!#REF!,"AAAAAH///Mg=")</f>
        <v>#REF!</v>
      </c>
      <c r="GT20" t="e">
        <f>AND(Liste!#REF!,"AAAAAH///Mk=")</f>
        <v>#REF!</v>
      </c>
      <c r="GU20" t="e">
        <f>AND(Liste!#REF!,"AAAAAH///Mo=")</f>
        <v>#REF!</v>
      </c>
      <c r="GV20" t="e">
        <f>AND(Liste!#REF!,"AAAAAH///Ms=")</f>
        <v>#REF!</v>
      </c>
      <c r="GW20" t="e">
        <f>AND(Liste!#REF!,"AAAAAH///Mw=")</f>
        <v>#REF!</v>
      </c>
      <c r="GX20" t="e">
        <f>AND(Liste!#REF!,"AAAAAH///M0=")</f>
        <v>#REF!</v>
      </c>
      <c r="GY20" t="e">
        <f>AND(Liste!#REF!,"AAAAAH///M4=")</f>
        <v>#REF!</v>
      </c>
      <c r="GZ20" t="e">
        <f>AND(Liste!#REF!,"AAAAAH///M8=")</f>
        <v>#REF!</v>
      </c>
      <c r="HA20" t="e">
        <f>AND(Liste!#REF!,"AAAAAH///NA=")</f>
        <v>#REF!</v>
      </c>
      <c r="HB20" t="e">
        <f>AND(Liste!#REF!,"AAAAAH///NE=")</f>
        <v>#REF!</v>
      </c>
      <c r="HC20" t="e">
        <f>AND(Liste!#REF!,"AAAAAH///NI=")</f>
        <v>#REF!</v>
      </c>
      <c r="HD20" t="e">
        <f>AND(Liste!#REF!,"AAAAAH///NM=")</f>
        <v>#REF!</v>
      </c>
      <c r="HE20" t="e">
        <f>AND(Liste!#REF!,"AAAAAH///NQ=")</f>
        <v>#REF!</v>
      </c>
      <c r="HF20" t="e">
        <f>AND(Liste!#REF!,"AAAAAH///NU=")</f>
        <v>#REF!</v>
      </c>
      <c r="HG20" t="e">
        <f>AND(Liste!#REF!,"AAAAAH///NY=")</f>
        <v>#REF!</v>
      </c>
      <c r="HH20" t="e">
        <f>AND(Liste!#REF!,"AAAAAH///Nc=")</f>
        <v>#REF!</v>
      </c>
      <c r="HI20" t="e">
        <f>AND(Liste!#REF!,"AAAAAH///Ng=")</f>
        <v>#REF!</v>
      </c>
      <c r="HJ20" t="e">
        <f>AND(Liste!#REF!,"AAAAAH///Nk=")</f>
        <v>#REF!</v>
      </c>
      <c r="HK20" t="e">
        <f>AND(Liste!#REF!,"AAAAAH///No=")</f>
        <v>#REF!</v>
      </c>
      <c r="HL20" t="e">
        <f>AND(Liste!#REF!,"AAAAAH///Ns=")</f>
        <v>#REF!</v>
      </c>
      <c r="HM20">
        <f>IF(Liste!161:161,"AAAAAH///Nw=",0)</f>
        <v>0</v>
      </c>
      <c r="HN20" t="b">
        <f>AND(Liste!A161,"AAAAAH///N0=")</f>
        <v>1</v>
      </c>
      <c r="HO20" t="e">
        <f>AND(Liste!#REF!,"AAAAAH///N4=")</f>
        <v>#REF!</v>
      </c>
      <c r="HP20" t="e">
        <f>AND(Liste!#REF!,"AAAAAH///N8=")</f>
        <v>#REF!</v>
      </c>
      <c r="HQ20" t="e">
        <f>AND(Liste!#REF!,"AAAAAH///OA=")</f>
        <v>#REF!</v>
      </c>
      <c r="HR20" t="e">
        <f>AND(Liste!#REF!,"AAAAAH///OE=")</f>
        <v>#REF!</v>
      </c>
      <c r="HS20" t="e">
        <f>AND(Liste!#REF!,"AAAAAH///OI=")</f>
        <v>#REF!</v>
      </c>
      <c r="HT20" t="e">
        <f>AND(Liste!#REF!,"AAAAAH///OM=")</f>
        <v>#REF!</v>
      </c>
      <c r="HU20" t="e">
        <f>AND(Liste!#REF!,"AAAAAH///OQ=")</f>
        <v>#REF!</v>
      </c>
      <c r="HV20" t="e">
        <f>AND(Liste!#REF!,"AAAAAH///OU=")</f>
        <v>#REF!</v>
      </c>
      <c r="HW20" t="e">
        <f>AND(Liste!#REF!,"AAAAAH///OY=")</f>
        <v>#REF!</v>
      </c>
      <c r="HX20" t="e">
        <f>AND(Liste!#REF!,"AAAAAH///Oc=")</f>
        <v>#REF!</v>
      </c>
      <c r="HY20" t="e">
        <f>AND(Liste!#REF!,"AAAAAH///Og=")</f>
        <v>#REF!</v>
      </c>
      <c r="HZ20" t="e">
        <f>AND(Liste!#REF!,"AAAAAH///Ok=")</f>
        <v>#REF!</v>
      </c>
      <c r="IA20" t="e">
        <f>AND(Liste!#REF!,"AAAAAH///Oo=")</f>
        <v>#REF!</v>
      </c>
      <c r="IB20" t="e">
        <f>AND(Liste!#REF!,"AAAAAH///Os=")</f>
        <v>#REF!</v>
      </c>
      <c r="IC20" t="e">
        <f>AND(Liste!#REF!,"AAAAAH///Ow=")</f>
        <v>#REF!</v>
      </c>
      <c r="ID20" t="e">
        <f>AND(Liste!#REF!,"AAAAAH///O0=")</f>
        <v>#REF!</v>
      </c>
      <c r="IE20" t="e">
        <f>AND(Liste!#REF!,"AAAAAH///O4=")</f>
        <v>#REF!</v>
      </c>
      <c r="IF20" t="e">
        <f>AND(Liste!#REF!,"AAAAAH///O8=")</f>
        <v>#REF!</v>
      </c>
      <c r="IG20" t="e">
        <f>AND(Liste!#REF!,"AAAAAH///PA=")</f>
        <v>#REF!</v>
      </c>
      <c r="IH20" t="e">
        <f>AND(Liste!#REF!,"AAAAAH///PE=")</f>
        <v>#REF!</v>
      </c>
      <c r="II20" t="e">
        <f>AND(Liste!#REF!,"AAAAAH///PI=")</f>
        <v>#REF!</v>
      </c>
      <c r="IJ20" t="e">
        <f>AND(Liste!#REF!,"AAAAAH///PM=")</f>
        <v>#REF!</v>
      </c>
      <c r="IK20" t="e">
        <f>AND(Liste!#REF!,"AAAAAH///PQ=")</f>
        <v>#REF!</v>
      </c>
      <c r="IL20" t="e">
        <f>AND(Liste!#REF!,"AAAAAH///PU=")</f>
        <v>#REF!</v>
      </c>
      <c r="IM20" t="e">
        <f>AND(Liste!#REF!,"AAAAAH///PY=")</f>
        <v>#REF!</v>
      </c>
      <c r="IN20" t="e">
        <f>AND(Liste!#REF!,"AAAAAH///Pc=")</f>
        <v>#REF!</v>
      </c>
      <c r="IO20" t="e">
        <f>AND(Liste!#REF!,"AAAAAH///Pg=")</f>
        <v>#REF!</v>
      </c>
      <c r="IP20" t="e">
        <f>AND(Liste!#REF!,"AAAAAH///Pk=")</f>
        <v>#REF!</v>
      </c>
      <c r="IQ20" t="e">
        <f>AND(Liste!#REF!,"AAAAAH///Po=")</f>
        <v>#REF!</v>
      </c>
      <c r="IR20">
        <f>IF(Liste!162:162,"AAAAAH///Ps=",0)</f>
        <v>0</v>
      </c>
      <c r="IS20" t="b">
        <f>AND(Liste!A162,"AAAAAH///Pw=")</f>
        <v>1</v>
      </c>
      <c r="IT20" t="e">
        <f>AND(Liste!#REF!,"AAAAAH///P0=")</f>
        <v>#REF!</v>
      </c>
      <c r="IU20" t="e">
        <f>AND(Liste!#REF!,"AAAAAH///P4=")</f>
        <v>#REF!</v>
      </c>
      <c r="IV20" t="e">
        <f>AND(Liste!#REF!,"AAAAAH///P8=")</f>
        <v>#REF!</v>
      </c>
    </row>
    <row r="21" spans="1:256" x14ac:dyDescent="0.2">
      <c r="A21" t="e">
        <f>AND(Liste!#REF!,"AAAAAD2nuwA=")</f>
        <v>#REF!</v>
      </c>
      <c r="B21" t="e">
        <f>AND(Liste!#REF!,"AAAAAD2nuwE=")</f>
        <v>#REF!</v>
      </c>
      <c r="C21" t="e">
        <f>AND(Liste!#REF!,"AAAAAD2nuwI=")</f>
        <v>#REF!</v>
      </c>
      <c r="D21" t="e">
        <f>AND(Liste!#REF!,"AAAAAD2nuwM=")</f>
        <v>#REF!</v>
      </c>
      <c r="E21" t="e">
        <f>AND(Liste!#REF!,"AAAAAD2nuwQ=")</f>
        <v>#REF!</v>
      </c>
      <c r="F21" t="e">
        <f>AND(Liste!#REF!,"AAAAAD2nuwU=")</f>
        <v>#REF!</v>
      </c>
      <c r="G21" t="e">
        <f>AND(Liste!#REF!,"AAAAAD2nuwY=")</f>
        <v>#REF!</v>
      </c>
      <c r="H21" t="e">
        <f>AND(Liste!#REF!,"AAAAAD2nuwc=")</f>
        <v>#REF!</v>
      </c>
      <c r="I21" t="e">
        <f>AND(Liste!#REF!,"AAAAAD2nuwg=")</f>
        <v>#REF!</v>
      </c>
      <c r="J21" t="e">
        <f>AND(Liste!#REF!,"AAAAAD2nuwk=")</f>
        <v>#REF!</v>
      </c>
      <c r="K21" t="e">
        <f>AND(Liste!#REF!,"AAAAAD2nuwo=")</f>
        <v>#REF!</v>
      </c>
      <c r="L21" t="e">
        <f>AND(Liste!#REF!,"AAAAAD2nuws=")</f>
        <v>#REF!</v>
      </c>
      <c r="M21" t="e">
        <f>AND(Liste!#REF!,"AAAAAD2nuww=")</f>
        <v>#REF!</v>
      </c>
      <c r="N21" t="e">
        <f>AND(Liste!#REF!,"AAAAAD2nuw0=")</f>
        <v>#REF!</v>
      </c>
      <c r="O21" t="e">
        <f>AND(Liste!#REF!,"AAAAAD2nuw4=")</f>
        <v>#REF!</v>
      </c>
      <c r="P21" t="e">
        <f>AND(Liste!#REF!,"AAAAAD2nuw8=")</f>
        <v>#REF!</v>
      </c>
      <c r="Q21" t="e">
        <f>AND(Liste!#REF!,"AAAAAD2nuxA=")</f>
        <v>#REF!</v>
      </c>
      <c r="R21" t="e">
        <f>AND(Liste!#REF!,"AAAAAD2nuxE=")</f>
        <v>#REF!</v>
      </c>
      <c r="S21" t="e">
        <f>AND(Liste!#REF!,"AAAAAD2nuxI=")</f>
        <v>#REF!</v>
      </c>
      <c r="T21" t="e">
        <f>AND(Liste!#REF!,"AAAAAD2nuxM=")</f>
        <v>#REF!</v>
      </c>
      <c r="U21" t="e">
        <f>AND(Liste!#REF!,"AAAAAD2nuxQ=")</f>
        <v>#REF!</v>
      </c>
      <c r="V21" t="e">
        <f>AND(Liste!#REF!,"AAAAAD2nuxU=")</f>
        <v>#REF!</v>
      </c>
      <c r="W21" t="e">
        <f>AND(Liste!#REF!,"AAAAAD2nuxY=")</f>
        <v>#REF!</v>
      </c>
      <c r="X21" t="e">
        <f>AND(Liste!#REF!,"AAAAAD2nuxc=")</f>
        <v>#REF!</v>
      </c>
      <c r="Y21" t="e">
        <f>AND(Liste!#REF!,"AAAAAD2nuxg=")</f>
        <v>#REF!</v>
      </c>
      <c r="Z21" t="e">
        <f>AND(Liste!#REF!,"AAAAAD2nuxk=")</f>
        <v>#REF!</v>
      </c>
      <c r="AA21">
        <f>IF(Liste!163:163,"AAAAAD2nuxo=",0)</f>
        <v>0</v>
      </c>
      <c r="AB21" t="b">
        <f>AND(Liste!A163,"AAAAAD2nuxs=")</f>
        <v>1</v>
      </c>
      <c r="AC21" t="e">
        <f>AND(Liste!#REF!,"AAAAAD2nuxw=")</f>
        <v>#REF!</v>
      </c>
      <c r="AD21" t="e">
        <f>AND(Liste!#REF!,"AAAAAD2nux0=")</f>
        <v>#REF!</v>
      </c>
      <c r="AE21" t="e">
        <f>AND(Liste!#REF!,"AAAAAD2nux4=")</f>
        <v>#REF!</v>
      </c>
      <c r="AF21" t="e">
        <f>AND(Liste!#REF!,"AAAAAD2nux8=")</f>
        <v>#REF!</v>
      </c>
      <c r="AG21" t="e">
        <f>AND(Liste!#REF!,"AAAAAD2nuyA=")</f>
        <v>#REF!</v>
      </c>
      <c r="AH21" t="e">
        <f>AND(Liste!#REF!,"AAAAAD2nuyE=")</f>
        <v>#REF!</v>
      </c>
      <c r="AI21" t="e">
        <f>AND(Liste!#REF!,"AAAAAD2nuyI=")</f>
        <v>#REF!</v>
      </c>
      <c r="AJ21" t="e">
        <f>AND(Liste!#REF!,"AAAAAD2nuyM=")</f>
        <v>#REF!</v>
      </c>
      <c r="AK21" t="e">
        <f>AND(Liste!#REF!,"AAAAAD2nuyQ=")</f>
        <v>#REF!</v>
      </c>
      <c r="AL21" t="e">
        <f>AND(Liste!#REF!,"AAAAAD2nuyU=")</f>
        <v>#REF!</v>
      </c>
      <c r="AM21" t="e">
        <f>AND(Liste!#REF!,"AAAAAD2nuyY=")</f>
        <v>#REF!</v>
      </c>
      <c r="AN21" t="e">
        <f>AND(Liste!#REF!,"AAAAAD2nuyc=")</f>
        <v>#REF!</v>
      </c>
      <c r="AO21" t="e">
        <f>AND(Liste!#REF!,"AAAAAD2nuyg=")</f>
        <v>#REF!</v>
      </c>
      <c r="AP21" t="e">
        <f>AND(Liste!#REF!,"AAAAAD2nuyk=")</f>
        <v>#REF!</v>
      </c>
      <c r="AQ21" t="e">
        <f>AND(Liste!#REF!,"AAAAAD2nuyo=")</f>
        <v>#REF!</v>
      </c>
      <c r="AR21" t="e">
        <f>AND(Liste!#REF!,"AAAAAD2nuys=")</f>
        <v>#REF!</v>
      </c>
      <c r="AS21" t="e">
        <f>AND(Liste!#REF!,"AAAAAD2nuyw=")</f>
        <v>#REF!</v>
      </c>
      <c r="AT21" t="e">
        <f>AND(Liste!#REF!,"AAAAAD2nuy0=")</f>
        <v>#REF!</v>
      </c>
      <c r="AU21" t="e">
        <f>AND(Liste!#REF!,"AAAAAD2nuy4=")</f>
        <v>#REF!</v>
      </c>
      <c r="AV21" t="e">
        <f>AND(Liste!#REF!,"AAAAAD2nuy8=")</f>
        <v>#REF!</v>
      </c>
      <c r="AW21" t="e">
        <f>AND(Liste!#REF!,"AAAAAD2nuzA=")</f>
        <v>#REF!</v>
      </c>
      <c r="AX21" t="e">
        <f>AND(Liste!#REF!,"AAAAAD2nuzE=")</f>
        <v>#REF!</v>
      </c>
      <c r="AY21" t="e">
        <f>AND(Liste!#REF!,"AAAAAD2nuzI=")</f>
        <v>#REF!</v>
      </c>
      <c r="AZ21" t="e">
        <f>AND(Liste!#REF!,"AAAAAD2nuzM=")</f>
        <v>#REF!</v>
      </c>
      <c r="BA21" t="e">
        <f>AND(Liste!#REF!,"AAAAAD2nuzQ=")</f>
        <v>#REF!</v>
      </c>
      <c r="BB21" t="e">
        <f>AND(Liste!#REF!,"AAAAAD2nuzU=")</f>
        <v>#REF!</v>
      </c>
      <c r="BC21" t="e">
        <f>AND(Liste!#REF!,"AAAAAD2nuzY=")</f>
        <v>#REF!</v>
      </c>
      <c r="BD21" t="e">
        <f>AND(Liste!#REF!,"AAAAAD2nuzc=")</f>
        <v>#REF!</v>
      </c>
      <c r="BE21" t="e">
        <f>AND(Liste!#REF!,"AAAAAD2nuzg=")</f>
        <v>#REF!</v>
      </c>
      <c r="BF21">
        <f>IF(Liste!164:164,"AAAAAD2nuzk=",0)</f>
        <v>0</v>
      </c>
      <c r="BG21" t="b">
        <f>AND(Liste!A164,"AAAAAD2nuzo=")</f>
        <v>1</v>
      </c>
      <c r="BH21" t="e">
        <f>AND(Liste!#REF!,"AAAAAD2nuzs=")</f>
        <v>#REF!</v>
      </c>
      <c r="BI21" t="e">
        <f>AND(Liste!#REF!,"AAAAAD2nuzw=")</f>
        <v>#REF!</v>
      </c>
      <c r="BJ21" t="e">
        <f>AND(Liste!#REF!,"AAAAAD2nuz0=")</f>
        <v>#REF!</v>
      </c>
      <c r="BK21" t="e">
        <f>AND(Liste!#REF!,"AAAAAD2nuz4=")</f>
        <v>#REF!</v>
      </c>
      <c r="BL21" t="e">
        <f>AND(Liste!#REF!,"AAAAAD2nuz8=")</f>
        <v>#REF!</v>
      </c>
      <c r="BM21" t="e">
        <f>AND(Liste!#REF!,"AAAAAD2nu0A=")</f>
        <v>#REF!</v>
      </c>
      <c r="BN21" t="e">
        <f>AND(Liste!#REF!,"AAAAAD2nu0E=")</f>
        <v>#REF!</v>
      </c>
      <c r="BO21" t="e">
        <f>AND(Liste!#REF!,"AAAAAD2nu0I=")</f>
        <v>#REF!</v>
      </c>
      <c r="BP21" t="e">
        <f>AND(Liste!#REF!,"AAAAAD2nu0M=")</f>
        <v>#REF!</v>
      </c>
      <c r="BQ21" t="e">
        <f>AND(Liste!#REF!,"AAAAAD2nu0Q=")</f>
        <v>#REF!</v>
      </c>
      <c r="BR21" t="e">
        <f>AND(Liste!#REF!,"AAAAAD2nu0U=")</f>
        <v>#REF!</v>
      </c>
      <c r="BS21" t="e">
        <f>AND(Liste!#REF!,"AAAAAD2nu0Y=")</f>
        <v>#REF!</v>
      </c>
      <c r="BT21" t="e">
        <f>AND(Liste!#REF!,"AAAAAD2nu0c=")</f>
        <v>#REF!</v>
      </c>
      <c r="BU21" t="e">
        <f>AND(Liste!#REF!,"AAAAAD2nu0g=")</f>
        <v>#REF!</v>
      </c>
      <c r="BV21" t="e">
        <f>AND(Liste!#REF!,"AAAAAD2nu0k=")</f>
        <v>#REF!</v>
      </c>
      <c r="BW21" t="e">
        <f>AND(Liste!#REF!,"AAAAAD2nu0o=")</f>
        <v>#REF!</v>
      </c>
      <c r="BX21" t="e">
        <f>AND(Liste!#REF!,"AAAAAD2nu0s=")</f>
        <v>#REF!</v>
      </c>
      <c r="BY21" t="e">
        <f>AND(Liste!#REF!,"AAAAAD2nu0w=")</f>
        <v>#REF!</v>
      </c>
      <c r="BZ21" t="e">
        <f>AND(Liste!#REF!,"AAAAAD2nu00=")</f>
        <v>#REF!</v>
      </c>
      <c r="CA21" t="e">
        <f>AND(Liste!#REF!,"AAAAAD2nu04=")</f>
        <v>#REF!</v>
      </c>
      <c r="CB21" t="e">
        <f>AND(Liste!#REF!,"AAAAAD2nu08=")</f>
        <v>#REF!</v>
      </c>
      <c r="CC21" t="e">
        <f>AND(Liste!#REF!,"AAAAAD2nu1A=")</f>
        <v>#REF!</v>
      </c>
      <c r="CD21" t="e">
        <f>AND(Liste!#REF!,"AAAAAD2nu1E=")</f>
        <v>#REF!</v>
      </c>
      <c r="CE21" t="e">
        <f>AND(Liste!#REF!,"AAAAAD2nu1I=")</f>
        <v>#REF!</v>
      </c>
      <c r="CF21" t="e">
        <f>AND(Liste!#REF!,"AAAAAD2nu1M=")</f>
        <v>#REF!</v>
      </c>
      <c r="CG21" t="e">
        <f>AND(Liste!#REF!,"AAAAAD2nu1Q=")</f>
        <v>#REF!</v>
      </c>
      <c r="CH21" t="e">
        <f>AND(Liste!#REF!,"AAAAAD2nu1U=")</f>
        <v>#REF!</v>
      </c>
      <c r="CI21" t="e">
        <f>AND(Liste!#REF!,"AAAAAD2nu1Y=")</f>
        <v>#REF!</v>
      </c>
      <c r="CJ21" t="e">
        <f>AND(Liste!#REF!,"AAAAAD2nu1c=")</f>
        <v>#REF!</v>
      </c>
      <c r="CK21">
        <f>IF(Liste!165:165,"AAAAAD2nu1g=",0)</f>
        <v>0</v>
      </c>
      <c r="CL21" t="b">
        <f>AND(Liste!A165,"AAAAAD2nu1k=")</f>
        <v>1</v>
      </c>
      <c r="CM21" t="e">
        <f>AND(Liste!#REF!,"AAAAAD2nu1o=")</f>
        <v>#REF!</v>
      </c>
      <c r="CN21" t="e">
        <f>AND(Liste!#REF!,"AAAAAD2nu1s=")</f>
        <v>#REF!</v>
      </c>
      <c r="CO21" t="e">
        <f>AND(Liste!#REF!,"AAAAAD2nu1w=")</f>
        <v>#REF!</v>
      </c>
      <c r="CP21" t="e">
        <f>AND(Liste!#REF!,"AAAAAD2nu10=")</f>
        <v>#REF!</v>
      </c>
      <c r="CQ21" t="e">
        <f>AND(Liste!#REF!,"AAAAAD2nu14=")</f>
        <v>#REF!</v>
      </c>
      <c r="CR21" t="e">
        <f>AND(Liste!#REF!,"AAAAAD2nu18=")</f>
        <v>#REF!</v>
      </c>
      <c r="CS21" t="e">
        <f>AND(Liste!#REF!,"AAAAAD2nu2A=")</f>
        <v>#REF!</v>
      </c>
      <c r="CT21" t="e">
        <f>AND(Liste!#REF!,"AAAAAD2nu2E=")</f>
        <v>#REF!</v>
      </c>
      <c r="CU21" t="e">
        <f>AND(Liste!#REF!,"AAAAAD2nu2I=")</f>
        <v>#REF!</v>
      </c>
      <c r="CV21" t="e">
        <f>AND(Liste!#REF!,"AAAAAD2nu2M=")</f>
        <v>#REF!</v>
      </c>
      <c r="CW21" t="e">
        <f>AND(Liste!#REF!,"AAAAAD2nu2Q=")</f>
        <v>#REF!</v>
      </c>
      <c r="CX21" t="e">
        <f>AND(Liste!#REF!,"AAAAAD2nu2U=")</f>
        <v>#REF!</v>
      </c>
      <c r="CY21" t="e">
        <f>AND(Liste!#REF!,"AAAAAD2nu2Y=")</f>
        <v>#REF!</v>
      </c>
      <c r="CZ21" t="e">
        <f>AND(Liste!#REF!,"AAAAAD2nu2c=")</f>
        <v>#REF!</v>
      </c>
      <c r="DA21" t="e">
        <f>AND(Liste!#REF!,"AAAAAD2nu2g=")</f>
        <v>#REF!</v>
      </c>
      <c r="DB21" t="e">
        <f>AND(Liste!#REF!,"AAAAAD2nu2k=")</f>
        <v>#REF!</v>
      </c>
      <c r="DC21" t="e">
        <f>AND(Liste!#REF!,"AAAAAD2nu2o=")</f>
        <v>#REF!</v>
      </c>
      <c r="DD21" t="e">
        <f>AND(Liste!#REF!,"AAAAAD2nu2s=")</f>
        <v>#REF!</v>
      </c>
      <c r="DE21" t="e">
        <f>AND(Liste!#REF!,"AAAAAD2nu2w=")</f>
        <v>#REF!</v>
      </c>
      <c r="DF21" t="e">
        <f>AND(Liste!#REF!,"AAAAAD2nu20=")</f>
        <v>#REF!</v>
      </c>
      <c r="DG21" t="e">
        <f>AND(Liste!#REF!,"AAAAAD2nu24=")</f>
        <v>#REF!</v>
      </c>
      <c r="DH21" t="e">
        <f>AND(Liste!#REF!,"AAAAAD2nu28=")</f>
        <v>#REF!</v>
      </c>
      <c r="DI21" t="e">
        <f>AND(Liste!#REF!,"AAAAAD2nu3A=")</f>
        <v>#REF!</v>
      </c>
      <c r="DJ21" t="e">
        <f>AND(Liste!#REF!,"AAAAAD2nu3E=")</f>
        <v>#REF!</v>
      </c>
      <c r="DK21" t="e">
        <f>AND(Liste!#REF!,"AAAAAD2nu3I=")</f>
        <v>#REF!</v>
      </c>
      <c r="DL21" t="e">
        <f>AND(Liste!#REF!,"AAAAAD2nu3M=")</f>
        <v>#REF!</v>
      </c>
      <c r="DM21" t="e">
        <f>AND(Liste!#REF!,"AAAAAD2nu3Q=")</f>
        <v>#REF!</v>
      </c>
      <c r="DN21" t="e">
        <f>AND(Liste!#REF!,"AAAAAD2nu3U=")</f>
        <v>#REF!</v>
      </c>
      <c r="DO21" t="e">
        <f>AND(Liste!#REF!,"AAAAAD2nu3Y=")</f>
        <v>#REF!</v>
      </c>
      <c r="DP21">
        <f>IF(Liste!166:166,"AAAAAD2nu3c=",0)</f>
        <v>0</v>
      </c>
      <c r="DQ21" t="b">
        <f>AND(Liste!A166,"AAAAAD2nu3g=")</f>
        <v>1</v>
      </c>
      <c r="DR21" t="e">
        <f>AND(Liste!#REF!,"AAAAAD2nu3k=")</f>
        <v>#REF!</v>
      </c>
      <c r="DS21" t="e">
        <f>AND(Liste!#REF!,"AAAAAD2nu3o=")</f>
        <v>#REF!</v>
      </c>
      <c r="DT21" t="e">
        <f>AND(Liste!#REF!,"AAAAAD2nu3s=")</f>
        <v>#REF!</v>
      </c>
      <c r="DU21" t="e">
        <f>AND(Liste!#REF!,"AAAAAD2nu3w=")</f>
        <v>#REF!</v>
      </c>
      <c r="DV21" t="e">
        <f>AND(Liste!#REF!,"AAAAAD2nu30=")</f>
        <v>#REF!</v>
      </c>
      <c r="DW21" t="e">
        <f>AND(Liste!#REF!,"AAAAAD2nu34=")</f>
        <v>#REF!</v>
      </c>
      <c r="DX21" t="e">
        <f>AND(Liste!#REF!,"AAAAAD2nu38=")</f>
        <v>#REF!</v>
      </c>
      <c r="DY21" t="e">
        <f>AND(Liste!#REF!,"AAAAAD2nu4A=")</f>
        <v>#REF!</v>
      </c>
      <c r="DZ21" t="e">
        <f>AND(Liste!#REF!,"AAAAAD2nu4E=")</f>
        <v>#REF!</v>
      </c>
      <c r="EA21" t="e">
        <f>AND(Liste!#REF!,"AAAAAD2nu4I=")</f>
        <v>#REF!</v>
      </c>
      <c r="EB21" t="e">
        <f>AND(Liste!#REF!,"AAAAAD2nu4M=")</f>
        <v>#REF!</v>
      </c>
      <c r="EC21" t="e">
        <f>AND(Liste!#REF!,"AAAAAD2nu4Q=")</f>
        <v>#REF!</v>
      </c>
      <c r="ED21" t="e">
        <f>AND(Liste!#REF!,"AAAAAD2nu4U=")</f>
        <v>#REF!</v>
      </c>
      <c r="EE21" t="e">
        <f>AND(Liste!#REF!,"AAAAAD2nu4Y=")</f>
        <v>#REF!</v>
      </c>
      <c r="EF21" t="e">
        <f>AND(Liste!#REF!,"AAAAAD2nu4c=")</f>
        <v>#REF!</v>
      </c>
      <c r="EG21" t="e">
        <f>AND(Liste!#REF!,"AAAAAD2nu4g=")</f>
        <v>#REF!</v>
      </c>
      <c r="EH21" t="e">
        <f>AND(Liste!#REF!,"AAAAAD2nu4k=")</f>
        <v>#REF!</v>
      </c>
      <c r="EI21" t="e">
        <f>AND(Liste!#REF!,"AAAAAD2nu4o=")</f>
        <v>#REF!</v>
      </c>
      <c r="EJ21" t="e">
        <f>AND(Liste!#REF!,"AAAAAD2nu4s=")</f>
        <v>#REF!</v>
      </c>
      <c r="EK21" t="e">
        <f>AND(Liste!#REF!,"AAAAAD2nu4w=")</f>
        <v>#REF!</v>
      </c>
      <c r="EL21" t="e">
        <f>AND(Liste!#REF!,"AAAAAD2nu40=")</f>
        <v>#REF!</v>
      </c>
      <c r="EM21" t="e">
        <f>AND(Liste!#REF!,"AAAAAD2nu44=")</f>
        <v>#REF!</v>
      </c>
      <c r="EN21" t="e">
        <f>AND(Liste!#REF!,"AAAAAD2nu48=")</f>
        <v>#REF!</v>
      </c>
      <c r="EO21" t="e">
        <f>AND(Liste!#REF!,"AAAAAD2nu5A=")</f>
        <v>#REF!</v>
      </c>
      <c r="EP21" t="e">
        <f>AND(Liste!#REF!,"AAAAAD2nu5E=")</f>
        <v>#REF!</v>
      </c>
      <c r="EQ21" t="e">
        <f>AND(Liste!#REF!,"AAAAAD2nu5I=")</f>
        <v>#REF!</v>
      </c>
      <c r="ER21" t="e">
        <f>AND(Liste!#REF!,"AAAAAD2nu5M=")</f>
        <v>#REF!</v>
      </c>
      <c r="ES21" t="e">
        <f>AND(Liste!#REF!,"AAAAAD2nu5Q=")</f>
        <v>#REF!</v>
      </c>
      <c r="ET21" t="e">
        <f>AND(Liste!#REF!,"AAAAAD2nu5U=")</f>
        <v>#REF!</v>
      </c>
      <c r="EU21">
        <f>IF(Liste!167:167,"AAAAAD2nu5Y=",0)</f>
        <v>0</v>
      </c>
      <c r="EV21" t="b">
        <f>AND(Liste!A167,"AAAAAD2nu5c=")</f>
        <v>1</v>
      </c>
      <c r="EW21" t="e">
        <f>AND(Liste!#REF!,"AAAAAD2nu5g=")</f>
        <v>#REF!</v>
      </c>
      <c r="EX21" t="e">
        <f>AND(Liste!#REF!,"AAAAAD2nu5k=")</f>
        <v>#REF!</v>
      </c>
      <c r="EY21" t="e">
        <f>AND(Liste!#REF!,"AAAAAD2nu5o=")</f>
        <v>#REF!</v>
      </c>
      <c r="EZ21" t="e">
        <f>AND(Liste!#REF!,"AAAAAD2nu5s=")</f>
        <v>#REF!</v>
      </c>
      <c r="FA21" t="e">
        <f>AND(Liste!#REF!,"AAAAAD2nu5w=")</f>
        <v>#REF!</v>
      </c>
      <c r="FB21" t="e">
        <f>AND(Liste!#REF!,"AAAAAD2nu50=")</f>
        <v>#REF!</v>
      </c>
      <c r="FC21" t="e">
        <f>AND(Liste!#REF!,"AAAAAD2nu54=")</f>
        <v>#REF!</v>
      </c>
      <c r="FD21" t="e">
        <f>AND(Liste!#REF!,"AAAAAD2nu58=")</f>
        <v>#REF!</v>
      </c>
      <c r="FE21" t="e">
        <f>AND(Liste!#REF!,"AAAAAD2nu6A=")</f>
        <v>#REF!</v>
      </c>
      <c r="FF21" t="e">
        <f>AND(Liste!#REF!,"AAAAAD2nu6E=")</f>
        <v>#REF!</v>
      </c>
      <c r="FG21" t="e">
        <f>AND(Liste!#REF!,"AAAAAD2nu6I=")</f>
        <v>#REF!</v>
      </c>
      <c r="FH21" t="e">
        <f>AND(Liste!#REF!,"AAAAAD2nu6M=")</f>
        <v>#REF!</v>
      </c>
      <c r="FI21" t="e">
        <f>AND(Liste!#REF!,"AAAAAD2nu6Q=")</f>
        <v>#REF!</v>
      </c>
      <c r="FJ21" t="e">
        <f>AND(Liste!#REF!,"AAAAAD2nu6U=")</f>
        <v>#REF!</v>
      </c>
      <c r="FK21" t="e">
        <f>AND(Liste!#REF!,"AAAAAD2nu6Y=")</f>
        <v>#REF!</v>
      </c>
      <c r="FL21" t="e">
        <f>AND(Liste!#REF!,"AAAAAD2nu6c=")</f>
        <v>#REF!</v>
      </c>
      <c r="FM21" t="e">
        <f>AND(Liste!#REF!,"AAAAAD2nu6g=")</f>
        <v>#REF!</v>
      </c>
      <c r="FN21" t="e">
        <f>AND(Liste!#REF!,"AAAAAD2nu6k=")</f>
        <v>#REF!</v>
      </c>
      <c r="FO21" t="e">
        <f>AND(Liste!#REF!,"AAAAAD2nu6o=")</f>
        <v>#REF!</v>
      </c>
      <c r="FP21" t="e">
        <f>AND(Liste!#REF!,"AAAAAD2nu6s=")</f>
        <v>#REF!</v>
      </c>
      <c r="FQ21" t="e">
        <f>AND(Liste!#REF!,"AAAAAD2nu6w=")</f>
        <v>#REF!</v>
      </c>
      <c r="FR21" t="e">
        <f>AND(Liste!#REF!,"AAAAAD2nu60=")</f>
        <v>#REF!</v>
      </c>
      <c r="FS21" t="e">
        <f>AND(Liste!#REF!,"AAAAAD2nu64=")</f>
        <v>#REF!</v>
      </c>
      <c r="FT21" t="e">
        <f>AND(Liste!#REF!,"AAAAAD2nu68=")</f>
        <v>#REF!</v>
      </c>
      <c r="FU21" t="e">
        <f>AND(Liste!#REF!,"AAAAAD2nu7A=")</f>
        <v>#REF!</v>
      </c>
      <c r="FV21" t="e">
        <f>AND(Liste!#REF!,"AAAAAD2nu7E=")</f>
        <v>#REF!</v>
      </c>
      <c r="FW21" t="e">
        <f>AND(Liste!#REF!,"AAAAAD2nu7I=")</f>
        <v>#REF!</v>
      </c>
      <c r="FX21" t="e">
        <f>AND(Liste!#REF!,"AAAAAD2nu7M=")</f>
        <v>#REF!</v>
      </c>
      <c r="FY21" t="e">
        <f>AND(Liste!#REF!,"AAAAAD2nu7Q=")</f>
        <v>#REF!</v>
      </c>
      <c r="FZ21">
        <f>IF(Liste!168:168,"AAAAAD2nu7U=",0)</f>
        <v>0</v>
      </c>
      <c r="GA21" t="b">
        <f>AND(Liste!A168,"AAAAAD2nu7Y=")</f>
        <v>1</v>
      </c>
      <c r="GB21" t="e">
        <f>AND(Liste!#REF!,"AAAAAD2nu7c=")</f>
        <v>#REF!</v>
      </c>
      <c r="GC21" t="e">
        <f>AND(Liste!#REF!,"AAAAAD2nu7g=")</f>
        <v>#REF!</v>
      </c>
      <c r="GD21" t="e">
        <f>AND(Liste!#REF!,"AAAAAD2nu7k=")</f>
        <v>#REF!</v>
      </c>
      <c r="GE21" t="e">
        <f>AND(Liste!#REF!,"AAAAAD2nu7o=")</f>
        <v>#REF!</v>
      </c>
      <c r="GF21" t="e">
        <f>AND(Liste!#REF!,"AAAAAD2nu7s=")</f>
        <v>#REF!</v>
      </c>
      <c r="GG21" t="e">
        <f>AND(Liste!#REF!,"AAAAAD2nu7w=")</f>
        <v>#REF!</v>
      </c>
      <c r="GH21" t="e">
        <f>AND(Liste!#REF!,"AAAAAD2nu70=")</f>
        <v>#REF!</v>
      </c>
      <c r="GI21" t="e">
        <f>AND(Liste!#REF!,"AAAAAD2nu74=")</f>
        <v>#REF!</v>
      </c>
      <c r="GJ21" t="e">
        <f>AND(Liste!#REF!,"AAAAAD2nu78=")</f>
        <v>#REF!</v>
      </c>
      <c r="GK21" t="e">
        <f>AND(Liste!#REF!,"AAAAAD2nu8A=")</f>
        <v>#REF!</v>
      </c>
      <c r="GL21" t="e">
        <f>AND(Liste!#REF!,"AAAAAD2nu8E=")</f>
        <v>#REF!</v>
      </c>
      <c r="GM21" t="e">
        <f>AND(Liste!#REF!,"AAAAAD2nu8I=")</f>
        <v>#REF!</v>
      </c>
      <c r="GN21" t="e">
        <f>AND(Liste!#REF!,"AAAAAD2nu8M=")</f>
        <v>#REF!</v>
      </c>
      <c r="GO21" t="e">
        <f>AND(Liste!#REF!,"AAAAAD2nu8Q=")</f>
        <v>#REF!</v>
      </c>
      <c r="GP21" t="e">
        <f>AND(Liste!#REF!,"AAAAAD2nu8U=")</f>
        <v>#REF!</v>
      </c>
      <c r="GQ21" t="e">
        <f>AND(Liste!#REF!,"AAAAAD2nu8Y=")</f>
        <v>#REF!</v>
      </c>
      <c r="GR21" t="e">
        <f>AND(Liste!#REF!,"AAAAAD2nu8c=")</f>
        <v>#REF!</v>
      </c>
      <c r="GS21" t="e">
        <f>AND(Liste!#REF!,"AAAAAD2nu8g=")</f>
        <v>#REF!</v>
      </c>
      <c r="GT21" t="e">
        <f>AND(Liste!#REF!,"AAAAAD2nu8k=")</f>
        <v>#REF!</v>
      </c>
      <c r="GU21" t="e">
        <f>AND(Liste!#REF!,"AAAAAD2nu8o=")</f>
        <v>#REF!</v>
      </c>
      <c r="GV21" t="e">
        <f>AND(Liste!#REF!,"AAAAAD2nu8s=")</f>
        <v>#REF!</v>
      </c>
      <c r="GW21" t="e">
        <f>AND(Liste!#REF!,"AAAAAD2nu8w=")</f>
        <v>#REF!</v>
      </c>
      <c r="GX21" t="e">
        <f>AND(Liste!#REF!,"AAAAAD2nu80=")</f>
        <v>#REF!</v>
      </c>
      <c r="GY21" t="e">
        <f>AND(Liste!#REF!,"AAAAAD2nu84=")</f>
        <v>#REF!</v>
      </c>
      <c r="GZ21" t="e">
        <f>AND(Liste!#REF!,"AAAAAD2nu88=")</f>
        <v>#REF!</v>
      </c>
      <c r="HA21" t="e">
        <f>AND(Liste!#REF!,"AAAAAD2nu9A=")</f>
        <v>#REF!</v>
      </c>
      <c r="HB21" t="e">
        <f>AND(Liste!#REF!,"AAAAAD2nu9E=")</f>
        <v>#REF!</v>
      </c>
      <c r="HC21" t="e">
        <f>AND(Liste!#REF!,"AAAAAD2nu9I=")</f>
        <v>#REF!</v>
      </c>
      <c r="HD21" t="e">
        <f>AND(Liste!#REF!,"AAAAAD2nu9M=")</f>
        <v>#REF!</v>
      </c>
      <c r="HE21" t="e">
        <f>IF(Liste!#REF!,"AAAAAD2nu9Q=",0)</f>
        <v>#REF!</v>
      </c>
      <c r="HF21" t="e">
        <f>AND(Liste!#REF!,"AAAAAD2nu9U=")</f>
        <v>#REF!</v>
      </c>
      <c r="HG21" t="e">
        <f>AND(Liste!#REF!,"AAAAAD2nu9Y=")</f>
        <v>#REF!</v>
      </c>
      <c r="HH21" t="e">
        <f>AND(Liste!#REF!,"AAAAAD2nu9c=")</f>
        <v>#REF!</v>
      </c>
      <c r="HI21" t="e">
        <f>AND(Liste!#REF!,"AAAAAD2nu9g=")</f>
        <v>#REF!</v>
      </c>
      <c r="HJ21" t="e">
        <f>AND(Liste!#REF!,"AAAAAD2nu9k=")</f>
        <v>#REF!</v>
      </c>
      <c r="HK21" t="e">
        <f>AND(Liste!#REF!,"AAAAAD2nu9o=")</f>
        <v>#REF!</v>
      </c>
      <c r="HL21" t="e">
        <f>AND(Liste!#REF!,"AAAAAD2nu9s=")</f>
        <v>#REF!</v>
      </c>
      <c r="HM21" t="e">
        <f>AND(Liste!#REF!,"AAAAAD2nu9w=")</f>
        <v>#REF!</v>
      </c>
      <c r="HN21" t="e">
        <f>AND(Liste!#REF!,"AAAAAD2nu90=")</f>
        <v>#REF!</v>
      </c>
      <c r="HO21" t="e">
        <f>AND(Liste!#REF!,"AAAAAD2nu94=")</f>
        <v>#REF!</v>
      </c>
      <c r="HP21" t="e">
        <f>AND(Liste!#REF!,"AAAAAD2nu98=")</f>
        <v>#REF!</v>
      </c>
      <c r="HQ21" t="e">
        <f>AND(Liste!#REF!,"AAAAAD2nu+A=")</f>
        <v>#REF!</v>
      </c>
      <c r="HR21" t="e">
        <f>AND(Liste!#REF!,"AAAAAD2nu+E=")</f>
        <v>#REF!</v>
      </c>
      <c r="HS21" t="e">
        <f>AND(Liste!#REF!,"AAAAAD2nu+I=")</f>
        <v>#REF!</v>
      </c>
      <c r="HT21" t="e">
        <f>AND(Liste!#REF!,"AAAAAD2nu+M=")</f>
        <v>#REF!</v>
      </c>
      <c r="HU21" t="e">
        <f>AND(Liste!#REF!,"AAAAAD2nu+Q=")</f>
        <v>#REF!</v>
      </c>
      <c r="HV21" t="e">
        <f>AND(Liste!#REF!,"AAAAAD2nu+U=")</f>
        <v>#REF!</v>
      </c>
      <c r="HW21" t="e">
        <f>AND(Liste!#REF!,"AAAAAD2nu+Y=")</f>
        <v>#REF!</v>
      </c>
      <c r="HX21" t="e">
        <f>AND(Liste!#REF!,"AAAAAD2nu+c=")</f>
        <v>#REF!</v>
      </c>
      <c r="HY21" t="e">
        <f>AND(Liste!#REF!,"AAAAAD2nu+g=")</f>
        <v>#REF!</v>
      </c>
      <c r="HZ21" t="e">
        <f>AND(Liste!#REF!,"AAAAAD2nu+k=")</f>
        <v>#REF!</v>
      </c>
      <c r="IA21" t="e">
        <f>AND(Liste!#REF!,"AAAAAD2nu+o=")</f>
        <v>#REF!</v>
      </c>
      <c r="IB21" t="e">
        <f>AND(Liste!#REF!,"AAAAAD2nu+s=")</f>
        <v>#REF!</v>
      </c>
      <c r="IC21" t="e">
        <f>AND(Liste!#REF!,"AAAAAD2nu+w=")</f>
        <v>#REF!</v>
      </c>
      <c r="ID21" t="e">
        <f>AND(Liste!#REF!,"AAAAAD2nu+0=")</f>
        <v>#REF!</v>
      </c>
      <c r="IE21" t="e">
        <f>AND(Liste!#REF!,"AAAAAD2nu+4=")</f>
        <v>#REF!</v>
      </c>
      <c r="IF21" t="e">
        <f>AND(Liste!#REF!,"AAAAAD2nu+8=")</f>
        <v>#REF!</v>
      </c>
      <c r="IG21" t="e">
        <f>AND(Liste!#REF!,"AAAAAD2nu/A=")</f>
        <v>#REF!</v>
      </c>
      <c r="IH21" t="e">
        <f>AND(Liste!#REF!,"AAAAAD2nu/E=")</f>
        <v>#REF!</v>
      </c>
      <c r="II21" t="e">
        <f>AND(Liste!#REF!,"AAAAAD2nu/I=")</f>
        <v>#REF!</v>
      </c>
      <c r="IJ21" t="e">
        <f>IF(Liste!#REF!,"AAAAAD2nu/M=",0)</f>
        <v>#REF!</v>
      </c>
      <c r="IK21" t="e">
        <f>AND(Liste!#REF!,"AAAAAD2nu/Q=")</f>
        <v>#REF!</v>
      </c>
      <c r="IL21" t="e">
        <f>AND(Liste!#REF!,"AAAAAD2nu/U=")</f>
        <v>#REF!</v>
      </c>
      <c r="IM21" t="e">
        <f>AND(Liste!#REF!,"AAAAAD2nu/Y=")</f>
        <v>#REF!</v>
      </c>
      <c r="IN21" t="e">
        <f>AND(Liste!#REF!,"AAAAAD2nu/c=")</f>
        <v>#REF!</v>
      </c>
      <c r="IO21" t="e">
        <f>AND(Liste!#REF!,"AAAAAD2nu/g=")</f>
        <v>#REF!</v>
      </c>
      <c r="IP21" t="e">
        <f>AND(Liste!#REF!,"AAAAAD2nu/k=")</f>
        <v>#REF!</v>
      </c>
      <c r="IQ21" t="e">
        <f>AND(Liste!#REF!,"AAAAAD2nu/o=")</f>
        <v>#REF!</v>
      </c>
      <c r="IR21" t="e">
        <f>AND(Liste!#REF!,"AAAAAD2nu/s=")</f>
        <v>#REF!</v>
      </c>
      <c r="IS21" t="e">
        <f>AND(Liste!#REF!,"AAAAAD2nu/w=")</f>
        <v>#REF!</v>
      </c>
      <c r="IT21" t="e">
        <f>AND(Liste!#REF!,"AAAAAD2nu/0=")</f>
        <v>#REF!</v>
      </c>
      <c r="IU21" t="e">
        <f>AND(Liste!#REF!,"AAAAAD2nu/4=")</f>
        <v>#REF!</v>
      </c>
      <c r="IV21" t="e">
        <f>AND(Liste!#REF!,"AAAAAD2nu/8=")</f>
        <v>#REF!</v>
      </c>
    </row>
    <row r="22" spans="1:256" x14ac:dyDescent="0.2">
      <c r="A22" t="e">
        <f>AND(Liste!#REF!,"AAAAAH7/9gA=")</f>
        <v>#REF!</v>
      </c>
      <c r="B22" t="e">
        <f>AND(Liste!#REF!,"AAAAAH7/9gE=")</f>
        <v>#REF!</v>
      </c>
      <c r="C22" t="e">
        <f>AND(Liste!#REF!,"AAAAAH7/9gI=")</f>
        <v>#REF!</v>
      </c>
      <c r="D22" t="e">
        <f>AND(Liste!#REF!,"AAAAAH7/9gM=")</f>
        <v>#REF!</v>
      </c>
      <c r="E22" t="e">
        <f>AND(Liste!#REF!,"AAAAAH7/9gQ=")</f>
        <v>#REF!</v>
      </c>
      <c r="F22" t="e">
        <f>AND(Liste!#REF!,"AAAAAH7/9gU=")</f>
        <v>#REF!</v>
      </c>
      <c r="G22" t="e">
        <f>AND(Liste!#REF!,"AAAAAH7/9gY=")</f>
        <v>#REF!</v>
      </c>
      <c r="H22" t="e">
        <f>AND(Liste!#REF!,"AAAAAH7/9gc=")</f>
        <v>#REF!</v>
      </c>
      <c r="I22" t="e">
        <f>AND(Liste!#REF!,"AAAAAH7/9gg=")</f>
        <v>#REF!</v>
      </c>
      <c r="J22" t="e">
        <f>AND(Liste!#REF!,"AAAAAH7/9gk=")</f>
        <v>#REF!</v>
      </c>
      <c r="K22" t="e">
        <f>AND(Liste!#REF!,"AAAAAH7/9go=")</f>
        <v>#REF!</v>
      </c>
      <c r="L22" t="e">
        <f>AND(Liste!#REF!,"AAAAAH7/9gs=")</f>
        <v>#REF!</v>
      </c>
      <c r="M22" t="e">
        <f>AND(Liste!#REF!,"AAAAAH7/9gw=")</f>
        <v>#REF!</v>
      </c>
      <c r="N22" t="e">
        <f>AND(Liste!#REF!,"AAAAAH7/9g0=")</f>
        <v>#REF!</v>
      </c>
      <c r="O22" t="e">
        <f>AND(Liste!#REF!,"AAAAAH7/9g4=")</f>
        <v>#REF!</v>
      </c>
      <c r="P22" t="e">
        <f>AND(Liste!#REF!,"AAAAAH7/9g8=")</f>
        <v>#REF!</v>
      </c>
      <c r="Q22" t="e">
        <f>AND(Liste!#REF!,"AAAAAH7/9hA=")</f>
        <v>#REF!</v>
      </c>
      <c r="R22" t="e">
        <f>AND(Liste!#REF!,"AAAAAH7/9hE=")</f>
        <v>#REF!</v>
      </c>
      <c r="S22" t="e">
        <f>IF(Liste!#REF!,"AAAAAH7/9hI=",0)</f>
        <v>#REF!</v>
      </c>
      <c r="T22" t="e">
        <f>AND(Liste!#REF!,"AAAAAH7/9hM=")</f>
        <v>#REF!</v>
      </c>
      <c r="U22" t="e">
        <f>AND(Liste!#REF!,"AAAAAH7/9hQ=")</f>
        <v>#REF!</v>
      </c>
      <c r="V22" t="e">
        <f>AND(Liste!#REF!,"AAAAAH7/9hU=")</f>
        <v>#REF!</v>
      </c>
      <c r="W22" t="e">
        <f>AND(Liste!#REF!,"AAAAAH7/9hY=")</f>
        <v>#REF!</v>
      </c>
      <c r="X22" t="e">
        <f>AND(Liste!#REF!,"AAAAAH7/9hc=")</f>
        <v>#REF!</v>
      </c>
      <c r="Y22" t="e">
        <f>AND(Liste!#REF!,"AAAAAH7/9hg=")</f>
        <v>#REF!</v>
      </c>
      <c r="Z22" t="e">
        <f>AND(Liste!#REF!,"AAAAAH7/9hk=")</f>
        <v>#REF!</v>
      </c>
      <c r="AA22" t="e">
        <f>AND(Liste!#REF!,"AAAAAH7/9ho=")</f>
        <v>#REF!</v>
      </c>
      <c r="AB22" t="e">
        <f>AND(Liste!#REF!,"AAAAAH7/9hs=")</f>
        <v>#REF!</v>
      </c>
      <c r="AC22" t="e">
        <f>AND(Liste!#REF!,"AAAAAH7/9hw=")</f>
        <v>#REF!</v>
      </c>
      <c r="AD22" t="e">
        <f>AND(Liste!#REF!,"AAAAAH7/9h0=")</f>
        <v>#REF!</v>
      </c>
      <c r="AE22" t="e">
        <f>AND(Liste!#REF!,"AAAAAH7/9h4=")</f>
        <v>#REF!</v>
      </c>
      <c r="AF22" t="e">
        <f>AND(Liste!#REF!,"AAAAAH7/9h8=")</f>
        <v>#REF!</v>
      </c>
      <c r="AG22" t="e">
        <f>AND(Liste!#REF!,"AAAAAH7/9iA=")</f>
        <v>#REF!</v>
      </c>
      <c r="AH22" t="e">
        <f>AND(Liste!#REF!,"AAAAAH7/9iE=")</f>
        <v>#REF!</v>
      </c>
      <c r="AI22" t="e">
        <f>AND(Liste!#REF!,"AAAAAH7/9iI=")</f>
        <v>#REF!</v>
      </c>
      <c r="AJ22" t="e">
        <f>AND(Liste!#REF!,"AAAAAH7/9iM=")</f>
        <v>#REF!</v>
      </c>
      <c r="AK22" t="e">
        <f>AND(Liste!#REF!,"AAAAAH7/9iQ=")</f>
        <v>#REF!</v>
      </c>
      <c r="AL22" t="e">
        <f>AND(Liste!#REF!,"AAAAAH7/9iU=")</f>
        <v>#REF!</v>
      </c>
      <c r="AM22" t="e">
        <f>AND(Liste!#REF!,"AAAAAH7/9iY=")</f>
        <v>#REF!</v>
      </c>
      <c r="AN22" t="e">
        <f>AND(Liste!#REF!,"AAAAAH7/9ic=")</f>
        <v>#REF!</v>
      </c>
      <c r="AO22" t="e">
        <f>AND(Liste!#REF!,"AAAAAH7/9ig=")</f>
        <v>#REF!</v>
      </c>
      <c r="AP22" t="e">
        <f>AND(Liste!#REF!,"AAAAAH7/9ik=")</f>
        <v>#REF!</v>
      </c>
      <c r="AQ22" t="e">
        <f>AND(Liste!#REF!,"AAAAAH7/9io=")</f>
        <v>#REF!</v>
      </c>
      <c r="AR22" t="e">
        <f>AND(Liste!#REF!,"AAAAAH7/9is=")</f>
        <v>#REF!</v>
      </c>
      <c r="AS22" t="e">
        <f>AND(Liste!#REF!,"AAAAAH7/9iw=")</f>
        <v>#REF!</v>
      </c>
      <c r="AT22" t="e">
        <f>AND(Liste!#REF!,"AAAAAH7/9i0=")</f>
        <v>#REF!</v>
      </c>
      <c r="AU22" t="e">
        <f>AND(Liste!#REF!,"AAAAAH7/9i4=")</f>
        <v>#REF!</v>
      </c>
      <c r="AV22" t="e">
        <f>AND(Liste!#REF!,"AAAAAH7/9i8=")</f>
        <v>#REF!</v>
      </c>
      <c r="AW22" t="e">
        <f>AND(Liste!#REF!,"AAAAAH7/9jA=")</f>
        <v>#REF!</v>
      </c>
      <c r="AX22" t="e">
        <f>IF(Liste!#REF!,"AAAAAH7/9jE=",0)</f>
        <v>#REF!</v>
      </c>
      <c r="AY22" t="e">
        <f>AND(Liste!#REF!,"AAAAAH7/9jI=")</f>
        <v>#REF!</v>
      </c>
      <c r="AZ22" t="e">
        <f>AND(Liste!#REF!,"AAAAAH7/9jM=")</f>
        <v>#REF!</v>
      </c>
      <c r="BA22" t="e">
        <f>AND(Liste!#REF!,"AAAAAH7/9jQ=")</f>
        <v>#REF!</v>
      </c>
      <c r="BB22" t="e">
        <f>AND(Liste!#REF!,"AAAAAH7/9jU=")</f>
        <v>#REF!</v>
      </c>
      <c r="BC22" t="e">
        <f>AND(Liste!#REF!,"AAAAAH7/9jY=")</f>
        <v>#REF!</v>
      </c>
      <c r="BD22" t="e">
        <f>AND(Liste!#REF!,"AAAAAH7/9jc=")</f>
        <v>#REF!</v>
      </c>
      <c r="BE22" t="e">
        <f>AND(Liste!#REF!,"AAAAAH7/9jg=")</f>
        <v>#REF!</v>
      </c>
      <c r="BF22" t="e">
        <f>AND(Liste!#REF!,"AAAAAH7/9jk=")</f>
        <v>#REF!</v>
      </c>
      <c r="BG22" t="e">
        <f>AND(Liste!#REF!,"AAAAAH7/9jo=")</f>
        <v>#REF!</v>
      </c>
      <c r="BH22" t="e">
        <f>AND(Liste!#REF!,"AAAAAH7/9js=")</f>
        <v>#REF!</v>
      </c>
      <c r="BI22" t="e">
        <f>AND(Liste!#REF!,"AAAAAH7/9jw=")</f>
        <v>#REF!</v>
      </c>
      <c r="BJ22" t="e">
        <f>AND(Liste!#REF!,"AAAAAH7/9j0=")</f>
        <v>#REF!</v>
      </c>
      <c r="BK22" t="e">
        <f>AND(Liste!#REF!,"AAAAAH7/9j4=")</f>
        <v>#REF!</v>
      </c>
      <c r="BL22" t="e">
        <f>AND(Liste!#REF!,"AAAAAH7/9j8=")</f>
        <v>#REF!</v>
      </c>
      <c r="BM22" t="e">
        <f>AND(Liste!#REF!,"AAAAAH7/9kA=")</f>
        <v>#REF!</v>
      </c>
      <c r="BN22" t="e">
        <f>AND(Liste!#REF!,"AAAAAH7/9kE=")</f>
        <v>#REF!</v>
      </c>
      <c r="BO22" t="e">
        <f>AND(Liste!#REF!,"AAAAAH7/9kI=")</f>
        <v>#REF!</v>
      </c>
      <c r="BP22" t="e">
        <f>AND(Liste!#REF!,"AAAAAH7/9kM=")</f>
        <v>#REF!</v>
      </c>
      <c r="BQ22" t="e">
        <f>AND(Liste!#REF!,"AAAAAH7/9kQ=")</f>
        <v>#REF!</v>
      </c>
      <c r="BR22" t="e">
        <f>AND(Liste!#REF!,"AAAAAH7/9kU=")</f>
        <v>#REF!</v>
      </c>
      <c r="BS22" t="e">
        <f>AND(Liste!#REF!,"AAAAAH7/9kY=")</f>
        <v>#REF!</v>
      </c>
      <c r="BT22" t="e">
        <f>AND(Liste!#REF!,"AAAAAH7/9kc=")</f>
        <v>#REF!</v>
      </c>
      <c r="BU22" t="e">
        <f>AND(Liste!#REF!,"AAAAAH7/9kg=")</f>
        <v>#REF!</v>
      </c>
      <c r="BV22" t="e">
        <f>AND(Liste!#REF!,"AAAAAH7/9kk=")</f>
        <v>#REF!</v>
      </c>
      <c r="BW22" t="e">
        <f>AND(Liste!#REF!,"AAAAAH7/9ko=")</f>
        <v>#REF!</v>
      </c>
      <c r="BX22" t="e">
        <f>AND(Liste!#REF!,"AAAAAH7/9ks=")</f>
        <v>#REF!</v>
      </c>
      <c r="BY22" t="e">
        <f>AND(Liste!#REF!,"AAAAAH7/9kw=")</f>
        <v>#REF!</v>
      </c>
      <c r="BZ22" t="e">
        <f>AND(Liste!#REF!,"AAAAAH7/9k0=")</f>
        <v>#REF!</v>
      </c>
      <c r="CA22" t="e">
        <f>AND(Liste!#REF!,"AAAAAH7/9k4=")</f>
        <v>#REF!</v>
      </c>
      <c r="CB22" t="e">
        <f>AND(Liste!#REF!,"AAAAAH7/9k8=")</f>
        <v>#REF!</v>
      </c>
      <c r="CC22" t="e">
        <f>IF(Liste!#REF!,"AAAAAH7/9lA=",0)</f>
        <v>#REF!</v>
      </c>
      <c r="CD22" t="e">
        <f>AND(Liste!#REF!,"AAAAAH7/9lE=")</f>
        <v>#REF!</v>
      </c>
      <c r="CE22" t="e">
        <f>AND(Liste!#REF!,"AAAAAH7/9lI=")</f>
        <v>#REF!</v>
      </c>
      <c r="CF22" t="e">
        <f>AND(Liste!#REF!,"AAAAAH7/9lM=")</f>
        <v>#REF!</v>
      </c>
      <c r="CG22" t="e">
        <f>AND(Liste!#REF!,"AAAAAH7/9lQ=")</f>
        <v>#REF!</v>
      </c>
      <c r="CH22" t="e">
        <f>AND(Liste!#REF!,"AAAAAH7/9lU=")</f>
        <v>#REF!</v>
      </c>
      <c r="CI22" t="e">
        <f>AND(Liste!#REF!,"AAAAAH7/9lY=")</f>
        <v>#REF!</v>
      </c>
      <c r="CJ22" t="e">
        <f>AND(Liste!#REF!,"AAAAAH7/9lc=")</f>
        <v>#REF!</v>
      </c>
      <c r="CK22" t="e">
        <f>AND(Liste!#REF!,"AAAAAH7/9lg=")</f>
        <v>#REF!</v>
      </c>
      <c r="CL22" t="e">
        <f>AND(Liste!#REF!,"AAAAAH7/9lk=")</f>
        <v>#REF!</v>
      </c>
      <c r="CM22" t="e">
        <f>AND(Liste!#REF!,"AAAAAH7/9lo=")</f>
        <v>#REF!</v>
      </c>
      <c r="CN22" t="e">
        <f>AND(Liste!#REF!,"AAAAAH7/9ls=")</f>
        <v>#REF!</v>
      </c>
      <c r="CO22" t="e">
        <f>AND(Liste!#REF!,"AAAAAH7/9lw=")</f>
        <v>#REF!</v>
      </c>
      <c r="CP22" t="e">
        <f>AND(Liste!#REF!,"AAAAAH7/9l0=")</f>
        <v>#REF!</v>
      </c>
      <c r="CQ22" t="e">
        <f>AND(Liste!#REF!,"AAAAAH7/9l4=")</f>
        <v>#REF!</v>
      </c>
      <c r="CR22" t="e">
        <f>AND(Liste!#REF!,"AAAAAH7/9l8=")</f>
        <v>#REF!</v>
      </c>
      <c r="CS22" t="e">
        <f>AND(Liste!#REF!,"AAAAAH7/9mA=")</f>
        <v>#REF!</v>
      </c>
      <c r="CT22" t="e">
        <f>AND(Liste!#REF!,"AAAAAH7/9mE=")</f>
        <v>#REF!</v>
      </c>
      <c r="CU22" t="e">
        <f>AND(Liste!#REF!,"AAAAAH7/9mI=")</f>
        <v>#REF!</v>
      </c>
      <c r="CV22" t="e">
        <f>AND(Liste!#REF!,"AAAAAH7/9mM=")</f>
        <v>#REF!</v>
      </c>
      <c r="CW22" t="e">
        <f>AND(Liste!#REF!,"AAAAAH7/9mQ=")</f>
        <v>#REF!</v>
      </c>
      <c r="CX22" t="e">
        <f>AND(Liste!#REF!,"AAAAAH7/9mU=")</f>
        <v>#REF!</v>
      </c>
      <c r="CY22" t="e">
        <f>AND(Liste!#REF!,"AAAAAH7/9mY=")</f>
        <v>#REF!</v>
      </c>
      <c r="CZ22" t="e">
        <f>AND(Liste!#REF!,"AAAAAH7/9mc=")</f>
        <v>#REF!</v>
      </c>
      <c r="DA22" t="e">
        <f>AND(Liste!#REF!,"AAAAAH7/9mg=")</f>
        <v>#REF!</v>
      </c>
      <c r="DB22" t="e">
        <f>AND(Liste!#REF!,"AAAAAH7/9mk=")</f>
        <v>#REF!</v>
      </c>
      <c r="DC22" t="e">
        <f>AND(Liste!#REF!,"AAAAAH7/9mo=")</f>
        <v>#REF!</v>
      </c>
      <c r="DD22" t="e">
        <f>AND(Liste!#REF!,"AAAAAH7/9ms=")</f>
        <v>#REF!</v>
      </c>
      <c r="DE22" t="e">
        <f>AND(Liste!#REF!,"AAAAAH7/9mw=")</f>
        <v>#REF!</v>
      </c>
      <c r="DF22" t="e">
        <f>AND(Liste!#REF!,"AAAAAH7/9m0=")</f>
        <v>#REF!</v>
      </c>
      <c r="DG22" t="e">
        <f>AND(Liste!#REF!,"AAAAAH7/9m4=")</f>
        <v>#REF!</v>
      </c>
      <c r="DH22" t="e">
        <f>IF(Liste!#REF!,"AAAAAH7/9m8=",0)</f>
        <v>#REF!</v>
      </c>
      <c r="DI22" t="e">
        <f>AND(Liste!#REF!,"AAAAAH7/9nA=")</f>
        <v>#REF!</v>
      </c>
      <c r="DJ22" t="e">
        <f>AND(Liste!#REF!,"AAAAAH7/9nE=")</f>
        <v>#REF!</v>
      </c>
      <c r="DK22" t="e">
        <f>AND(Liste!#REF!,"AAAAAH7/9nI=")</f>
        <v>#REF!</v>
      </c>
      <c r="DL22" t="e">
        <f>AND(Liste!#REF!,"AAAAAH7/9nM=")</f>
        <v>#REF!</v>
      </c>
      <c r="DM22" t="e">
        <f>AND(Liste!#REF!,"AAAAAH7/9nQ=")</f>
        <v>#REF!</v>
      </c>
      <c r="DN22" t="e">
        <f>AND(Liste!#REF!,"AAAAAH7/9nU=")</f>
        <v>#REF!</v>
      </c>
      <c r="DO22" t="e">
        <f>AND(Liste!#REF!,"AAAAAH7/9nY=")</f>
        <v>#REF!</v>
      </c>
      <c r="DP22" t="e">
        <f>AND(Liste!#REF!,"AAAAAH7/9nc=")</f>
        <v>#REF!</v>
      </c>
      <c r="DQ22" t="e">
        <f>AND(Liste!#REF!,"AAAAAH7/9ng=")</f>
        <v>#REF!</v>
      </c>
      <c r="DR22" t="e">
        <f>AND(Liste!#REF!,"AAAAAH7/9nk=")</f>
        <v>#REF!</v>
      </c>
      <c r="DS22" t="e">
        <f>AND(Liste!#REF!,"AAAAAH7/9no=")</f>
        <v>#REF!</v>
      </c>
      <c r="DT22" t="e">
        <f>AND(Liste!#REF!,"AAAAAH7/9ns=")</f>
        <v>#REF!</v>
      </c>
      <c r="DU22" t="e">
        <f>AND(Liste!#REF!,"AAAAAH7/9nw=")</f>
        <v>#REF!</v>
      </c>
      <c r="DV22" t="e">
        <f>AND(Liste!#REF!,"AAAAAH7/9n0=")</f>
        <v>#REF!</v>
      </c>
      <c r="DW22" t="e">
        <f>AND(Liste!#REF!,"AAAAAH7/9n4=")</f>
        <v>#REF!</v>
      </c>
      <c r="DX22" t="e">
        <f>AND(Liste!#REF!,"AAAAAH7/9n8=")</f>
        <v>#REF!</v>
      </c>
      <c r="DY22" t="e">
        <f>AND(Liste!#REF!,"AAAAAH7/9oA=")</f>
        <v>#REF!</v>
      </c>
      <c r="DZ22" t="e">
        <f>AND(Liste!#REF!,"AAAAAH7/9oE=")</f>
        <v>#REF!</v>
      </c>
      <c r="EA22" t="e">
        <f>AND(Liste!#REF!,"AAAAAH7/9oI=")</f>
        <v>#REF!</v>
      </c>
      <c r="EB22" t="e">
        <f>AND(Liste!#REF!,"AAAAAH7/9oM=")</f>
        <v>#REF!</v>
      </c>
      <c r="EC22" t="e">
        <f>AND(Liste!#REF!,"AAAAAH7/9oQ=")</f>
        <v>#REF!</v>
      </c>
      <c r="ED22" t="e">
        <f>AND(Liste!#REF!,"AAAAAH7/9oU=")</f>
        <v>#REF!</v>
      </c>
      <c r="EE22" t="e">
        <f>AND(Liste!#REF!,"AAAAAH7/9oY=")</f>
        <v>#REF!</v>
      </c>
      <c r="EF22" t="e">
        <f>AND(Liste!#REF!,"AAAAAH7/9oc=")</f>
        <v>#REF!</v>
      </c>
      <c r="EG22" t="e">
        <f>AND(Liste!#REF!,"AAAAAH7/9og=")</f>
        <v>#REF!</v>
      </c>
      <c r="EH22" t="e">
        <f>AND(Liste!#REF!,"AAAAAH7/9ok=")</f>
        <v>#REF!</v>
      </c>
      <c r="EI22" t="e">
        <f>AND(Liste!#REF!,"AAAAAH7/9oo=")</f>
        <v>#REF!</v>
      </c>
      <c r="EJ22" t="e">
        <f>AND(Liste!#REF!,"AAAAAH7/9os=")</f>
        <v>#REF!</v>
      </c>
      <c r="EK22" t="e">
        <f>AND(Liste!#REF!,"AAAAAH7/9ow=")</f>
        <v>#REF!</v>
      </c>
      <c r="EL22" t="e">
        <f>AND(Liste!#REF!,"AAAAAH7/9o0=")</f>
        <v>#REF!</v>
      </c>
      <c r="EM22" t="e">
        <f>IF(Liste!#REF!,"AAAAAH7/9o4=",0)</f>
        <v>#REF!</v>
      </c>
      <c r="EN22" t="e">
        <f>AND(Liste!#REF!,"AAAAAH7/9o8=")</f>
        <v>#REF!</v>
      </c>
      <c r="EO22" t="e">
        <f>AND(Liste!#REF!,"AAAAAH7/9pA=")</f>
        <v>#REF!</v>
      </c>
      <c r="EP22" t="e">
        <f>AND(Liste!#REF!,"AAAAAH7/9pE=")</f>
        <v>#REF!</v>
      </c>
      <c r="EQ22" t="e">
        <f>AND(Liste!#REF!,"AAAAAH7/9pI=")</f>
        <v>#REF!</v>
      </c>
      <c r="ER22" t="e">
        <f>AND(Liste!#REF!,"AAAAAH7/9pM=")</f>
        <v>#REF!</v>
      </c>
      <c r="ES22" t="e">
        <f>AND(Liste!#REF!,"AAAAAH7/9pQ=")</f>
        <v>#REF!</v>
      </c>
      <c r="ET22" t="e">
        <f>AND(Liste!#REF!,"AAAAAH7/9pU=")</f>
        <v>#REF!</v>
      </c>
      <c r="EU22" t="e">
        <f>AND(Liste!#REF!,"AAAAAH7/9pY=")</f>
        <v>#REF!</v>
      </c>
      <c r="EV22" t="e">
        <f>AND(Liste!#REF!,"AAAAAH7/9pc=")</f>
        <v>#REF!</v>
      </c>
      <c r="EW22" t="e">
        <f>AND(Liste!#REF!,"AAAAAH7/9pg=")</f>
        <v>#REF!</v>
      </c>
      <c r="EX22" t="e">
        <f>AND(Liste!#REF!,"AAAAAH7/9pk=")</f>
        <v>#REF!</v>
      </c>
      <c r="EY22" t="e">
        <f>AND(Liste!#REF!,"AAAAAH7/9po=")</f>
        <v>#REF!</v>
      </c>
      <c r="EZ22" t="e">
        <f>AND(Liste!#REF!,"AAAAAH7/9ps=")</f>
        <v>#REF!</v>
      </c>
      <c r="FA22" t="e">
        <f>AND(Liste!#REF!,"AAAAAH7/9pw=")</f>
        <v>#REF!</v>
      </c>
      <c r="FB22" t="e">
        <f>AND(Liste!#REF!,"AAAAAH7/9p0=")</f>
        <v>#REF!</v>
      </c>
      <c r="FC22" t="e">
        <f>AND(Liste!#REF!,"AAAAAH7/9p4=")</f>
        <v>#REF!</v>
      </c>
      <c r="FD22" t="e">
        <f>AND(Liste!#REF!,"AAAAAH7/9p8=")</f>
        <v>#REF!</v>
      </c>
      <c r="FE22" t="e">
        <f>AND(Liste!#REF!,"AAAAAH7/9qA=")</f>
        <v>#REF!</v>
      </c>
      <c r="FF22" t="e">
        <f>AND(Liste!#REF!,"AAAAAH7/9qE=")</f>
        <v>#REF!</v>
      </c>
      <c r="FG22" t="e">
        <f>AND(Liste!#REF!,"AAAAAH7/9qI=")</f>
        <v>#REF!</v>
      </c>
      <c r="FH22" t="e">
        <f>AND(Liste!#REF!,"AAAAAH7/9qM=")</f>
        <v>#REF!</v>
      </c>
      <c r="FI22" t="e">
        <f>AND(Liste!#REF!,"AAAAAH7/9qQ=")</f>
        <v>#REF!</v>
      </c>
      <c r="FJ22" t="e">
        <f>AND(Liste!#REF!,"AAAAAH7/9qU=")</f>
        <v>#REF!</v>
      </c>
      <c r="FK22" t="e">
        <f>AND(Liste!#REF!,"AAAAAH7/9qY=")</f>
        <v>#REF!</v>
      </c>
      <c r="FL22" t="e">
        <f>AND(Liste!#REF!,"AAAAAH7/9qc=")</f>
        <v>#REF!</v>
      </c>
      <c r="FM22" t="e">
        <f>AND(Liste!#REF!,"AAAAAH7/9qg=")</f>
        <v>#REF!</v>
      </c>
      <c r="FN22" t="e">
        <f>AND(Liste!#REF!,"AAAAAH7/9qk=")</f>
        <v>#REF!</v>
      </c>
      <c r="FO22" t="e">
        <f>AND(Liste!#REF!,"AAAAAH7/9qo=")</f>
        <v>#REF!</v>
      </c>
      <c r="FP22" t="e">
        <f>AND(Liste!#REF!,"AAAAAH7/9qs=")</f>
        <v>#REF!</v>
      </c>
      <c r="FQ22" t="e">
        <f>AND(Liste!#REF!,"AAAAAH7/9qw=")</f>
        <v>#REF!</v>
      </c>
      <c r="FR22" t="e">
        <f>IF(Liste!#REF!,"AAAAAH7/9q0=",0)</f>
        <v>#REF!</v>
      </c>
      <c r="FS22" t="e">
        <f>AND(Liste!#REF!,"AAAAAH7/9q4=")</f>
        <v>#REF!</v>
      </c>
      <c r="FT22" t="e">
        <f>AND(Liste!#REF!,"AAAAAH7/9q8=")</f>
        <v>#REF!</v>
      </c>
      <c r="FU22" t="e">
        <f>AND(Liste!#REF!,"AAAAAH7/9rA=")</f>
        <v>#REF!</v>
      </c>
      <c r="FV22" t="e">
        <f>AND(Liste!#REF!,"AAAAAH7/9rE=")</f>
        <v>#REF!</v>
      </c>
      <c r="FW22" t="e">
        <f>AND(Liste!#REF!,"AAAAAH7/9rI=")</f>
        <v>#REF!</v>
      </c>
      <c r="FX22" t="e">
        <f>AND(Liste!#REF!,"AAAAAH7/9rM=")</f>
        <v>#REF!</v>
      </c>
      <c r="FY22" t="e">
        <f>AND(Liste!#REF!,"AAAAAH7/9rQ=")</f>
        <v>#REF!</v>
      </c>
      <c r="FZ22" t="e">
        <f>AND(Liste!#REF!,"AAAAAH7/9rU=")</f>
        <v>#REF!</v>
      </c>
      <c r="GA22" t="e">
        <f>AND(Liste!#REF!,"AAAAAH7/9rY=")</f>
        <v>#REF!</v>
      </c>
      <c r="GB22" t="e">
        <f>AND(Liste!#REF!,"AAAAAH7/9rc=")</f>
        <v>#REF!</v>
      </c>
      <c r="GC22" t="e">
        <f>AND(Liste!#REF!,"AAAAAH7/9rg=")</f>
        <v>#REF!</v>
      </c>
      <c r="GD22" t="e">
        <f>AND(Liste!#REF!,"AAAAAH7/9rk=")</f>
        <v>#REF!</v>
      </c>
      <c r="GE22" t="e">
        <f>AND(Liste!#REF!,"AAAAAH7/9ro=")</f>
        <v>#REF!</v>
      </c>
      <c r="GF22" t="e">
        <f>AND(Liste!#REF!,"AAAAAH7/9rs=")</f>
        <v>#REF!</v>
      </c>
      <c r="GG22" t="e">
        <f>AND(Liste!#REF!,"AAAAAH7/9rw=")</f>
        <v>#REF!</v>
      </c>
      <c r="GH22" t="e">
        <f>AND(Liste!#REF!,"AAAAAH7/9r0=")</f>
        <v>#REF!</v>
      </c>
      <c r="GI22" t="e">
        <f>AND(Liste!#REF!,"AAAAAH7/9r4=")</f>
        <v>#REF!</v>
      </c>
      <c r="GJ22" t="e">
        <f>AND(Liste!#REF!,"AAAAAH7/9r8=")</f>
        <v>#REF!</v>
      </c>
      <c r="GK22" t="e">
        <f>AND(Liste!#REF!,"AAAAAH7/9sA=")</f>
        <v>#REF!</v>
      </c>
      <c r="GL22" t="e">
        <f>AND(Liste!#REF!,"AAAAAH7/9sE=")</f>
        <v>#REF!</v>
      </c>
      <c r="GM22" t="e">
        <f>AND(Liste!#REF!,"AAAAAH7/9sI=")</f>
        <v>#REF!</v>
      </c>
      <c r="GN22" t="e">
        <f>AND(Liste!#REF!,"AAAAAH7/9sM=")</f>
        <v>#REF!</v>
      </c>
      <c r="GO22" t="e">
        <f>AND(Liste!#REF!,"AAAAAH7/9sQ=")</f>
        <v>#REF!</v>
      </c>
      <c r="GP22" t="e">
        <f>AND(Liste!#REF!,"AAAAAH7/9sU=")</f>
        <v>#REF!</v>
      </c>
      <c r="GQ22" t="e">
        <f>AND(Liste!#REF!,"AAAAAH7/9sY=")</f>
        <v>#REF!</v>
      </c>
      <c r="GR22" t="e">
        <f>AND(Liste!#REF!,"AAAAAH7/9sc=")</f>
        <v>#REF!</v>
      </c>
      <c r="GS22" t="e">
        <f>AND(Liste!#REF!,"AAAAAH7/9sg=")</f>
        <v>#REF!</v>
      </c>
      <c r="GT22" t="e">
        <f>AND(Liste!#REF!,"AAAAAH7/9sk=")</f>
        <v>#REF!</v>
      </c>
      <c r="GU22" t="e">
        <f>AND(Liste!#REF!,"AAAAAH7/9so=")</f>
        <v>#REF!</v>
      </c>
      <c r="GV22" t="e">
        <f>AND(Liste!#REF!,"AAAAAH7/9ss=")</f>
        <v>#REF!</v>
      </c>
      <c r="GW22" t="e">
        <f>IF(Liste!#REF!,"AAAAAH7/9sw=",0)</f>
        <v>#REF!</v>
      </c>
      <c r="GX22" t="e">
        <f>AND(Liste!#REF!,"AAAAAH7/9s0=")</f>
        <v>#REF!</v>
      </c>
      <c r="GY22" t="e">
        <f>AND(Liste!#REF!,"AAAAAH7/9s4=")</f>
        <v>#REF!</v>
      </c>
      <c r="GZ22" t="e">
        <f>AND(Liste!#REF!,"AAAAAH7/9s8=")</f>
        <v>#REF!</v>
      </c>
      <c r="HA22" t="e">
        <f>AND(Liste!#REF!,"AAAAAH7/9tA=")</f>
        <v>#REF!</v>
      </c>
      <c r="HB22" t="e">
        <f>AND(Liste!#REF!,"AAAAAH7/9tE=")</f>
        <v>#REF!</v>
      </c>
      <c r="HC22" t="e">
        <f>AND(Liste!#REF!,"AAAAAH7/9tI=")</f>
        <v>#REF!</v>
      </c>
      <c r="HD22" t="e">
        <f>AND(Liste!#REF!,"AAAAAH7/9tM=")</f>
        <v>#REF!</v>
      </c>
      <c r="HE22" t="e">
        <f>AND(Liste!#REF!,"AAAAAH7/9tQ=")</f>
        <v>#REF!</v>
      </c>
      <c r="HF22" t="e">
        <f>AND(Liste!#REF!,"AAAAAH7/9tU=")</f>
        <v>#REF!</v>
      </c>
      <c r="HG22" t="e">
        <f>AND(Liste!#REF!,"AAAAAH7/9tY=")</f>
        <v>#REF!</v>
      </c>
      <c r="HH22" t="e">
        <f>AND(Liste!#REF!,"AAAAAH7/9tc=")</f>
        <v>#REF!</v>
      </c>
      <c r="HI22" t="e">
        <f>AND(Liste!#REF!,"AAAAAH7/9tg=")</f>
        <v>#REF!</v>
      </c>
      <c r="HJ22" t="e">
        <f>AND(Liste!#REF!,"AAAAAH7/9tk=")</f>
        <v>#REF!</v>
      </c>
      <c r="HK22" t="e">
        <f>AND(Liste!#REF!,"AAAAAH7/9to=")</f>
        <v>#REF!</v>
      </c>
      <c r="HL22" t="e">
        <f>AND(Liste!#REF!,"AAAAAH7/9ts=")</f>
        <v>#REF!</v>
      </c>
      <c r="HM22" t="e">
        <f>AND(Liste!#REF!,"AAAAAH7/9tw=")</f>
        <v>#REF!</v>
      </c>
      <c r="HN22" t="e">
        <f>AND(Liste!#REF!,"AAAAAH7/9t0=")</f>
        <v>#REF!</v>
      </c>
      <c r="HO22" t="e">
        <f>AND(Liste!#REF!,"AAAAAH7/9t4=")</f>
        <v>#REF!</v>
      </c>
      <c r="HP22" t="e">
        <f>AND(Liste!#REF!,"AAAAAH7/9t8=")</f>
        <v>#REF!</v>
      </c>
      <c r="HQ22" t="e">
        <f>AND(Liste!#REF!,"AAAAAH7/9uA=")</f>
        <v>#REF!</v>
      </c>
      <c r="HR22" t="e">
        <f>AND(Liste!#REF!,"AAAAAH7/9uE=")</f>
        <v>#REF!</v>
      </c>
      <c r="HS22" t="e">
        <f>AND(Liste!#REF!,"AAAAAH7/9uI=")</f>
        <v>#REF!</v>
      </c>
      <c r="HT22" t="e">
        <f>AND(Liste!#REF!,"AAAAAH7/9uM=")</f>
        <v>#REF!</v>
      </c>
      <c r="HU22" t="e">
        <f>AND(Liste!#REF!,"AAAAAH7/9uQ=")</f>
        <v>#REF!</v>
      </c>
      <c r="HV22" t="e">
        <f>AND(Liste!#REF!,"AAAAAH7/9uU=")</f>
        <v>#REF!</v>
      </c>
      <c r="HW22" t="e">
        <f>AND(Liste!#REF!,"AAAAAH7/9uY=")</f>
        <v>#REF!</v>
      </c>
      <c r="HX22" t="e">
        <f>AND(Liste!#REF!,"AAAAAH7/9uc=")</f>
        <v>#REF!</v>
      </c>
      <c r="HY22" t="e">
        <f>AND(Liste!#REF!,"AAAAAH7/9ug=")</f>
        <v>#REF!</v>
      </c>
      <c r="HZ22" t="e">
        <f>AND(Liste!#REF!,"AAAAAH7/9uk=")</f>
        <v>#REF!</v>
      </c>
      <c r="IA22" t="e">
        <f>AND(Liste!#REF!,"AAAAAH7/9uo=")</f>
        <v>#REF!</v>
      </c>
      <c r="IB22" t="e">
        <f>IF(Liste!#REF!,"AAAAAH7/9us=",0)</f>
        <v>#REF!</v>
      </c>
      <c r="IC22" t="e">
        <f>AND(Liste!#REF!,"AAAAAH7/9uw=")</f>
        <v>#REF!</v>
      </c>
      <c r="ID22" t="e">
        <f>AND(Liste!#REF!,"AAAAAH7/9u0=")</f>
        <v>#REF!</v>
      </c>
      <c r="IE22" t="e">
        <f>AND(Liste!#REF!,"AAAAAH7/9u4=")</f>
        <v>#REF!</v>
      </c>
      <c r="IF22" t="e">
        <f>AND(Liste!#REF!,"AAAAAH7/9u8=")</f>
        <v>#REF!</v>
      </c>
      <c r="IG22" t="e">
        <f>AND(Liste!#REF!,"AAAAAH7/9vA=")</f>
        <v>#REF!</v>
      </c>
      <c r="IH22" t="e">
        <f>AND(Liste!#REF!,"AAAAAH7/9vE=")</f>
        <v>#REF!</v>
      </c>
      <c r="II22" t="e">
        <f>AND(Liste!#REF!,"AAAAAH7/9vI=")</f>
        <v>#REF!</v>
      </c>
      <c r="IJ22" t="e">
        <f>AND(Liste!#REF!,"AAAAAH7/9vM=")</f>
        <v>#REF!</v>
      </c>
      <c r="IK22" t="e">
        <f>AND(Liste!#REF!,"AAAAAH7/9vQ=")</f>
        <v>#REF!</v>
      </c>
      <c r="IL22" t="e">
        <f>AND(Liste!#REF!,"AAAAAH7/9vU=")</f>
        <v>#REF!</v>
      </c>
      <c r="IM22" t="e">
        <f>AND(Liste!#REF!,"AAAAAH7/9vY=")</f>
        <v>#REF!</v>
      </c>
      <c r="IN22" t="e">
        <f>AND(Liste!#REF!,"AAAAAH7/9vc=")</f>
        <v>#REF!</v>
      </c>
      <c r="IO22" t="e">
        <f>AND(Liste!#REF!,"AAAAAH7/9vg=")</f>
        <v>#REF!</v>
      </c>
      <c r="IP22" t="e">
        <f>AND(Liste!#REF!,"AAAAAH7/9vk=")</f>
        <v>#REF!</v>
      </c>
      <c r="IQ22" t="e">
        <f>AND(Liste!#REF!,"AAAAAH7/9vo=")</f>
        <v>#REF!</v>
      </c>
      <c r="IR22" t="e">
        <f>AND(Liste!#REF!,"AAAAAH7/9vs=")</f>
        <v>#REF!</v>
      </c>
      <c r="IS22" t="e">
        <f>AND(Liste!#REF!,"AAAAAH7/9vw=")</f>
        <v>#REF!</v>
      </c>
      <c r="IT22" t="e">
        <f>AND(Liste!#REF!,"AAAAAH7/9v0=")</f>
        <v>#REF!</v>
      </c>
      <c r="IU22" t="e">
        <f>AND(Liste!#REF!,"AAAAAH7/9v4=")</f>
        <v>#REF!</v>
      </c>
      <c r="IV22" t="e">
        <f>AND(Liste!#REF!,"AAAAAH7/9v8=")</f>
        <v>#REF!</v>
      </c>
    </row>
    <row r="23" spans="1:256" x14ac:dyDescent="0.2">
      <c r="A23" t="e">
        <f>AND(Liste!#REF!,"AAAAAF/uvQA=")</f>
        <v>#REF!</v>
      </c>
      <c r="B23" t="e">
        <f>AND(Liste!#REF!,"AAAAAF/uvQE=")</f>
        <v>#REF!</v>
      </c>
      <c r="C23" t="e">
        <f>AND(Liste!#REF!,"AAAAAF/uvQI=")</f>
        <v>#REF!</v>
      </c>
      <c r="D23" t="e">
        <f>AND(Liste!#REF!,"AAAAAF/uvQM=")</f>
        <v>#REF!</v>
      </c>
      <c r="E23" t="e">
        <f>AND(Liste!#REF!,"AAAAAF/uvQQ=")</f>
        <v>#REF!</v>
      </c>
      <c r="F23" t="e">
        <f>AND(Liste!#REF!,"AAAAAF/uvQU=")</f>
        <v>#REF!</v>
      </c>
      <c r="G23" t="e">
        <f>AND(Liste!#REF!,"AAAAAF/uvQY=")</f>
        <v>#REF!</v>
      </c>
      <c r="H23" t="e">
        <f>AND(Liste!#REF!,"AAAAAF/uvQc=")</f>
        <v>#REF!</v>
      </c>
      <c r="I23" t="e">
        <f>AND(Liste!#REF!,"AAAAAF/uvQg=")</f>
        <v>#REF!</v>
      </c>
      <c r="J23" t="e">
        <f>AND(Liste!#REF!,"AAAAAF/uvQk=")</f>
        <v>#REF!</v>
      </c>
      <c r="K23" t="e">
        <f>IF(Liste!#REF!,"AAAAAF/uvQo=",0)</f>
        <v>#REF!</v>
      </c>
      <c r="L23" t="e">
        <f>AND(Liste!#REF!,"AAAAAF/uvQs=")</f>
        <v>#REF!</v>
      </c>
      <c r="M23" t="e">
        <f>AND(Liste!#REF!,"AAAAAF/uvQw=")</f>
        <v>#REF!</v>
      </c>
      <c r="N23" t="e">
        <f>AND(Liste!#REF!,"AAAAAF/uvQ0=")</f>
        <v>#REF!</v>
      </c>
      <c r="O23" t="e">
        <f>AND(Liste!#REF!,"AAAAAF/uvQ4=")</f>
        <v>#REF!</v>
      </c>
      <c r="P23" t="e">
        <f>AND(Liste!#REF!,"AAAAAF/uvQ8=")</f>
        <v>#REF!</v>
      </c>
      <c r="Q23" t="e">
        <f>AND(Liste!#REF!,"AAAAAF/uvRA=")</f>
        <v>#REF!</v>
      </c>
      <c r="R23" t="e">
        <f>AND(Liste!#REF!,"AAAAAF/uvRE=")</f>
        <v>#REF!</v>
      </c>
      <c r="S23" t="e">
        <f>AND(Liste!#REF!,"AAAAAF/uvRI=")</f>
        <v>#REF!</v>
      </c>
      <c r="T23" t="e">
        <f>AND(Liste!#REF!,"AAAAAF/uvRM=")</f>
        <v>#REF!</v>
      </c>
      <c r="U23" t="e">
        <f>AND(Liste!#REF!,"AAAAAF/uvRQ=")</f>
        <v>#REF!</v>
      </c>
      <c r="V23" t="e">
        <f>AND(Liste!#REF!,"AAAAAF/uvRU=")</f>
        <v>#REF!</v>
      </c>
      <c r="W23" t="e">
        <f>AND(Liste!#REF!,"AAAAAF/uvRY=")</f>
        <v>#REF!</v>
      </c>
      <c r="X23" t="e">
        <f>AND(Liste!#REF!,"AAAAAF/uvRc=")</f>
        <v>#REF!</v>
      </c>
      <c r="Y23" t="e">
        <f>AND(Liste!#REF!,"AAAAAF/uvRg=")</f>
        <v>#REF!</v>
      </c>
      <c r="Z23" t="e">
        <f>AND(Liste!#REF!,"AAAAAF/uvRk=")</f>
        <v>#REF!</v>
      </c>
      <c r="AA23" t="e">
        <f>AND(Liste!#REF!,"AAAAAF/uvRo=")</f>
        <v>#REF!</v>
      </c>
      <c r="AB23" t="e">
        <f>AND(Liste!#REF!,"AAAAAF/uvRs=")</f>
        <v>#REF!</v>
      </c>
      <c r="AC23" t="e">
        <f>AND(Liste!#REF!,"AAAAAF/uvRw=")</f>
        <v>#REF!</v>
      </c>
      <c r="AD23" t="e">
        <f>AND(Liste!#REF!,"AAAAAF/uvR0=")</f>
        <v>#REF!</v>
      </c>
      <c r="AE23" t="e">
        <f>AND(Liste!#REF!,"AAAAAF/uvR4=")</f>
        <v>#REF!</v>
      </c>
      <c r="AF23" t="e">
        <f>AND(Liste!#REF!,"AAAAAF/uvR8=")</f>
        <v>#REF!</v>
      </c>
      <c r="AG23" t="e">
        <f>AND(Liste!#REF!,"AAAAAF/uvSA=")</f>
        <v>#REF!</v>
      </c>
      <c r="AH23" t="e">
        <f>AND(Liste!#REF!,"AAAAAF/uvSE=")</f>
        <v>#REF!</v>
      </c>
      <c r="AI23" t="e">
        <f>AND(Liste!#REF!,"AAAAAF/uvSI=")</f>
        <v>#REF!</v>
      </c>
      <c r="AJ23" t="e">
        <f>AND(Liste!#REF!,"AAAAAF/uvSM=")</f>
        <v>#REF!</v>
      </c>
      <c r="AK23" t="e">
        <f>AND(Liste!#REF!,"AAAAAF/uvSQ=")</f>
        <v>#REF!</v>
      </c>
      <c r="AL23" t="e">
        <f>AND(Liste!#REF!,"AAAAAF/uvSU=")</f>
        <v>#REF!</v>
      </c>
      <c r="AM23" t="e">
        <f>AND(Liste!#REF!,"AAAAAF/uvSY=")</f>
        <v>#REF!</v>
      </c>
      <c r="AN23" t="e">
        <f>AND(Liste!#REF!,"AAAAAF/uvSc=")</f>
        <v>#REF!</v>
      </c>
      <c r="AO23" t="e">
        <f>AND(Liste!#REF!,"AAAAAF/uvSg=")</f>
        <v>#REF!</v>
      </c>
      <c r="AP23" t="e">
        <f>IF(Liste!#REF!,"AAAAAF/uvSk=",0)</f>
        <v>#REF!</v>
      </c>
      <c r="AQ23" t="e">
        <f>AND(Liste!#REF!,"AAAAAF/uvSo=")</f>
        <v>#REF!</v>
      </c>
      <c r="AR23" t="e">
        <f>AND(Liste!#REF!,"AAAAAF/uvSs=")</f>
        <v>#REF!</v>
      </c>
      <c r="AS23" t="e">
        <f>AND(Liste!#REF!,"AAAAAF/uvSw=")</f>
        <v>#REF!</v>
      </c>
      <c r="AT23" t="e">
        <f>AND(Liste!#REF!,"AAAAAF/uvS0=")</f>
        <v>#REF!</v>
      </c>
      <c r="AU23" t="e">
        <f>AND(Liste!#REF!,"AAAAAF/uvS4=")</f>
        <v>#REF!</v>
      </c>
      <c r="AV23" t="e">
        <f>AND(Liste!#REF!,"AAAAAF/uvS8=")</f>
        <v>#REF!</v>
      </c>
      <c r="AW23" t="e">
        <f>AND(Liste!#REF!,"AAAAAF/uvTA=")</f>
        <v>#REF!</v>
      </c>
      <c r="AX23" t="e">
        <f>AND(Liste!#REF!,"AAAAAF/uvTE=")</f>
        <v>#REF!</v>
      </c>
      <c r="AY23" t="e">
        <f>AND(Liste!#REF!,"AAAAAF/uvTI=")</f>
        <v>#REF!</v>
      </c>
      <c r="AZ23" t="e">
        <f>AND(Liste!#REF!,"AAAAAF/uvTM=")</f>
        <v>#REF!</v>
      </c>
      <c r="BA23" t="e">
        <f>AND(Liste!#REF!,"AAAAAF/uvTQ=")</f>
        <v>#REF!</v>
      </c>
      <c r="BB23" t="e">
        <f>AND(Liste!#REF!,"AAAAAF/uvTU=")</f>
        <v>#REF!</v>
      </c>
      <c r="BC23" t="e">
        <f>AND(Liste!#REF!,"AAAAAF/uvTY=")</f>
        <v>#REF!</v>
      </c>
      <c r="BD23" t="e">
        <f>AND(Liste!#REF!,"AAAAAF/uvTc=")</f>
        <v>#REF!</v>
      </c>
      <c r="BE23" t="e">
        <f>AND(Liste!#REF!,"AAAAAF/uvTg=")</f>
        <v>#REF!</v>
      </c>
      <c r="BF23" t="e">
        <f>AND(Liste!#REF!,"AAAAAF/uvTk=")</f>
        <v>#REF!</v>
      </c>
      <c r="BG23" t="e">
        <f>AND(Liste!#REF!,"AAAAAF/uvTo=")</f>
        <v>#REF!</v>
      </c>
      <c r="BH23" t="e">
        <f>AND(Liste!#REF!,"AAAAAF/uvTs=")</f>
        <v>#REF!</v>
      </c>
      <c r="BI23" t="e">
        <f>AND(Liste!#REF!,"AAAAAF/uvTw=")</f>
        <v>#REF!</v>
      </c>
      <c r="BJ23" t="e">
        <f>AND(Liste!#REF!,"AAAAAF/uvT0=")</f>
        <v>#REF!</v>
      </c>
      <c r="BK23" t="e">
        <f>AND(Liste!#REF!,"AAAAAF/uvT4=")</f>
        <v>#REF!</v>
      </c>
      <c r="BL23" t="e">
        <f>AND(Liste!#REF!,"AAAAAF/uvT8=")</f>
        <v>#REF!</v>
      </c>
      <c r="BM23" t="e">
        <f>AND(Liste!#REF!,"AAAAAF/uvUA=")</f>
        <v>#REF!</v>
      </c>
      <c r="BN23" t="e">
        <f>AND(Liste!#REF!,"AAAAAF/uvUE=")</f>
        <v>#REF!</v>
      </c>
      <c r="BO23" t="e">
        <f>AND(Liste!#REF!,"AAAAAF/uvUI=")</f>
        <v>#REF!</v>
      </c>
      <c r="BP23" t="e">
        <f>AND(Liste!#REF!,"AAAAAF/uvUM=")</f>
        <v>#REF!</v>
      </c>
      <c r="BQ23" t="e">
        <f>AND(Liste!#REF!,"AAAAAF/uvUQ=")</f>
        <v>#REF!</v>
      </c>
      <c r="BR23" t="e">
        <f>AND(Liste!#REF!,"AAAAAF/uvUU=")</f>
        <v>#REF!</v>
      </c>
      <c r="BS23" t="e">
        <f>AND(Liste!#REF!,"AAAAAF/uvUY=")</f>
        <v>#REF!</v>
      </c>
      <c r="BT23" t="e">
        <f>AND(Liste!#REF!,"AAAAAF/uvUc=")</f>
        <v>#REF!</v>
      </c>
      <c r="BU23" t="e">
        <f>IF(Liste!#REF!,"AAAAAF/uvUg=",0)</f>
        <v>#REF!</v>
      </c>
      <c r="BV23" t="e">
        <f>AND(Liste!#REF!,"AAAAAF/uvUk=")</f>
        <v>#REF!</v>
      </c>
      <c r="BW23" t="e">
        <f>AND(Liste!#REF!,"AAAAAF/uvUo=")</f>
        <v>#REF!</v>
      </c>
      <c r="BX23" t="e">
        <f>AND(Liste!#REF!,"AAAAAF/uvUs=")</f>
        <v>#REF!</v>
      </c>
      <c r="BY23" t="e">
        <f>AND(Liste!#REF!,"AAAAAF/uvUw=")</f>
        <v>#REF!</v>
      </c>
      <c r="BZ23" t="e">
        <f>AND(Liste!#REF!,"AAAAAF/uvU0=")</f>
        <v>#REF!</v>
      </c>
      <c r="CA23" t="e">
        <f>AND(Liste!#REF!,"AAAAAF/uvU4=")</f>
        <v>#REF!</v>
      </c>
      <c r="CB23" t="e">
        <f>AND(Liste!#REF!,"AAAAAF/uvU8=")</f>
        <v>#REF!</v>
      </c>
      <c r="CC23" t="e">
        <f>AND(Liste!#REF!,"AAAAAF/uvVA=")</f>
        <v>#REF!</v>
      </c>
      <c r="CD23" t="e">
        <f>AND(Liste!#REF!,"AAAAAF/uvVE=")</f>
        <v>#REF!</v>
      </c>
      <c r="CE23" t="e">
        <f>AND(Liste!#REF!,"AAAAAF/uvVI=")</f>
        <v>#REF!</v>
      </c>
      <c r="CF23" t="e">
        <f>AND(Liste!#REF!,"AAAAAF/uvVM=")</f>
        <v>#REF!</v>
      </c>
      <c r="CG23" t="e">
        <f>AND(Liste!#REF!,"AAAAAF/uvVQ=")</f>
        <v>#REF!</v>
      </c>
      <c r="CH23" t="e">
        <f>AND(Liste!#REF!,"AAAAAF/uvVU=")</f>
        <v>#REF!</v>
      </c>
      <c r="CI23" t="e">
        <f>AND(Liste!#REF!,"AAAAAF/uvVY=")</f>
        <v>#REF!</v>
      </c>
      <c r="CJ23" t="e">
        <f>AND(Liste!#REF!,"AAAAAF/uvVc=")</f>
        <v>#REF!</v>
      </c>
      <c r="CK23" t="e">
        <f>AND(Liste!#REF!,"AAAAAF/uvVg=")</f>
        <v>#REF!</v>
      </c>
      <c r="CL23" t="e">
        <f>AND(Liste!#REF!,"AAAAAF/uvVk=")</f>
        <v>#REF!</v>
      </c>
      <c r="CM23" t="e">
        <f>AND(Liste!#REF!,"AAAAAF/uvVo=")</f>
        <v>#REF!</v>
      </c>
      <c r="CN23" t="e">
        <f>AND(Liste!#REF!,"AAAAAF/uvVs=")</f>
        <v>#REF!</v>
      </c>
      <c r="CO23" t="e">
        <f>AND(Liste!#REF!,"AAAAAF/uvVw=")</f>
        <v>#REF!</v>
      </c>
      <c r="CP23" t="e">
        <f>AND(Liste!#REF!,"AAAAAF/uvV0=")</f>
        <v>#REF!</v>
      </c>
      <c r="CQ23" t="e">
        <f>AND(Liste!#REF!,"AAAAAF/uvV4=")</f>
        <v>#REF!</v>
      </c>
      <c r="CR23" t="e">
        <f>AND(Liste!#REF!,"AAAAAF/uvV8=")</f>
        <v>#REF!</v>
      </c>
      <c r="CS23" t="e">
        <f>AND(Liste!#REF!,"AAAAAF/uvWA=")</f>
        <v>#REF!</v>
      </c>
      <c r="CT23" t="e">
        <f>AND(Liste!#REF!,"AAAAAF/uvWE=")</f>
        <v>#REF!</v>
      </c>
      <c r="CU23" t="e">
        <f>AND(Liste!#REF!,"AAAAAF/uvWI=")</f>
        <v>#REF!</v>
      </c>
      <c r="CV23" t="e">
        <f>AND(Liste!#REF!,"AAAAAF/uvWM=")</f>
        <v>#REF!</v>
      </c>
      <c r="CW23" t="e">
        <f>AND(Liste!#REF!,"AAAAAF/uvWQ=")</f>
        <v>#REF!</v>
      </c>
      <c r="CX23" t="e">
        <f>AND(Liste!#REF!,"AAAAAF/uvWU=")</f>
        <v>#REF!</v>
      </c>
      <c r="CY23" t="e">
        <f>AND(Liste!#REF!,"AAAAAF/uvWY=")</f>
        <v>#REF!</v>
      </c>
      <c r="CZ23" t="e">
        <f>IF(Liste!#REF!,"AAAAAF/uvWc=",0)</f>
        <v>#REF!</v>
      </c>
      <c r="DA23" t="e">
        <f>AND(Liste!#REF!,"AAAAAF/uvWg=")</f>
        <v>#REF!</v>
      </c>
      <c r="DB23" t="e">
        <f>AND(Liste!#REF!,"AAAAAF/uvWk=")</f>
        <v>#REF!</v>
      </c>
      <c r="DC23" t="e">
        <f>AND(Liste!#REF!,"AAAAAF/uvWo=")</f>
        <v>#REF!</v>
      </c>
      <c r="DD23" t="e">
        <f>AND(Liste!#REF!,"AAAAAF/uvWs=")</f>
        <v>#REF!</v>
      </c>
      <c r="DE23" t="e">
        <f>AND(Liste!#REF!,"AAAAAF/uvWw=")</f>
        <v>#REF!</v>
      </c>
      <c r="DF23" t="e">
        <f>AND(Liste!#REF!,"AAAAAF/uvW0=")</f>
        <v>#REF!</v>
      </c>
      <c r="DG23" t="e">
        <f>AND(Liste!#REF!,"AAAAAF/uvW4=")</f>
        <v>#REF!</v>
      </c>
      <c r="DH23" t="e">
        <f>AND(Liste!#REF!,"AAAAAF/uvW8=")</f>
        <v>#REF!</v>
      </c>
      <c r="DI23" t="e">
        <f>AND(Liste!#REF!,"AAAAAF/uvXA=")</f>
        <v>#REF!</v>
      </c>
      <c r="DJ23" t="e">
        <f>AND(Liste!#REF!,"AAAAAF/uvXE=")</f>
        <v>#REF!</v>
      </c>
      <c r="DK23" t="e">
        <f>AND(Liste!#REF!,"AAAAAF/uvXI=")</f>
        <v>#REF!</v>
      </c>
      <c r="DL23" t="e">
        <f>AND(Liste!#REF!,"AAAAAF/uvXM=")</f>
        <v>#REF!</v>
      </c>
      <c r="DM23" t="e">
        <f>AND(Liste!#REF!,"AAAAAF/uvXQ=")</f>
        <v>#REF!</v>
      </c>
      <c r="DN23" t="e">
        <f>AND(Liste!#REF!,"AAAAAF/uvXU=")</f>
        <v>#REF!</v>
      </c>
      <c r="DO23" t="e">
        <f>AND(Liste!#REF!,"AAAAAF/uvXY=")</f>
        <v>#REF!</v>
      </c>
      <c r="DP23" t="e">
        <f>AND(Liste!#REF!,"AAAAAF/uvXc=")</f>
        <v>#REF!</v>
      </c>
      <c r="DQ23" t="e">
        <f>AND(Liste!#REF!,"AAAAAF/uvXg=")</f>
        <v>#REF!</v>
      </c>
      <c r="DR23" t="e">
        <f>AND(Liste!#REF!,"AAAAAF/uvXk=")</f>
        <v>#REF!</v>
      </c>
      <c r="DS23" t="e">
        <f>AND(Liste!#REF!,"AAAAAF/uvXo=")</f>
        <v>#REF!</v>
      </c>
      <c r="DT23" t="e">
        <f>AND(Liste!#REF!,"AAAAAF/uvXs=")</f>
        <v>#REF!</v>
      </c>
      <c r="DU23" t="e">
        <f>AND(Liste!#REF!,"AAAAAF/uvXw=")</f>
        <v>#REF!</v>
      </c>
      <c r="DV23" t="e">
        <f>AND(Liste!#REF!,"AAAAAF/uvX0=")</f>
        <v>#REF!</v>
      </c>
      <c r="DW23" t="e">
        <f>AND(Liste!#REF!,"AAAAAF/uvX4=")</f>
        <v>#REF!</v>
      </c>
      <c r="DX23" t="e">
        <f>AND(Liste!#REF!,"AAAAAF/uvX8=")</f>
        <v>#REF!</v>
      </c>
      <c r="DY23" t="e">
        <f>AND(Liste!#REF!,"AAAAAF/uvYA=")</f>
        <v>#REF!</v>
      </c>
      <c r="DZ23" t="e">
        <f>AND(Liste!#REF!,"AAAAAF/uvYE=")</f>
        <v>#REF!</v>
      </c>
      <c r="EA23" t="e">
        <f>AND(Liste!#REF!,"AAAAAF/uvYI=")</f>
        <v>#REF!</v>
      </c>
      <c r="EB23" t="e">
        <f>AND(Liste!#REF!,"AAAAAF/uvYM=")</f>
        <v>#REF!</v>
      </c>
      <c r="EC23" t="e">
        <f>AND(Liste!#REF!,"AAAAAF/uvYQ=")</f>
        <v>#REF!</v>
      </c>
      <c r="ED23" t="e">
        <f>AND(Liste!#REF!,"AAAAAF/uvYU=")</f>
        <v>#REF!</v>
      </c>
      <c r="EE23" t="e">
        <f>IF(Liste!#REF!,"AAAAAF/uvYY=",0)</f>
        <v>#REF!</v>
      </c>
      <c r="EF23" t="e">
        <f>AND(Liste!#REF!,"AAAAAF/uvYc=")</f>
        <v>#REF!</v>
      </c>
      <c r="EG23" t="e">
        <f>AND(Liste!#REF!,"AAAAAF/uvYg=")</f>
        <v>#REF!</v>
      </c>
      <c r="EH23" t="e">
        <f>AND(Liste!#REF!,"AAAAAF/uvYk=")</f>
        <v>#REF!</v>
      </c>
      <c r="EI23" t="e">
        <f>AND(Liste!#REF!,"AAAAAF/uvYo=")</f>
        <v>#REF!</v>
      </c>
      <c r="EJ23" t="e">
        <f>AND(Liste!#REF!,"AAAAAF/uvYs=")</f>
        <v>#REF!</v>
      </c>
      <c r="EK23" t="e">
        <f>AND(Liste!#REF!,"AAAAAF/uvYw=")</f>
        <v>#REF!</v>
      </c>
      <c r="EL23" t="e">
        <f>AND(Liste!#REF!,"AAAAAF/uvY0=")</f>
        <v>#REF!</v>
      </c>
      <c r="EM23" t="e">
        <f>AND(Liste!#REF!,"AAAAAF/uvY4=")</f>
        <v>#REF!</v>
      </c>
      <c r="EN23" t="e">
        <f>AND(Liste!#REF!,"AAAAAF/uvY8=")</f>
        <v>#REF!</v>
      </c>
      <c r="EO23" t="e">
        <f>AND(Liste!#REF!,"AAAAAF/uvZA=")</f>
        <v>#REF!</v>
      </c>
      <c r="EP23" t="e">
        <f>AND(Liste!#REF!,"AAAAAF/uvZE=")</f>
        <v>#REF!</v>
      </c>
      <c r="EQ23" t="e">
        <f>AND(Liste!#REF!,"AAAAAF/uvZI=")</f>
        <v>#REF!</v>
      </c>
      <c r="ER23" t="e">
        <f>AND(Liste!#REF!,"AAAAAF/uvZM=")</f>
        <v>#REF!</v>
      </c>
      <c r="ES23" t="e">
        <f>AND(Liste!#REF!,"AAAAAF/uvZQ=")</f>
        <v>#REF!</v>
      </c>
      <c r="ET23" t="e">
        <f>AND(Liste!#REF!,"AAAAAF/uvZU=")</f>
        <v>#REF!</v>
      </c>
      <c r="EU23" t="e">
        <f>AND(Liste!#REF!,"AAAAAF/uvZY=")</f>
        <v>#REF!</v>
      </c>
      <c r="EV23" t="e">
        <f>AND(Liste!#REF!,"AAAAAF/uvZc=")</f>
        <v>#REF!</v>
      </c>
      <c r="EW23" t="e">
        <f>AND(Liste!#REF!,"AAAAAF/uvZg=")</f>
        <v>#REF!</v>
      </c>
      <c r="EX23" t="e">
        <f>AND(Liste!#REF!,"AAAAAF/uvZk=")</f>
        <v>#REF!</v>
      </c>
      <c r="EY23" t="e">
        <f>AND(Liste!#REF!,"AAAAAF/uvZo=")</f>
        <v>#REF!</v>
      </c>
      <c r="EZ23" t="e">
        <f>AND(Liste!#REF!,"AAAAAF/uvZs=")</f>
        <v>#REF!</v>
      </c>
      <c r="FA23" t="e">
        <f>AND(Liste!#REF!,"AAAAAF/uvZw=")</f>
        <v>#REF!</v>
      </c>
      <c r="FB23" t="e">
        <f>AND(Liste!#REF!,"AAAAAF/uvZ0=")</f>
        <v>#REF!</v>
      </c>
      <c r="FC23" t="e">
        <f>AND(Liste!#REF!,"AAAAAF/uvZ4=")</f>
        <v>#REF!</v>
      </c>
      <c r="FD23" t="e">
        <f>AND(Liste!#REF!,"AAAAAF/uvZ8=")</f>
        <v>#REF!</v>
      </c>
      <c r="FE23" t="e">
        <f>AND(Liste!#REF!,"AAAAAF/uvaA=")</f>
        <v>#REF!</v>
      </c>
      <c r="FF23" t="e">
        <f>AND(Liste!#REF!,"AAAAAF/uvaE=")</f>
        <v>#REF!</v>
      </c>
      <c r="FG23" t="e">
        <f>AND(Liste!#REF!,"AAAAAF/uvaI=")</f>
        <v>#REF!</v>
      </c>
      <c r="FH23" t="e">
        <f>AND(Liste!#REF!,"AAAAAF/uvaM=")</f>
        <v>#REF!</v>
      </c>
      <c r="FI23" t="e">
        <f>AND(Liste!#REF!,"AAAAAF/uvaQ=")</f>
        <v>#REF!</v>
      </c>
      <c r="FJ23">
        <f>IF(Liste!169:169,"AAAAAF/uvaU=",0)</f>
        <v>0</v>
      </c>
      <c r="FK23" t="e">
        <f>AND(Liste!A225,"AAAAAF/uvaY=")</f>
        <v>#VALUE!</v>
      </c>
      <c r="FL23" t="e">
        <f>AND(Liste!#REF!,"AAAAAF/uvac=")</f>
        <v>#REF!</v>
      </c>
      <c r="FM23" t="e">
        <f>AND(Liste!#REF!,"AAAAAF/uvag=")</f>
        <v>#REF!</v>
      </c>
      <c r="FN23" t="e">
        <f>AND(Liste!#REF!,"AAAAAF/uvak=")</f>
        <v>#REF!</v>
      </c>
      <c r="FO23" t="e">
        <f>AND(Liste!F225,"AAAAAF/uvao=")</f>
        <v>#VALUE!</v>
      </c>
      <c r="FP23" t="e">
        <f>AND(Liste!G225,"AAAAAF/uvas=")</f>
        <v>#VALUE!</v>
      </c>
      <c r="FQ23" t="e">
        <f>AND(Liste!H225,"AAAAAF/uvaw=")</f>
        <v>#VALUE!</v>
      </c>
      <c r="FR23" t="e">
        <f>AND(Liste!I225,"AAAAAF/uva0=")</f>
        <v>#VALUE!</v>
      </c>
      <c r="FS23" t="e">
        <f>AND(Liste!J225,"AAAAAF/uva4=")</f>
        <v>#VALUE!</v>
      </c>
      <c r="FT23" t="e">
        <f>AND(Liste!#REF!,"AAAAAF/uva8=")</f>
        <v>#REF!</v>
      </c>
      <c r="FU23" t="e">
        <f>AND(Liste!#REF!,"AAAAAF/uvbA=")</f>
        <v>#REF!</v>
      </c>
      <c r="FV23" t="e">
        <f>AND(Liste!#REF!,"AAAAAF/uvbE=")</f>
        <v>#REF!</v>
      </c>
      <c r="FW23" t="e">
        <f>AND(Liste!#REF!,"AAAAAF/uvbI=")</f>
        <v>#REF!</v>
      </c>
      <c r="FX23" t="e">
        <f>AND(Liste!#REF!,"AAAAAF/uvbM=")</f>
        <v>#REF!</v>
      </c>
      <c r="FY23" t="e">
        <f>AND(Liste!#REF!,"AAAAAF/uvbQ=")</f>
        <v>#REF!</v>
      </c>
      <c r="FZ23" t="e">
        <f>AND(Liste!#REF!,"AAAAAF/uvbU=")</f>
        <v>#REF!</v>
      </c>
      <c r="GA23" t="e">
        <f>AND(Liste!#REF!,"AAAAAF/uvbY=")</f>
        <v>#REF!</v>
      </c>
      <c r="GB23" t="e">
        <f>AND(Liste!#REF!,"AAAAAF/uvbc=")</f>
        <v>#REF!</v>
      </c>
      <c r="GC23" t="e">
        <f>AND(Liste!#REF!,"AAAAAF/uvbg=")</f>
        <v>#REF!</v>
      </c>
      <c r="GD23" t="e">
        <f>AND(Liste!#REF!,"AAAAAF/uvbk=")</f>
        <v>#REF!</v>
      </c>
      <c r="GE23" t="e">
        <f>AND(Liste!#REF!,"AAAAAF/uvbo=")</f>
        <v>#REF!</v>
      </c>
      <c r="GF23" t="e">
        <f>AND(Liste!#REF!,"AAAAAF/uvbs=")</f>
        <v>#REF!</v>
      </c>
      <c r="GG23" t="e">
        <f>AND(Liste!#REF!,"AAAAAF/uvbw=")</f>
        <v>#REF!</v>
      </c>
      <c r="GH23" t="e">
        <f>AND(Liste!#REF!,"AAAAAF/uvb0=")</f>
        <v>#REF!</v>
      </c>
      <c r="GI23" t="e">
        <f>AND(Liste!#REF!,"AAAAAF/uvb4=")</f>
        <v>#REF!</v>
      </c>
      <c r="GJ23" t="e">
        <f>AND(Liste!#REF!,"AAAAAF/uvb8=")</f>
        <v>#REF!</v>
      </c>
      <c r="GK23" t="e">
        <f>AND(Liste!#REF!,"AAAAAF/uvcA=")</f>
        <v>#REF!</v>
      </c>
      <c r="GL23" t="e">
        <f>AND(Liste!#REF!,"AAAAAF/uvcE=")</f>
        <v>#REF!</v>
      </c>
      <c r="GM23" t="e">
        <f>AND(Liste!#REF!,"AAAAAF/uvcI=")</f>
        <v>#REF!</v>
      </c>
      <c r="GN23" t="e">
        <f>AND(Liste!#REF!,"AAAAAF/uvcM=")</f>
        <v>#REF!</v>
      </c>
      <c r="GO23">
        <f>IF(Liste!170:170,"AAAAAF/uvcQ=",0)</f>
        <v>0</v>
      </c>
      <c r="GP23" t="e">
        <f>AND(Liste!A226,"AAAAAF/uvcU=")</f>
        <v>#VALUE!</v>
      </c>
      <c r="GQ23" t="e">
        <f>AND(Liste!C226,"AAAAAF/uvcY=")</f>
        <v>#VALUE!</v>
      </c>
      <c r="GR23" t="e">
        <f>AND(Liste!D226,"AAAAAF/uvcc=")</f>
        <v>#VALUE!</v>
      </c>
      <c r="GS23" t="e">
        <f>AND(Liste!E226,"AAAAAF/uvcg=")</f>
        <v>#VALUE!</v>
      </c>
      <c r="GT23" t="e">
        <f>AND(Liste!F226,"AAAAAF/uvck=")</f>
        <v>#VALUE!</v>
      </c>
      <c r="GU23" t="e">
        <f>AND(Liste!G226,"AAAAAF/uvco=")</f>
        <v>#VALUE!</v>
      </c>
      <c r="GV23" t="e">
        <f>AND(Liste!H226,"AAAAAF/uvcs=")</f>
        <v>#VALUE!</v>
      </c>
      <c r="GW23" t="e">
        <f>AND(Liste!I226,"AAAAAF/uvcw=")</f>
        <v>#VALUE!</v>
      </c>
      <c r="GX23" t="e">
        <f>AND(Liste!J226,"AAAAAF/uvc0=")</f>
        <v>#VALUE!</v>
      </c>
      <c r="GY23" t="e">
        <f>AND(Liste!#REF!,"AAAAAF/uvc4=")</f>
        <v>#REF!</v>
      </c>
      <c r="GZ23" t="e">
        <f>AND(Liste!#REF!,"AAAAAF/uvc8=")</f>
        <v>#REF!</v>
      </c>
      <c r="HA23" t="e">
        <f>AND(Liste!#REF!,"AAAAAF/uvdA=")</f>
        <v>#REF!</v>
      </c>
      <c r="HB23" t="e">
        <f>AND(Liste!#REF!,"AAAAAF/uvdE=")</f>
        <v>#REF!</v>
      </c>
      <c r="HC23" t="e">
        <f>AND(Liste!#REF!,"AAAAAF/uvdI=")</f>
        <v>#REF!</v>
      </c>
      <c r="HD23" t="e">
        <f>AND(Liste!#REF!,"AAAAAF/uvdM=")</f>
        <v>#REF!</v>
      </c>
      <c r="HE23" t="e">
        <f>AND(Liste!#REF!,"AAAAAF/uvdQ=")</f>
        <v>#REF!</v>
      </c>
      <c r="HF23" t="e">
        <f>AND(Liste!#REF!,"AAAAAF/uvdU=")</f>
        <v>#REF!</v>
      </c>
      <c r="HG23" t="e">
        <f>AND(Liste!#REF!,"AAAAAF/uvdY=")</f>
        <v>#REF!</v>
      </c>
      <c r="HH23" t="e">
        <f>AND(Liste!#REF!,"AAAAAF/uvdc=")</f>
        <v>#REF!</v>
      </c>
      <c r="HI23" t="e">
        <f>AND(Liste!#REF!,"AAAAAF/uvdg=")</f>
        <v>#REF!</v>
      </c>
      <c r="HJ23" t="e">
        <f>AND(Liste!#REF!,"AAAAAF/uvdk=")</f>
        <v>#REF!</v>
      </c>
      <c r="HK23" t="e">
        <f>AND(Liste!#REF!,"AAAAAF/uvdo=")</f>
        <v>#REF!</v>
      </c>
      <c r="HL23" t="e">
        <f>AND(Liste!#REF!,"AAAAAF/uvds=")</f>
        <v>#REF!</v>
      </c>
      <c r="HM23" t="e">
        <f>AND(Liste!#REF!,"AAAAAF/uvdw=")</f>
        <v>#REF!</v>
      </c>
      <c r="HN23" t="e">
        <f>AND(Liste!#REF!,"AAAAAF/uvd0=")</f>
        <v>#REF!</v>
      </c>
      <c r="HO23" t="e">
        <f>AND(Liste!#REF!,"AAAAAF/uvd4=")</f>
        <v>#REF!</v>
      </c>
      <c r="HP23" t="e">
        <f>AND(Liste!#REF!,"AAAAAF/uvd8=")</f>
        <v>#REF!</v>
      </c>
      <c r="HQ23" t="e">
        <f>AND(Liste!#REF!,"AAAAAF/uveA=")</f>
        <v>#REF!</v>
      </c>
      <c r="HR23" t="e">
        <f>AND(Liste!#REF!,"AAAAAF/uveE=")</f>
        <v>#REF!</v>
      </c>
      <c r="HS23" t="e">
        <f>AND(Liste!#REF!,"AAAAAF/uveI=")</f>
        <v>#REF!</v>
      </c>
      <c r="HT23">
        <f>IF(Liste!171:171,"AAAAAF/uveM=",0)</f>
        <v>0</v>
      </c>
      <c r="HU23" t="b">
        <f>AND(Liste!A227,"AAAAAF/uveQ=")</f>
        <v>1</v>
      </c>
      <c r="HV23" t="e">
        <f>AND(Liste!#REF!,"AAAAAF/uveU=")</f>
        <v>#REF!</v>
      </c>
      <c r="HW23" t="e">
        <f>AND(Liste!#REF!,"AAAAAF/uveY=")</f>
        <v>#REF!</v>
      </c>
      <c r="HX23" t="e">
        <f>AND(Liste!#REF!,"AAAAAF/uvec=")</f>
        <v>#REF!</v>
      </c>
      <c r="HY23" t="e">
        <f>AND(Liste!F227,"AAAAAF/uveg=")</f>
        <v>#VALUE!</v>
      </c>
      <c r="HZ23" t="e">
        <f>AND(Liste!G227,"AAAAAF/uvek=")</f>
        <v>#VALUE!</v>
      </c>
      <c r="IA23" t="e">
        <f>AND(Liste!H227,"AAAAAF/uveo=")</f>
        <v>#VALUE!</v>
      </c>
      <c r="IB23" t="e">
        <f>AND(Liste!I227,"AAAAAF/uves=")</f>
        <v>#VALUE!</v>
      </c>
      <c r="IC23" t="e">
        <f>AND(Liste!J227,"AAAAAF/uvew=")</f>
        <v>#VALUE!</v>
      </c>
      <c r="ID23" t="e">
        <f>AND(Liste!#REF!,"AAAAAF/uve0=")</f>
        <v>#REF!</v>
      </c>
      <c r="IE23" t="e">
        <f>AND(Liste!#REF!,"AAAAAF/uve4=")</f>
        <v>#REF!</v>
      </c>
      <c r="IF23" t="e">
        <f>AND(Liste!#REF!,"AAAAAF/uve8=")</f>
        <v>#REF!</v>
      </c>
      <c r="IG23" t="e">
        <f>AND(Liste!#REF!,"AAAAAF/uvfA=")</f>
        <v>#REF!</v>
      </c>
      <c r="IH23" t="e">
        <f>AND(Liste!#REF!,"AAAAAF/uvfE=")</f>
        <v>#REF!</v>
      </c>
      <c r="II23" t="e">
        <f>AND(Liste!#REF!,"AAAAAF/uvfI=")</f>
        <v>#REF!</v>
      </c>
      <c r="IJ23" t="e">
        <f>AND(Liste!#REF!,"AAAAAF/uvfM=")</f>
        <v>#REF!</v>
      </c>
      <c r="IK23" t="e">
        <f>AND(Liste!#REF!,"AAAAAF/uvfQ=")</f>
        <v>#REF!</v>
      </c>
      <c r="IL23" t="e">
        <f>AND(Liste!#REF!,"AAAAAF/uvfU=")</f>
        <v>#REF!</v>
      </c>
      <c r="IM23" t="e">
        <f>AND(Liste!#REF!,"AAAAAF/uvfY=")</f>
        <v>#REF!</v>
      </c>
      <c r="IN23" t="e">
        <f>AND(Liste!#REF!,"AAAAAF/uvfc=")</f>
        <v>#REF!</v>
      </c>
      <c r="IO23" t="e">
        <f>AND(Liste!#REF!,"AAAAAF/uvfg=")</f>
        <v>#REF!</v>
      </c>
      <c r="IP23" t="e">
        <f>AND(Liste!#REF!,"AAAAAF/uvfk=")</f>
        <v>#REF!</v>
      </c>
      <c r="IQ23" t="e">
        <f>AND(Liste!#REF!,"AAAAAF/uvfo=")</f>
        <v>#REF!</v>
      </c>
      <c r="IR23" t="e">
        <f>AND(Liste!#REF!,"AAAAAF/uvfs=")</f>
        <v>#REF!</v>
      </c>
      <c r="IS23" t="e">
        <f>AND(Liste!#REF!,"AAAAAF/uvfw=")</f>
        <v>#REF!</v>
      </c>
      <c r="IT23" t="e">
        <f>AND(Liste!#REF!,"AAAAAF/uvf0=")</f>
        <v>#REF!</v>
      </c>
      <c r="IU23" t="e">
        <f>AND(Liste!#REF!,"AAAAAF/uvf4=")</f>
        <v>#REF!</v>
      </c>
      <c r="IV23" t="e">
        <f>AND(Liste!#REF!,"AAAAAF/uvf8=")</f>
        <v>#REF!</v>
      </c>
    </row>
    <row r="24" spans="1:256" x14ac:dyDescent="0.2">
      <c r="A24" t="e">
        <f>AND(Liste!#REF!,"AAAAAHat/wA=")</f>
        <v>#REF!</v>
      </c>
      <c r="B24" t="e">
        <f>AND(Liste!#REF!,"AAAAAHat/wE=")</f>
        <v>#REF!</v>
      </c>
      <c r="C24" t="e">
        <f>IF(Liste!172:172,"AAAAAHat/wI=",0)</f>
        <v>#VALUE!</v>
      </c>
      <c r="D24" t="b">
        <f>AND(Liste!A228,"AAAAAHat/wM=")</f>
        <v>1</v>
      </c>
      <c r="E24" t="e">
        <f>AND(Liste!#REF!,"AAAAAHat/wQ=")</f>
        <v>#REF!</v>
      </c>
      <c r="F24" t="e">
        <f>AND(Liste!#REF!,"AAAAAHat/wU=")</f>
        <v>#REF!</v>
      </c>
      <c r="G24" t="e">
        <f>AND(Liste!#REF!,"AAAAAHat/wY=")</f>
        <v>#REF!</v>
      </c>
      <c r="H24" t="e">
        <f>AND(Liste!F228,"AAAAAHat/wc=")</f>
        <v>#VALUE!</v>
      </c>
      <c r="I24" t="e">
        <f>AND(Liste!G228,"AAAAAHat/wg=")</f>
        <v>#VALUE!</v>
      </c>
      <c r="J24" t="e">
        <f>AND(Liste!H228,"AAAAAHat/wk=")</f>
        <v>#VALUE!</v>
      </c>
      <c r="K24" t="e">
        <f>AND(Liste!I228,"AAAAAHat/wo=")</f>
        <v>#VALUE!</v>
      </c>
      <c r="L24" t="e">
        <f>AND(Liste!J228,"AAAAAHat/ws=")</f>
        <v>#VALUE!</v>
      </c>
      <c r="M24" t="e">
        <f>AND(Liste!#REF!,"AAAAAHat/ww=")</f>
        <v>#REF!</v>
      </c>
      <c r="N24" t="e">
        <f>AND(Liste!#REF!,"AAAAAHat/w0=")</f>
        <v>#REF!</v>
      </c>
      <c r="O24" t="e">
        <f>AND(Liste!#REF!,"AAAAAHat/w4=")</f>
        <v>#REF!</v>
      </c>
      <c r="P24" t="e">
        <f>AND(Liste!#REF!,"AAAAAHat/w8=")</f>
        <v>#REF!</v>
      </c>
      <c r="Q24" t="e">
        <f>AND(Liste!#REF!,"AAAAAHat/xA=")</f>
        <v>#REF!</v>
      </c>
      <c r="R24" t="e">
        <f>AND(Liste!#REF!,"AAAAAHat/xE=")</f>
        <v>#REF!</v>
      </c>
      <c r="S24" t="e">
        <f>AND(Liste!#REF!,"AAAAAHat/xI=")</f>
        <v>#REF!</v>
      </c>
      <c r="T24" t="e">
        <f>AND(Liste!#REF!,"AAAAAHat/xM=")</f>
        <v>#REF!</v>
      </c>
      <c r="U24" t="e">
        <f>AND(Liste!#REF!,"AAAAAHat/xQ=")</f>
        <v>#REF!</v>
      </c>
      <c r="V24" t="e">
        <f>AND(Liste!#REF!,"AAAAAHat/xU=")</f>
        <v>#REF!</v>
      </c>
      <c r="W24" t="e">
        <f>AND(Liste!#REF!,"AAAAAHat/xY=")</f>
        <v>#REF!</v>
      </c>
      <c r="X24" t="e">
        <f>AND(Liste!#REF!,"AAAAAHat/xc=")</f>
        <v>#REF!</v>
      </c>
      <c r="Y24" t="e">
        <f>AND(Liste!#REF!,"AAAAAHat/xg=")</f>
        <v>#REF!</v>
      </c>
      <c r="Z24" t="e">
        <f>AND(Liste!#REF!,"AAAAAHat/xk=")</f>
        <v>#REF!</v>
      </c>
      <c r="AA24" t="e">
        <f>AND(Liste!#REF!,"AAAAAHat/xo=")</f>
        <v>#REF!</v>
      </c>
      <c r="AB24" t="e">
        <f>AND(Liste!#REF!,"AAAAAHat/xs=")</f>
        <v>#REF!</v>
      </c>
      <c r="AC24" t="e">
        <f>AND(Liste!#REF!,"AAAAAHat/xw=")</f>
        <v>#REF!</v>
      </c>
      <c r="AD24" t="e">
        <f>AND(Liste!#REF!,"AAAAAHat/x0=")</f>
        <v>#REF!</v>
      </c>
      <c r="AE24" t="e">
        <f>AND(Liste!#REF!,"AAAAAHat/x4=")</f>
        <v>#REF!</v>
      </c>
      <c r="AF24" t="e">
        <f>AND(Liste!#REF!,"AAAAAHat/x8=")</f>
        <v>#REF!</v>
      </c>
      <c r="AG24" t="e">
        <f>AND(Liste!#REF!,"AAAAAHat/yA=")</f>
        <v>#REF!</v>
      </c>
      <c r="AH24">
        <f>IF(Liste!173:173,"AAAAAHat/yE=",0)</f>
        <v>0</v>
      </c>
      <c r="AI24" t="b">
        <f>AND(Liste!A229,"AAAAAHat/yI=")</f>
        <v>1</v>
      </c>
      <c r="AJ24" t="e">
        <f>AND(Liste!#REF!,"AAAAAHat/yM=")</f>
        <v>#REF!</v>
      </c>
      <c r="AK24" t="e">
        <f>AND(Liste!#REF!,"AAAAAHat/yQ=")</f>
        <v>#REF!</v>
      </c>
      <c r="AL24" t="e">
        <f>AND(Liste!#REF!,"AAAAAHat/yU=")</f>
        <v>#REF!</v>
      </c>
      <c r="AM24" t="e">
        <f>AND(Liste!F229,"AAAAAHat/yY=")</f>
        <v>#VALUE!</v>
      </c>
      <c r="AN24" t="e">
        <f>AND(Liste!G229,"AAAAAHat/yc=")</f>
        <v>#VALUE!</v>
      </c>
      <c r="AO24" t="e">
        <f>AND(Liste!H229,"AAAAAHat/yg=")</f>
        <v>#VALUE!</v>
      </c>
      <c r="AP24" t="e">
        <f>AND(Liste!I229,"AAAAAHat/yk=")</f>
        <v>#VALUE!</v>
      </c>
      <c r="AQ24" t="e">
        <f>AND(Liste!J229,"AAAAAHat/yo=")</f>
        <v>#VALUE!</v>
      </c>
      <c r="AR24" t="e">
        <f>AND(Liste!#REF!,"AAAAAHat/ys=")</f>
        <v>#REF!</v>
      </c>
      <c r="AS24" t="e">
        <f>AND(Liste!#REF!,"AAAAAHat/yw=")</f>
        <v>#REF!</v>
      </c>
      <c r="AT24" t="e">
        <f>AND(Liste!#REF!,"AAAAAHat/y0=")</f>
        <v>#REF!</v>
      </c>
      <c r="AU24" t="e">
        <f>AND(Liste!#REF!,"AAAAAHat/y4=")</f>
        <v>#REF!</v>
      </c>
      <c r="AV24" t="e">
        <f>AND(Liste!#REF!,"AAAAAHat/y8=")</f>
        <v>#REF!</v>
      </c>
      <c r="AW24" t="e">
        <f>AND(Liste!#REF!,"AAAAAHat/zA=")</f>
        <v>#REF!</v>
      </c>
      <c r="AX24" t="e">
        <f>AND(Liste!#REF!,"AAAAAHat/zE=")</f>
        <v>#REF!</v>
      </c>
      <c r="AY24" t="e">
        <f>AND(Liste!#REF!,"AAAAAHat/zI=")</f>
        <v>#REF!</v>
      </c>
      <c r="AZ24" t="e">
        <f>AND(Liste!#REF!,"AAAAAHat/zM=")</f>
        <v>#REF!</v>
      </c>
      <c r="BA24" t="e">
        <f>AND(Liste!#REF!,"AAAAAHat/zQ=")</f>
        <v>#REF!</v>
      </c>
      <c r="BB24" t="e">
        <f>AND(Liste!#REF!,"AAAAAHat/zU=")</f>
        <v>#REF!</v>
      </c>
      <c r="BC24" t="e">
        <f>AND(Liste!#REF!,"AAAAAHat/zY=")</f>
        <v>#REF!</v>
      </c>
      <c r="BD24" t="e">
        <f>AND(Liste!#REF!,"AAAAAHat/zc=")</f>
        <v>#REF!</v>
      </c>
      <c r="BE24" t="e">
        <f>AND(Liste!#REF!,"AAAAAHat/zg=")</f>
        <v>#REF!</v>
      </c>
      <c r="BF24" t="e">
        <f>AND(Liste!#REF!,"AAAAAHat/zk=")</f>
        <v>#REF!</v>
      </c>
      <c r="BG24" t="e">
        <f>AND(Liste!#REF!,"AAAAAHat/zo=")</f>
        <v>#REF!</v>
      </c>
      <c r="BH24" t="e">
        <f>AND(Liste!#REF!,"AAAAAHat/zs=")</f>
        <v>#REF!</v>
      </c>
      <c r="BI24" t="e">
        <f>AND(Liste!#REF!,"AAAAAHat/zw=")</f>
        <v>#REF!</v>
      </c>
      <c r="BJ24" t="e">
        <f>AND(Liste!#REF!,"AAAAAHat/z0=")</f>
        <v>#REF!</v>
      </c>
      <c r="BK24" t="e">
        <f>AND(Liste!#REF!,"AAAAAHat/z4=")</f>
        <v>#REF!</v>
      </c>
      <c r="BL24" t="e">
        <f>AND(Liste!#REF!,"AAAAAHat/z8=")</f>
        <v>#REF!</v>
      </c>
      <c r="BM24">
        <f>IF(Liste!174:174,"AAAAAHat/0A=",0)</f>
        <v>0</v>
      </c>
      <c r="BN24" t="b">
        <f>AND(Liste!A230,"AAAAAHat/0E=")</f>
        <v>1</v>
      </c>
      <c r="BO24" t="e">
        <f>AND(Liste!#REF!,"AAAAAHat/0I=")</f>
        <v>#REF!</v>
      </c>
      <c r="BP24" t="e">
        <f>AND(Liste!#REF!,"AAAAAHat/0M=")</f>
        <v>#REF!</v>
      </c>
      <c r="BQ24" t="e">
        <f>AND(Liste!#REF!,"AAAAAHat/0Q=")</f>
        <v>#REF!</v>
      </c>
      <c r="BR24" t="e">
        <f>AND(Liste!F230,"AAAAAHat/0U=")</f>
        <v>#VALUE!</v>
      </c>
      <c r="BS24" t="e">
        <f>AND(Liste!G230,"AAAAAHat/0Y=")</f>
        <v>#VALUE!</v>
      </c>
      <c r="BT24" t="e">
        <f>AND(Liste!H230,"AAAAAHat/0c=")</f>
        <v>#VALUE!</v>
      </c>
      <c r="BU24" t="e">
        <f>AND(Liste!I230,"AAAAAHat/0g=")</f>
        <v>#VALUE!</v>
      </c>
      <c r="BV24" t="e">
        <f>AND(Liste!J230,"AAAAAHat/0k=")</f>
        <v>#VALUE!</v>
      </c>
      <c r="BW24" t="e">
        <f>AND(Liste!#REF!,"AAAAAHat/0o=")</f>
        <v>#REF!</v>
      </c>
      <c r="BX24" t="e">
        <f>AND(Liste!#REF!,"AAAAAHat/0s=")</f>
        <v>#REF!</v>
      </c>
      <c r="BY24" t="e">
        <f>AND(Liste!#REF!,"AAAAAHat/0w=")</f>
        <v>#REF!</v>
      </c>
      <c r="BZ24" t="e">
        <f>AND(Liste!#REF!,"AAAAAHat/00=")</f>
        <v>#REF!</v>
      </c>
      <c r="CA24" t="e">
        <f>AND(Liste!#REF!,"AAAAAHat/04=")</f>
        <v>#REF!</v>
      </c>
      <c r="CB24" t="e">
        <f>AND(Liste!#REF!,"AAAAAHat/08=")</f>
        <v>#REF!</v>
      </c>
      <c r="CC24" t="e">
        <f>AND(Liste!#REF!,"AAAAAHat/1A=")</f>
        <v>#REF!</v>
      </c>
      <c r="CD24" t="e">
        <f>AND(Liste!#REF!,"AAAAAHat/1E=")</f>
        <v>#REF!</v>
      </c>
      <c r="CE24" t="e">
        <f>AND(Liste!#REF!,"AAAAAHat/1I=")</f>
        <v>#REF!</v>
      </c>
      <c r="CF24" t="e">
        <f>AND(Liste!#REF!,"AAAAAHat/1M=")</f>
        <v>#REF!</v>
      </c>
      <c r="CG24" t="e">
        <f>AND(Liste!#REF!,"AAAAAHat/1Q=")</f>
        <v>#REF!</v>
      </c>
      <c r="CH24" t="e">
        <f>AND(Liste!#REF!,"AAAAAHat/1U=")</f>
        <v>#REF!</v>
      </c>
      <c r="CI24" t="e">
        <f>AND(Liste!#REF!,"AAAAAHat/1Y=")</f>
        <v>#REF!</v>
      </c>
      <c r="CJ24" t="e">
        <f>AND(Liste!#REF!,"AAAAAHat/1c=")</f>
        <v>#REF!</v>
      </c>
      <c r="CK24" t="e">
        <f>AND(Liste!#REF!,"AAAAAHat/1g=")</f>
        <v>#REF!</v>
      </c>
      <c r="CL24" t="e">
        <f>AND(Liste!#REF!,"AAAAAHat/1k=")</f>
        <v>#REF!</v>
      </c>
      <c r="CM24" t="e">
        <f>AND(Liste!#REF!,"AAAAAHat/1o=")</f>
        <v>#REF!</v>
      </c>
      <c r="CN24" t="e">
        <f>AND(Liste!#REF!,"AAAAAHat/1s=")</f>
        <v>#REF!</v>
      </c>
      <c r="CO24" t="e">
        <f>AND(Liste!#REF!,"AAAAAHat/1w=")</f>
        <v>#REF!</v>
      </c>
      <c r="CP24" t="e">
        <f>AND(Liste!#REF!,"AAAAAHat/10=")</f>
        <v>#REF!</v>
      </c>
      <c r="CQ24" t="e">
        <f>AND(Liste!#REF!,"AAAAAHat/14=")</f>
        <v>#REF!</v>
      </c>
      <c r="CR24">
        <f>IF(Liste!175:175,"AAAAAHat/18=",0)</f>
        <v>0</v>
      </c>
      <c r="CS24" t="b">
        <f>AND(Liste!A231,"AAAAAHat/2A=")</f>
        <v>1</v>
      </c>
      <c r="CT24" t="e">
        <f>AND(Liste!#REF!,"AAAAAHat/2E=")</f>
        <v>#REF!</v>
      </c>
      <c r="CU24" t="e">
        <f>AND(Liste!#REF!,"AAAAAHat/2I=")</f>
        <v>#REF!</v>
      </c>
      <c r="CV24" t="e">
        <f>AND(Liste!#REF!,"AAAAAHat/2M=")</f>
        <v>#REF!</v>
      </c>
      <c r="CW24" t="e">
        <f>AND(Liste!F231,"AAAAAHat/2Q=")</f>
        <v>#VALUE!</v>
      </c>
      <c r="CX24" t="e">
        <f>AND(Liste!G231,"AAAAAHat/2U=")</f>
        <v>#VALUE!</v>
      </c>
      <c r="CY24" t="e">
        <f>AND(Liste!H231,"AAAAAHat/2Y=")</f>
        <v>#VALUE!</v>
      </c>
      <c r="CZ24" t="e">
        <f>AND(Liste!I231,"AAAAAHat/2c=")</f>
        <v>#VALUE!</v>
      </c>
      <c r="DA24" t="e">
        <f>AND(Liste!J231,"AAAAAHat/2g=")</f>
        <v>#VALUE!</v>
      </c>
      <c r="DB24" t="e">
        <f>AND(Liste!#REF!,"AAAAAHat/2k=")</f>
        <v>#REF!</v>
      </c>
      <c r="DC24" t="e">
        <f>AND(Liste!#REF!,"AAAAAHat/2o=")</f>
        <v>#REF!</v>
      </c>
      <c r="DD24" t="e">
        <f>AND(Liste!#REF!,"AAAAAHat/2s=")</f>
        <v>#REF!</v>
      </c>
      <c r="DE24" t="e">
        <f>AND(Liste!#REF!,"AAAAAHat/2w=")</f>
        <v>#REF!</v>
      </c>
      <c r="DF24" t="e">
        <f>AND(Liste!#REF!,"AAAAAHat/20=")</f>
        <v>#REF!</v>
      </c>
      <c r="DG24" t="e">
        <f>AND(Liste!#REF!,"AAAAAHat/24=")</f>
        <v>#REF!</v>
      </c>
      <c r="DH24" t="e">
        <f>AND(Liste!#REF!,"AAAAAHat/28=")</f>
        <v>#REF!</v>
      </c>
      <c r="DI24" t="e">
        <f>AND(Liste!#REF!,"AAAAAHat/3A=")</f>
        <v>#REF!</v>
      </c>
      <c r="DJ24" t="e">
        <f>AND(Liste!#REF!,"AAAAAHat/3E=")</f>
        <v>#REF!</v>
      </c>
      <c r="DK24" t="e">
        <f>AND(Liste!#REF!,"AAAAAHat/3I=")</f>
        <v>#REF!</v>
      </c>
      <c r="DL24" t="e">
        <f>AND(Liste!#REF!,"AAAAAHat/3M=")</f>
        <v>#REF!</v>
      </c>
      <c r="DM24" t="e">
        <f>AND(Liste!#REF!,"AAAAAHat/3Q=")</f>
        <v>#REF!</v>
      </c>
      <c r="DN24" t="e">
        <f>AND(Liste!#REF!,"AAAAAHat/3U=")</f>
        <v>#REF!</v>
      </c>
      <c r="DO24" t="e">
        <f>AND(Liste!#REF!,"AAAAAHat/3Y=")</f>
        <v>#REF!</v>
      </c>
      <c r="DP24" t="e">
        <f>AND(Liste!#REF!,"AAAAAHat/3c=")</f>
        <v>#REF!</v>
      </c>
      <c r="DQ24" t="e">
        <f>AND(Liste!#REF!,"AAAAAHat/3g=")</f>
        <v>#REF!</v>
      </c>
      <c r="DR24" t="e">
        <f>AND(Liste!#REF!,"AAAAAHat/3k=")</f>
        <v>#REF!</v>
      </c>
      <c r="DS24" t="e">
        <f>AND(Liste!#REF!,"AAAAAHat/3o=")</f>
        <v>#REF!</v>
      </c>
      <c r="DT24" t="e">
        <f>AND(Liste!#REF!,"AAAAAHat/3s=")</f>
        <v>#REF!</v>
      </c>
      <c r="DU24" t="e">
        <f>AND(Liste!#REF!,"AAAAAHat/3w=")</f>
        <v>#REF!</v>
      </c>
      <c r="DV24" t="e">
        <f>AND(Liste!#REF!,"AAAAAHat/30=")</f>
        <v>#REF!</v>
      </c>
      <c r="DW24">
        <f>IF(Liste!176:176,"AAAAAHat/34=",0)</f>
        <v>0</v>
      </c>
      <c r="DX24" t="b">
        <f>AND(Liste!A232,"AAAAAHat/38=")</f>
        <v>1</v>
      </c>
      <c r="DY24" t="e">
        <f>AND(Liste!#REF!,"AAAAAHat/4A=")</f>
        <v>#REF!</v>
      </c>
      <c r="DZ24" t="e">
        <f>AND(Liste!#REF!,"AAAAAHat/4E=")</f>
        <v>#REF!</v>
      </c>
      <c r="EA24" t="e">
        <f>AND(Liste!#REF!,"AAAAAHat/4I=")</f>
        <v>#REF!</v>
      </c>
      <c r="EB24" t="e">
        <f>AND(Liste!F232,"AAAAAHat/4M=")</f>
        <v>#VALUE!</v>
      </c>
      <c r="EC24" t="e">
        <f>AND(Liste!G232,"AAAAAHat/4Q=")</f>
        <v>#VALUE!</v>
      </c>
      <c r="ED24" t="e">
        <f>AND(Liste!H232,"AAAAAHat/4U=")</f>
        <v>#VALUE!</v>
      </c>
      <c r="EE24" t="e">
        <f>AND(Liste!I232,"AAAAAHat/4Y=")</f>
        <v>#VALUE!</v>
      </c>
      <c r="EF24" t="e">
        <f>AND(Liste!J232,"AAAAAHat/4c=")</f>
        <v>#VALUE!</v>
      </c>
      <c r="EG24" t="e">
        <f>AND(Liste!#REF!,"AAAAAHat/4g=")</f>
        <v>#REF!</v>
      </c>
      <c r="EH24" t="e">
        <f>AND(Liste!#REF!,"AAAAAHat/4k=")</f>
        <v>#REF!</v>
      </c>
      <c r="EI24" t="e">
        <f>AND(Liste!#REF!,"AAAAAHat/4o=")</f>
        <v>#REF!</v>
      </c>
      <c r="EJ24" t="e">
        <f>AND(Liste!#REF!,"AAAAAHat/4s=")</f>
        <v>#REF!</v>
      </c>
      <c r="EK24" t="e">
        <f>AND(Liste!#REF!,"AAAAAHat/4w=")</f>
        <v>#REF!</v>
      </c>
      <c r="EL24" t="e">
        <f>AND(Liste!#REF!,"AAAAAHat/40=")</f>
        <v>#REF!</v>
      </c>
      <c r="EM24" t="e">
        <f>AND(Liste!#REF!,"AAAAAHat/44=")</f>
        <v>#REF!</v>
      </c>
      <c r="EN24" t="e">
        <f>AND(Liste!#REF!,"AAAAAHat/48=")</f>
        <v>#REF!</v>
      </c>
      <c r="EO24" t="e">
        <f>AND(Liste!#REF!,"AAAAAHat/5A=")</f>
        <v>#REF!</v>
      </c>
      <c r="EP24" t="e">
        <f>AND(Liste!#REF!,"AAAAAHat/5E=")</f>
        <v>#REF!</v>
      </c>
      <c r="EQ24" t="e">
        <f>AND(Liste!#REF!,"AAAAAHat/5I=")</f>
        <v>#REF!</v>
      </c>
      <c r="ER24" t="e">
        <f>AND(Liste!#REF!,"AAAAAHat/5M=")</f>
        <v>#REF!</v>
      </c>
      <c r="ES24" t="e">
        <f>AND(Liste!#REF!,"AAAAAHat/5Q=")</f>
        <v>#REF!</v>
      </c>
      <c r="ET24" t="e">
        <f>AND(Liste!#REF!,"AAAAAHat/5U=")</f>
        <v>#REF!</v>
      </c>
      <c r="EU24" t="e">
        <f>AND(Liste!#REF!,"AAAAAHat/5Y=")</f>
        <v>#REF!</v>
      </c>
      <c r="EV24" t="e">
        <f>AND(Liste!#REF!,"AAAAAHat/5c=")</f>
        <v>#REF!</v>
      </c>
      <c r="EW24" t="e">
        <f>AND(Liste!#REF!,"AAAAAHat/5g=")</f>
        <v>#REF!</v>
      </c>
      <c r="EX24" t="e">
        <f>AND(Liste!#REF!,"AAAAAHat/5k=")</f>
        <v>#REF!</v>
      </c>
      <c r="EY24" t="e">
        <f>AND(Liste!#REF!,"AAAAAHat/5o=")</f>
        <v>#REF!</v>
      </c>
      <c r="EZ24" t="e">
        <f>AND(Liste!#REF!,"AAAAAHat/5s=")</f>
        <v>#REF!</v>
      </c>
      <c r="FA24" t="e">
        <f>AND(Liste!#REF!,"AAAAAHat/5w=")</f>
        <v>#REF!</v>
      </c>
      <c r="FB24">
        <f>IF(Liste!187:187,"AAAAAHat/50=",0)</f>
        <v>0</v>
      </c>
      <c r="FC24" t="b">
        <f>AND(Liste!A243,"AAAAAHat/54=")</f>
        <v>1</v>
      </c>
      <c r="FD24" t="e">
        <f>AND(Liste!#REF!,"AAAAAHat/58=")</f>
        <v>#REF!</v>
      </c>
      <c r="FE24" t="e">
        <f>AND(Liste!#REF!,"AAAAAHat/6A=")</f>
        <v>#REF!</v>
      </c>
      <c r="FF24" t="e">
        <f>AND(Liste!#REF!,"AAAAAHat/6E=")</f>
        <v>#REF!</v>
      </c>
      <c r="FG24" t="e">
        <f>AND(Liste!F243,"AAAAAHat/6I=")</f>
        <v>#VALUE!</v>
      </c>
      <c r="FH24" t="e">
        <f>AND(Liste!G243,"AAAAAHat/6M=")</f>
        <v>#VALUE!</v>
      </c>
      <c r="FI24" t="e">
        <f>AND(Liste!H243,"AAAAAHat/6Q=")</f>
        <v>#VALUE!</v>
      </c>
      <c r="FJ24" t="e">
        <f>AND(Liste!I243,"AAAAAHat/6U=")</f>
        <v>#VALUE!</v>
      </c>
      <c r="FK24" t="e">
        <f>AND(Liste!J243,"AAAAAHat/6Y=")</f>
        <v>#VALUE!</v>
      </c>
      <c r="FL24" t="e">
        <f>AND(Liste!#REF!,"AAAAAHat/6c=")</f>
        <v>#REF!</v>
      </c>
      <c r="FM24" t="e">
        <f>AND(Liste!#REF!,"AAAAAHat/6g=")</f>
        <v>#REF!</v>
      </c>
      <c r="FN24" t="e">
        <f>AND(Liste!#REF!,"AAAAAHat/6k=")</f>
        <v>#REF!</v>
      </c>
      <c r="FO24" t="e">
        <f>AND(Liste!#REF!,"AAAAAHat/6o=")</f>
        <v>#REF!</v>
      </c>
      <c r="FP24" t="e">
        <f>AND(Liste!#REF!,"AAAAAHat/6s=")</f>
        <v>#REF!</v>
      </c>
      <c r="FQ24" t="e">
        <f>AND(Liste!#REF!,"AAAAAHat/6w=")</f>
        <v>#REF!</v>
      </c>
      <c r="FR24" t="e">
        <f>AND(Liste!#REF!,"AAAAAHat/60=")</f>
        <v>#REF!</v>
      </c>
      <c r="FS24" t="e">
        <f>AND(Liste!#REF!,"AAAAAHat/64=")</f>
        <v>#REF!</v>
      </c>
      <c r="FT24" t="e">
        <f>AND(Liste!#REF!,"AAAAAHat/68=")</f>
        <v>#REF!</v>
      </c>
      <c r="FU24" t="e">
        <f>AND(Liste!#REF!,"AAAAAHat/7A=")</f>
        <v>#REF!</v>
      </c>
      <c r="FV24" t="e">
        <f>AND(Liste!#REF!,"AAAAAHat/7E=")</f>
        <v>#REF!</v>
      </c>
      <c r="FW24" t="e">
        <f>AND(Liste!#REF!,"AAAAAHat/7I=")</f>
        <v>#REF!</v>
      </c>
      <c r="FX24" t="e">
        <f>AND(Liste!#REF!,"AAAAAHat/7M=")</f>
        <v>#REF!</v>
      </c>
      <c r="FY24" t="e">
        <f>AND(Liste!#REF!,"AAAAAHat/7Q=")</f>
        <v>#REF!</v>
      </c>
      <c r="FZ24" t="e">
        <f>AND(Liste!#REF!,"AAAAAHat/7U=")</f>
        <v>#REF!</v>
      </c>
      <c r="GA24" t="e">
        <f>AND(Liste!#REF!,"AAAAAHat/7Y=")</f>
        <v>#REF!</v>
      </c>
      <c r="GB24" t="e">
        <f>AND(Liste!#REF!,"AAAAAHat/7c=")</f>
        <v>#REF!</v>
      </c>
      <c r="GC24" t="e">
        <f>AND(Liste!#REF!,"AAAAAHat/7g=")</f>
        <v>#REF!</v>
      </c>
      <c r="GD24" t="e">
        <f>AND(Liste!#REF!,"AAAAAHat/7k=")</f>
        <v>#REF!</v>
      </c>
      <c r="GE24" t="e">
        <f>AND(Liste!#REF!,"AAAAAHat/7o=")</f>
        <v>#REF!</v>
      </c>
      <c r="GF24" t="e">
        <f>AND(Liste!#REF!,"AAAAAHat/7s=")</f>
        <v>#REF!</v>
      </c>
      <c r="GG24">
        <f>IF(Liste!188:188,"AAAAAHat/7w=",0)</f>
        <v>0</v>
      </c>
      <c r="GH24" t="b">
        <f>AND(Liste!A244,"AAAAAHat/70=")</f>
        <v>1</v>
      </c>
      <c r="GI24" t="e">
        <f>AND(Liste!#REF!,"AAAAAHat/74=")</f>
        <v>#REF!</v>
      </c>
      <c r="GJ24" t="e">
        <f>AND(Liste!#REF!,"AAAAAHat/78=")</f>
        <v>#REF!</v>
      </c>
      <c r="GK24" t="e">
        <f>AND(Liste!#REF!,"AAAAAHat/8A=")</f>
        <v>#REF!</v>
      </c>
      <c r="GL24" t="e">
        <f>AND(Liste!F244,"AAAAAHat/8E=")</f>
        <v>#VALUE!</v>
      </c>
      <c r="GM24" t="e">
        <f>AND(Liste!G244,"AAAAAHat/8I=")</f>
        <v>#VALUE!</v>
      </c>
      <c r="GN24" t="e">
        <f>AND(Liste!H244,"AAAAAHat/8M=")</f>
        <v>#VALUE!</v>
      </c>
      <c r="GO24" t="e">
        <f>AND(Liste!I244,"AAAAAHat/8Q=")</f>
        <v>#VALUE!</v>
      </c>
      <c r="GP24" t="e">
        <f>AND(Liste!J244,"AAAAAHat/8U=")</f>
        <v>#VALUE!</v>
      </c>
      <c r="GQ24" t="e">
        <f>AND(Liste!#REF!,"AAAAAHat/8Y=")</f>
        <v>#REF!</v>
      </c>
      <c r="GR24" t="e">
        <f>AND(Liste!#REF!,"AAAAAHat/8c=")</f>
        <v>#REF!</v>
      </c>
      <c r="GS24" t="e">
        <f>AND(Liste!#REF!,"AAAAAHat/8g=")</f>
        <v>#REF!</v>
      </c>
      <c r="GT24" t="e">
        <f>AND(Liste!#REF!,"AAAAAHat/8k=")</f>
        <v>#REF!</v>
      </c>
      <c r="GU24" t="e">
        <f>AND(Liste!#REF!,"AAAAAHat/8o=")</f>
        <v>#REF!</v>
      </c>
      <c r="GV24" t="e">
        <f>AND(Liste!#REF!,"AAAAAHat/8s=")</f>
        <v>#REF!</v>
      </c>
      <c r="GW24" t="e">
        <f>AND(Liste!#REF!,"AAAAAHat/8w=")</f>
        <v>#REF!</v>
      </c>
      <c r="GX24" t="e">
        <f>AND(Liste!#REF!,"AAAAAHat/80=")</f>
        <v>#REF!</v>
      </c>
      <c r="GY24" t="e">
        <f>AND(Liste!#REF!,"AAAAAHat/84=")</f>
        <v>#REF!</v>
      </c>
      <c r="GZ24" t="e">
        <f>AND(Liste!#REF!,"AAAAAHat/88=")</f>
        <v>#REF!</v>
      </c>
      <c r="HA24" t="e">
        <f>AND(Liste!#REF!,"AAAAAHat/9A=")</f>
        <v>#REF!</v>
      </c>
      <c r="HB24" t="e">
        <f>AND(Liste!#REF!,"AAAAAHat/9E=")</f>
        <v>#REF!</v>
      </c>
      <c r="HC24" t="e">
        <f>AND(Liste!#REF!,"AAAAAHat/9I=")</f>
        <v>#REF!</v>
      </c>
      <c r="HD24" t="e">
        <f>AND(Liste!#REF!,"AAAAAHat/9M=")</f>
        <v>#REF!</v>
      </c>
      <c r="HE24" t="e">
        <f>AND(Liste!#REF!,"AAAAAHat/9Q=")</f>
        <v>#REF!</v>
      </c>
      <c r="HF24" t="e">
        <f>AND(Liste!#REF!,"AAAAAHat/9U=")</f>
        <v>#REF!</v>
      </c>
      <c r="HG24" t="e">
        <f>AND(Liste!#REF!,"AAAAAHat/9Y=")</f>
        <v>#REF!</v>
      </c>
      <c r="HH24" t="e">
        <f>AND(Liste!#REF!,"AAAAAHat/9c=")</f>
        <v>#REF!</v>
      </c>
      <c r="HI24" t="e">
        <f>AND(Liste!#REF!,"AAAAAHat/9g=")</f>
        <v>#REF!</v>
      </c>
      <c r="HJ24" t="e">
        <f>AND(Liste!#REF!,"AAAAAHat/9k=")</f>
        <v>#REF!</v>
      </c>
      <c r="HK24" t="e">
        <f>AND(Liste!#REF!,"AAAAAHat/9o=")</f>
        <v>#REF!</v>
      </c>
      <c r="HL24">
        <f>IF(Liste!189:189,"AAAAAHat/9s=",0)</f>
        <v>0</v>
      </c>
      <c r="HM24" t="b">
        <f>AND(Liste!A245,"AAAAAHat/9w=")</f>
        <v>1</v>
      </c>
      <c r="HN24" t="e">
        <f>AND(Liste!#REF!,"AAAAAHat/90=")</f>
        <v>#REF!</v>
      </c>
      <c r="HO24" t="e">
        <f>AND(Liste!#REF!,"AAAAAHat/94=")</f>
        <v>#REF!</v>
      </c>
      <c r="HP24" t="e">
        <f>AND(Liste!#REF!,"AAAAAHat/98=")</f>
        <v>#REF!</v>
      </c>
      <c r="HQ24" t="e">
        <f>AND(Liste!F245,"AAAAAHat/+A=")</f>
        <v>#VALUE!</v>
      </c>
      <c r="HR24" t="e">
        <f>AND(Liste!G245,"AAAAAHat/+E=")</f>
        <v>#VALUE!</v>
      </c>
      <c r="HS24" t="e">
        <f>AND(Liste!H245,"AAAAAHat/+I=")</f>
        <v>#VALUE!</v>
      </c>
      <c r="HT24" t="e">
        <f>AND(Liste!I245,"AAAAAHat/+M=")</f>
        <v>#VALUE!</v>
      </c>
      <c r="HU24" t="e">
        <f>AND(Liste!J245,"AAAAAHat/+Q=")</f>
        <v>#VALUE!</v>
      </c>
      <c r="HV24" t="e">
        <f>AND(Liste!#REF!,"AAAAAHat/+U=")</f>
        <v>#REF!</v>
      </c>
      <c r="HW24" t="e">
        <f>AND(Liste!#REF!,"AAAAAHat/+Y=")</f>
        <v>#REF!</v>
      </c>
      <c r="HX24" t="e">
        <f>AND(Liste!#REF!,"AAAAAHat/+c=")</f>
        <v>#REF!</v>
      </c>
      <c r="HY24" t="e">
        <f>AND(Liste!#REF!,"AAAAAHat/+g=")</f>
        <v>#REF!</v>
      </c>
      <c r="HZ24" t="e">
        <f>AND(Liste!#REF!,"AAAAAHat/+k=")</f>
        <v>#REF!</v>
      </c>
      <c r="IA24" t="e">
        <f>AND(Liste!#REF!,"AAAAAHat/+o=")</f>
        <v>#REF!</v>
      </c>
      <c r="IB24" t="e">
        <f>AND(Liste!#REF!,"AAAAAHat/+s=")</f>
        <v>#REF!</v>
      </c>
      <c r="IC24" t="e">
        <f>AND(Liste!#REF!,"AAAAAHat/+w=")</f>
        <v>#REF!</v>
      </c>
      <c r="ID24" t="e">
        <f>AND(Liste!#REF!,"AAAAAHat/+0=")</f>
        <v>#REF!</v>
      </c>
      <c r="IE24" t="e">
        <f>AND(Liste!#REF!,"AAAAAHat/+4=")</f>
        <v>#REF!</v>
      </c>
      <c r="IF24" t="e">
        <f>AND(Liste!#REF!,"AAAAAHat/+8=")</f>
        <v>#REF!</v>
      </c>
      <c r="IG24" t="e">
        <f>AND(Liste!#REF!,"AAAAAHat//A=")</f>
        <v>#REF!</v>
      </c>
      <c r="IH24" t="e">
        <f>AND(Liste!#REF!,"AAAAAHat//E=")</f>
        <v>#REF!</v>
      </c>
      <c r="II24" t="e">
        <f>AND(Liste!#REF!,"AAAAAHat//I=")</f>
        <v>#REF!</v>
      </c>
      <c r="IJ24" t="e">
        <f>AND(Liste!#REF!,"AAAAAHat//M=")</f>
        <v>#REF!</v>
      </c>
      <c r="IK24" t="e">
        <f>AND(Liste!#REF!,"AAAAAHat//Q=")</f>
        <v>#REF!</v>
      </c>
      <c r="IL24" t="e">
        <f>AND(Liste!#REF!,"AAAAAHat//U=")</f>
        <v>#REF!</v>
      </c>
      <c r="IM24" t="e">
        <f>AND(Liste!#REF!,"AAAAAHat//Y=")</f>
        <v>#REF!</v>
      </c>
      <c r="IN24" t="e">
        <f>AND(Liste!#REF!,"AAAAAHat//c=")</f>
        <v>#REF!</v>
      </c>
      <c r="IO24" t="e">
        <f>AND(Liste!#REF!,"AAAAAHat//g=")</f>
        <v>#REF!</v>
      </c>
      <c r="IP24" t="e">
        <f>AND(Liste!#REF!,"AAAAAHat//k=")</f>
        <v>#REF!</v>
      </c>
      <c r="IQ24">
        <f>IF(Liste!190:190,"AAAAAHat//o=",0)</f>
        <v>0</v>
      </c>
      <c r="IR24" t="b">
        <f>AND(Liste!A246,"AAAAAHat//s=")</f>
        <v>1</v>
      </c>
      <c r="IS24" t="e">
        <f>AND(Liste!#REF!,"AAAAAHat//w=")</f>
        <v>#REF!</v>
      </c>
      <c r="IT24" t="e">
        <f>AND(Liste!#REF!,"AAAAAHat//0=")</f>
        <v>#REF!</v>
      </c>
      <c r="IU24" t="e">
        <f>AND(Liste!#REF!,"AAAAAHat//4=")</f>
        <v>#REF!</v>
      </c>
      <c r="IV24" t="e">
        <f>AND(Liste!F246,"AAAAAHat//8=")</f>
        <v>#VALUE!</v>
      </c>
    </row>
    <row r="25" spans="1:256" x14ac:dyDescent="0.2">
      <c r="A25" t="e">
        <f>AND(Liste!G246,"AAAAAF8/jwA=")</f>
        <v>#VALUE!</v>
      </c>
      <c r="B25" t="e">
        <f>AND(Liste!H246,"AAAAAF8/jwE=")</f>
        <v>#VALUE!</v>
      </c>
      <c r="C25" t="e">
        <f>AND(Liste!I246,"AAAAAF8/jwI=")</f>
        <v>#VALUE!</v>
      </c>
      <c r="D25" t="e">
        <f>AND(Liste!J246,"AAAAAF8/jwM=")</f>
        <v>#VALUE!</v>
      </c>
      <c r="E25" t="e">
        <f>AND(Liste!#REF!,"AAAAAF8/jwQ=")</f>
        <v>#REF!</v>
      </c>
      <c r="F25" t="e">
        <f>AND(Liste!#REF!,"AAAAAF8/jwU=")</f>
        <v>#REF!</v>
      </c>
      <c r="G25" t="e">
        <f>AND(Liste!#REF!,"AAAAAF8/jwY=")</f>
        <v>#REF!</v>
      </c>
      <c r="H25" t="e">
        <f>AND(Liste!#REF!,"AAAAAF8/jwc=")</f>
        <v>#REF!</v>
      </c>
      <c r="I25" t="e">
        <f>AND(Liste!#REF!,"AAAAAF8/jwg=")</f>
        <v>#REF!</v>
      </c>
      <c r="J25" t="e">
        <f>AND(Liste!#REF!,"AAAAAF8/jwk=")</f>
        <v>#REF!</v>
      </c>
      <c r="K25" t="e">
        <f>AND(Liste!#REF!,"AAAAAF8/jwo=")</f>
        <v>#REF!</v>
      </c>
      <c r="L25" t="e">
        <f>AND(Liste!#REF!,"AAAAAF8/jws=")</f>
        <v>#REF!</v>
      </c>
      <c r="M25" t="e">
        <f>AND(Liste!#REF!,"AAAAAF8/jww=")</f>
        <v>#REF!</v>
      </c>
      <c r="N25" t="e">
        <f>AND(Liste!#REF!,"AAAAAF8/jw0=")</f>
        <v>#REF!</v>
      </c>
      <c r="O25" t="e">
        <f>AND(Liste!#REF!,"AAAAAF8/jw4=")</f>
        <v>#REF!</v>
      </c>
      <c r="P25" t="e">
        <f>AND(Liste!#REF!,"AAAAAF8/jw8=")</f>
        <v>#REF!</v>
      </c>
      <c r="Q25" t="e">
        <f>AND(Liste!#REF!,"AAAAAF8/jxA=")</f>
        <v>#REF!</v>
      </c>
      <c r="R25" t="e">
        <f>AND(Liste!#REF!,"AAAAAF8/jxE=")</f>
        <v>#REF!</v>
      </c>
      <c r="S25" t="e">
        <f>AND(Liste!#REF!,"AAAAAF8/jxI=")</f>
        <v>#REF!</v>
      </c>
      <c r="T25" t="e">
        <f>AND(Liste!#REF!,"AAAAAF8/jxM=")</f>
        <v>#REF!</v>
      </c>
      <c r="U25" t="e">
        <f>AND(Liste!#REF!,"AAAAAF8/jxQ=")</f>
        <v>#REF!</v>
      </c>
      <c r="V25" t="e">
        <f>AND(Liste!#REF!,"AAAAAF8/jxU=")</f>
        <v>#REF!</v>
      </c>
      <c r="W25" t="e">
        <f>AND(Liste!#REF!,"AAAAAF8/jxY=")</f>
        <v>#REF!</v>
      </c>
      <c r="X25" t="e">
        <f>AND(Liste!#REF!,"AAAAAF8/jxc=")</f>
        <v>#REF!</v>
      </c>
      <c r="Y25" t="e">
        <f>AND(Liste!#REF!,"AAAAAF8/jxg=")</f>
        <v>#REF!</v>
      </c>
      <c r="Z25">
        <f>IF(Liste!191:191,"AAAAAF8/jxk=",0)</f>
        <v>0</v>
      </c>
      <c r="AA25" t="b">
        <f>AND(Liste!A247,"AAAAAF8/jxo=")</f>
        <v>1</v>
      </c>
      <c r="AB25" t="e">
        <f>AND(Liste!#REF!,"AAAAAF8/jxs=")</f>
        <v>#REF!</v>
      </c>
      <c r="AC25" t="e">
        <f>AND(Liste!#REF!,"AAAAAF8/jxw=")</f>
        <v>#REF!</v>
      </c>
      <c r="AD25" t="e">
        <f>AND(Liste!#REF!,"AAAAAF8/jx0=")</f>
        <v>#REF!</v>
      </c>
      <c r="AE25" t="e">
        <f>AND(Liste!F247,"AAAAAF8/jx4=")</f>
        <v>#VALUE!</v>
      </c>
      <c r="AF25" t="e">
        <f>AND(Liste!G247,"AAAAAF8/jx8=")</f>
        <v>#VALUE!</v>
      </c>
      <c r="AG25" t="e">
        <f>AND(Liste!H247,"AAAAAF8/jyA=")</f>
        <v>#VALUE!</v>
      </c>
      <c r="AH25" t="e">
        <f>AND(Liste!I247,"AAAAAF8/jyE=")</f>
        <v>#VALUE!</v>
      </c>
      <c r="AI25" t="e">
        <f>AND(Liste!J247,"AAAAAF8/jyI=")</f>
        <v>#VALUE!</v>
      </c>
      <c r="AJ25" t="e">
        <f>AND(Liste!#REF!,"AAAAAF8/jyM=")</f>
        <v>#REF!</v>
      </c>
      <c r="AK25" t="e">
        <f>AND(Liste!#REF!,"AAAAAF8/jyQ=")</f>
        <v>#REF!</v>
      </c>
      <c r="AL25" t="e">
        <f>AND(Liste!#REF!,"AAAAAF8/jyU=")</f>
        <v>#REF!</v>
      </c>
      <c r="AM25" t="e">
        <f>AND(Liste!#REF!,"AAAAAF8/jyY=")</f>
        <v>#REF!</v>
      </c>
      <c r="AN25" t="e">
        <f>AND(Liste!#REF!,"AAAAAF8/jyc=")</f>
        <v>#REF!</v>
      </c>
      <c r="AO25" t="e">
        <f>AND(Liste!#REF!,"AAAAAF8/jyg=")</f>
        <v>#REF!</v>
      </c>
      <c r="AP25" t="e">
        <f>AND(Liste!#REF!,"AAAAAF8/jyk=")</f>
        <v>#REF!</v>
      </c>
      <c r="AQ25" t="e">
        <f>AND(Liste!#REF!,"AAAAAF8/jyo=")</f>
        <v>#REF!</v>
      </c>
      <c r="AR25" t="e">
        <f>AND(Liste!#REF!,"AAAAAF8/jys=")</f>
        <v>#REF!</v>
      </c>
      <c r="AS25" t="e">
        <f>AND(Liste!#REF!,"AAAAAF8/jyw=")</f>
        <v>#REF!</v>
      </c>
      <c r="AT25" t="e">
        <f>AND(Liste!#REF!,"AAAAAF8/jy0=")</f>
        <v>#REF!</v>
      </c>
      <c r="AU25" t="e">
        <f>AND(Liste!#REF!,"AAAAAF8/jy4=")</f>
        <v>#REF!</v>
      </c>
      <c r="AV25" t="e">
        <f>AND(Liste!#REF!,"AAAAAF8/jy8=")</f>
        <v>#REF!</v>
      </c>
      <c r="AW25" t="e">
        <f>AND(Liste!#REF!,"AAAAAF8/jzA=")</f>
        <v>#REF!</v>
      </c>
      <c r="AX25" t="e">
        <f>AND(Liste!#REF!,"AAAAAF8/jzE=")</f>
        <v>#REF!</v>
      </c>
      <c r="AY25" t="e">
        <f>AND(Liste!#REF!,"AAAAAF8/jzI=")</f>
        <v>#REF!</v>
      </c>
      <c r="AZ25" t="e">
        <f>AND(Liste!#REF!,"AAAAAF8/jzM=")</f>
        <v>#REF!</v>
      </c>
      <c r="BA25" t="e">
        <f>AND(Liste!#REF!,"AAAAAF8/jzQ=")</f>
        <v>#REF!</v>
      </c>
      <c r="BB25" t="e">
        <f>AND(Liste!#REF!,"AAAAAF8/jzU=")</f>
        <v>#REF!</v>
      </c>
      <c r="BC25" t="e">
        <f>AND(Liste!#REF!,"AAAAAF8/jzY=")</f>
        <v>#REF!</v>
      </c>
      <c r="BD25" t="e">
        <f>AND(Liste!#REF!,"AAAAAF8/jzc=")</f>
        <v>#REF!</v>
      </c>
      <c r="BE25">
        <f>IF(Liste!192:192,"AAAAAF8/jzg=",0)</f>
        <v>0</v>
      </c>
      <c r="BF25" t="b">
        <f>AND(Liste!A248,"AAAAAF8/jzk=")</f>
        <v>1</v>
      </c>
      <c r="BG25" t="e">
        <f>AND(Liste!#REF!,"AAAAAF8/jzo=")</f>
        <v>#REF!</v>
      </c>
      <c r="BH25" t="e">
        <f>AND(Liste!#REF!,"AAAAAF8/jzs=")</f>
        <v>#REF!</v>
      </c>
      <c r="BI25" t="e">
        <f>AND(Liste!#REF!,"AAAAAF8/jzw=")</f>
        <v>#REF!</v>
      </c>
      <c r="BJ25" t="e">
        <f>AND(Liste!F248,"AAAAAF8/jz0=")</f>
        <v>#VALUE!</v>
      </c>
      <c r="BK25" t="e">
        <f>AND(Liste!G248,"AAAAAF8/jz4=")</f>
        <v>#VALUE!</v>
      </c>
      <c r="BL25" t="e">
        <f>AND(Liste!H248,"AAAAAF8/jz8=")</f>
        <v>#VALUE!</v>
      </c>
      <c r="BM25" t="e">
        <f>AND(Liste!I248,"AAAAAF8/j0A=")</f>
        <v>#VALUE!</v>
      </c>
      <c r="BN25" t="e">
        <f>AND(Liste!J248,"AAAAAF8/j0E=")</f>
        <v>#VALUE!</v>
      </c>
      <c r="BO25" t="e">
        <f>AND(Liste!#REF!,"AAAAAF8/j0I=")</f>
        <v>#REF!</v>
      </c>
      <c r="BP25" t="e">
        <f>AND(Liste!#REF!,"AAAAAF8/j0M=")</f>
        <v>#REF!</v>
      </c>
      <c r="BQ25" t="e">
        <f>AND(Liste!#REF!,"AAAAAF8/j0Q=")</f>
        <v>#REF!</v>
      </c>
      <c r="BR25" t="e">
        <f>AND(Liste!#REF!,"AAAAAF8/j0U=")</f>
        <v>#REF!</v>
      </c>
      <c r="BS25" t="e">
        <f>AND(Liste!#REF!,"AAAAAF8/j0Y=")</f>
        <v>#REF!</v>
      </c>
      <c r="BT25" t="e">
        <f>AND(Liste!#REF!,"AAAAAF8/j0c=")</f>
        <v>#REF!</v>
      </c>
      <c r="BU25" t="e">
        <f>AND(Liste!#REF!,"AAAAAF8/j0g=")</f>
        <v>#REF!</v>
      </c>
      <c r="BV25" t="e">
        <f>AND(Liste!#REF!,"AAAAAF8/j0k=")</f>
        <v>#REF!</v>
      </c>
      <c r="BW25" t="e">
        <f>AND(Liste!#REF!,"AAAAAF8/j0o=")</f>
        <v>#REF!</v>
      </c>
      <c r="BX25" t="e">
        <f>AND(Liste!#REF!,"AAAAAF8/j0s=")</f>
        <v>#REF!</v>
      </c>
      <c r="BY25" t="e">
        <f>AND(Liste!#REF!,"AAAAAF8/j0w=")</f>
        <v>#REF!</v>
      </c>
      <c r="BZ25" t="e">
        <f>AND(Liste!#REF!,"AAAAAF8/j00=")</f>
        <v>#REF!</v>
      </c>
      <c r="CA25" t="e">
        <f>AND(Liste!#REF!,"AAAAAF8/j04=")</f>
        <v>#REF!</v>
      </c>
      <c r="CB25" t="e">
        <f>AND(Liste!#REF!,"AAAAAF8/j08=")</f>
        <v>#REF!</v>
      </c>
      <c r="CC25" t="e">
        <f>AND(Liste!#REF!,"AAAAAF8/j1A=")</f>
        <v>#REF!</v>
      </c>
      <c r="CD25" t="e">
        <f>AND(Liste!#REF!,"AAAAAF8/j1E=")</f>
        <v>#REF!</v>
      </c>
      <c r="CE25" t="e">
        <f>AND(Liste!#REF!,"AAAAAF8/j1I=")</f>
        <v>#REF!</v>
      </c>
      <c r="CF25" t="e">
        <f>AND(Liste!#REF!,"AAAAAF8/j1M=")</f>
        <v>#REF!</v>
      </c>
      <c r="CG25" t="e">
        <f>AND(Liste!#REF!,"AAAAAF8/j1Q=")</f>
        <v>#REF!</v>
      </c>
      <c r="CH25" t="e">
        <f>AND(Liste!#REF!,"AAAAAF8/j1U=")</f>
        <v>#REF!</v>
      </c>
      <c r="CI25" t="e">
        <f>AND(Liste!#REF!,"AAAAAF8/j1Y=")</f>
        <v>#REF!</v>
      </c>
      <c r="CJ25">
        <f>IF(Liste!193:193,"AAAAAF8/j1c=",0)</f>
        <v>0</v>
      </c>
      <c r="CK25" t="b">
        <f>AND(Liste!A249,"AAAAAF8/j1g=")</f>
        <v>1</v>
      </c>
      <c r="CL25" t="e">
        <f>AND(Liste!#REF!,"AAAAAF8/j1k=")</f>
        <v>#REF!</v>
      </c>
      <c r="CM25" t="e">
        <f>AND(Liste!#REF!,"AAAAAF8/j1o=")</f>
        <v>#REF!</v>
      </c>
      <c r="CN25" t="e">
        <f>AND(Liste!#REF!,"AAAAAF8/j1s=")</f>
        <v>#REF!</v>
      </c>
      <c r="CO25" t="e">
        <f>AND(Liste!F249,"AAAAAF8/j1w=")</f>
        <v>#VALUE!</v>
      </c>
      <c r="CP25" t="e">
        <f>AND(Liste!G249,"AAAAAF8/j10=")</f>
        <v>#VALUE!</v>
      </c>
      <c r="CQ25" t="e">
        <f>AND(Liste!H249,"AAAAAF8/j14=")</f>
        <v>#VALUE!</v>
      </c>
      <c r="CR25" t="e">
        <f>AND(Liste!I249,"AAAAAF8/j18=")</f>
        <v>#VALUE!</v>
      </c>
      <c r="CS25" t="e">
        <f>AND(Liste!J249,"AAAAAF8/j2A=")</f>
        <v>#VALUE!</v>
      </c>
      <c r="CT25" t="e">
        <f>AND(Liste!#REF!,"AAAAAF8/j2E=")</f>
        <v>#REF!</v>
      </c>
      <c r="CU25" t="e">
        <f>AND(Liste!#REF!,"AAAAAF8/j2I=")</f>
        <v>#REF!</v>
      </c>
      <c r="CV25" t="e">
        <f>AND(Liste!#REF!,"AAAAAF8/j2M=")</f>
        <v>#REF!</v>
      </c>
      <c r="CW25" t="e">
        <f>AND(Liste!#REF!,"AAAAAF8/j2Q=")</f>
        <v>#REF!</v>
      </c>
      <c r="CX25" t="e">
        <f>AND(Liste!#REF!,"AAAAAF8/j2U=")</f>
        <v>#REF!</v>
      </c>
      <c r="CY25" t="e">
        <f>AND(Liste!#REF!,"AAAAAF8/j2Y=")</f>
        <v>#REF!</v>
      </c>
      <c r="CZ25" t="e">
        <f>AND(Liste!#REF!,"AAAAAF8/j2c=")</f>
        <v>#REF!</v>
      </c>
      <c r="DA25" t="e">
        <f>AND(Liste!#REF!,"AAAAAF8/j2g=")</f>
        <v>#REF!</v>
      </c>
      <c r="DB25" t="e">
        <f>AND(Liste!#REF!,"AAAAAF8/j2k=")</f>
        <v>#REF!</v>
      </c>
      <c r="DC25" t="e">
        <f>AND(Liste!#REF!,"AAAAAF8/j2o=")</f>
        <v>#REF!</v>
      </c>
      <c r="DD25" t="e">
        <f>AND(Liste!#REF!,"AAAAAF8/j2s=")</f>
        <v>#REF!</v>
      </c>
      <c r="DE25" t="e">
        <f>AND(Liste!#REF!,"AAAAAF8/j2w=")</f>
        <v>#REF!</v>
      </c>
      <c r="DF25" t="e">
        <f>AND(Liste!#REF!,"AAAAAF8/j20=")</f>
        <v>#REF!</v>
      </c>
      <c r="DG25" t="e">
        <f>AND(Liste!#REF!,"AAAAAF8/j24=")</f>
        <v>#REF!</v>
      </c>
      <c r="DH25" t="e">
        <f>AND(Liste!#REF!,"AAAAAF8/j28=")</f>
        <v>#REF!</v>
      </c>
      <c r="DI25" t="e">
        <f>AND(Liste!#REF!,"AAAAAF8/j3A=")</f>
        <v>#REF!</v>
      </c>
      <c r="DJ25" t="e">
        <f>AND(Liste!#REF!,"AAAAAF8/j3E=")</f>
        <v>#REF!</v>
      </c>
      <c r="DK25" t="e">
        <f>AND(Liste!#REF!,"AAAAAF8/j3I=")</f>
        <v>#REF!</v>
      </c>
      <c r="DL25" t="e">
        <f>AND(Liste!#REF!,"AAAAAF8/j3M=")</f>
        <v>#REF!</v>
      </c>
      <c r="DM25" t="e">
        <f>AND(Liste!#REF!,"AAAAAF8/j3Q=")</f>
        <v>#REF!</v>
      </c>
      <c r="DN25" t="e">
        <f>AND(Liste!#REF!,"AAAAAF8/j3U=")</f>
        <v>#REF!</v>
      </c>
      <c r="DO25" t="e">
        <f>IF(Liste!#REF!,"AAAAAF8/j3Y=",0)</f>
        <v>#REF!</v>
      </c>
      <c r="DP25" t="e">
        <f>AND(Liste!#REF!,"AAAAAF8/j3c=")</f>
        <v>#REF!</v>
      </c>
      <c r="DQ25" t="e">
        <f>AND(Liste!#REF!,"AAAAAF8/j3g=")</f>
        <v>#REF!</v>
      </c>
      <c r="DR25" t="e">
        <f>AND(Liste!#REF!,"AAAAAF8/j3k=")</f>
        <v>#REF!</v>
      </c>
      <c r="DS25" t="e">
        <f>AND(Liste!#REF!,"AAAAAF8/j3o=")</f>
        <v>#REF!</v>
      </c>
      <c r="DT25" t="e">
        <f>AND(Liste!#REF!,"AAAAAF8/j3s=")</f>
        <v>#REF!</v>
      </c>
      <c r="DU25" t="e">
        <f>AND(Liste!#REF!,"AAAAAF8/j3w=")</f>
        <v>#REF!</v>
      </c>
      <c r="DV25" t="e">
        <f>AND(Liste!#REF!,"AAAAAF8/j30=")</f>
        <v>#REF!</v>
      </c>
      <c r="DW25" t="e">
        <f>AND(Liste!#REF!,"AAAAAF8/j34=")</f>
        <v>#REF!</v>
      </c>
      <c r="DX25" t="e">
        <f>AND(Liste!#REF!,"AAAAAF8/j38=")</f>
        <v>#REF!</v>
      </c>
      <c r="DY25" t="e">
        <f>AND(Liste!#REF!,"AAAAAF8/j4A=")</f>
        <v>#REF!</v>
      </c>
      <c r="DZ25" t="e">
        <f>AND(Liste!#REF!,"AAAAAF8/j4E=")</f>
        <v>#REF!</v>
      </c>
      <c r="EA25" t="e">
        <f>AND(Liste!#REF!,"AAAAAF8/j4I=")</f>
        <v>#REF!</v>
      </c>
      <c r="EB25" t="e">
        <f>AND(Liste!#REF!,"AAAAAF8/j4M=")</f>
        <v>#REF!</v>
      </c>
      <c r="EC25" t="e">
        <f>AND(Liste!#REF!,"AAAAAF8/j4Q=")</f>
        <v>#REF!</v>
      </c>
      <c r="ED25" t="e">
        <f>AND(Liste!#REF!,"AAAAAF8/j4U=")</f>
        <v>#REF!</v>
      </c>
      <c r="EE25" t="e">
        <f>AND(Liste!#REF!,"AAAAAF8/j4Y=")</f>
        <v>#REF!</v>
      </c>
      <c r="EF25" t="e">
        <f>AND(Liste!#REF!,"AAAAAF8/j4c=")</f>
        <v>#REF!</v>
      </c>
      <c r="EG25" t="e">
        <f>AND(Liste!#REF!,"AAAAAF8/j4g=")</f>
        <v>#REF!</v>
      </c>
      <c r="EH25" t="e">
        <f>AND(Liste!#REF!,"AAAAAF8/j4k=")</f>
        <v>#REF!</v>
      </c>
      <c r="EI25" t="e">
        <f>AND(Liste!#REF!,"AAAAAF8/j4o=")</f>
        <v>#REF!</v>
      </c>
      <c r="EJ25" t="e">
        <f>AND(Liste!#REF!,"AAAAAF8/j4s=")</f>
        <v>#REF!</v>
      </c>
      <c r="EK25" t="e">
        <f>AND(Liste!#REF!,"AAAAAF8/j4w=")</f>
        <v>#REF!</v>
      </c>
      <c r="EL25" t="e">
        <f>AND(Liste!#REF!,"AAAAAF8/j40=")</f>
        <v>#REF!</v>
      </c>
      <c r="EM25" t="e">
        <f>AND(Liste!#REF!,"AAAAAF8/j44=")</f>
        <v>#REF!</v>
      </c>
      <c r="EN25" t="e">
        <f>AND(Liste!#REF!,"AAAAAF8/j48=")</f>
        <v>#REF!</v>
      </c>
      <c r="EO25" t="e">
        <f>AND(Liste!#REF!,"AAAAAF8/j5A=")</f>
        <v>#REF!</v>
      </c>
      <c r="EP25" t="e">
        <f>AND(Liste!#REF!,"AAAAAF8/j5E=")</f>
        <v>#REF!</v>
      </c>
      <c r="EQ25" t="e">
        <f>AND(Liste!#REF!,"AAAAAF8/j5I=")</f>
        <v>#REF!</v>
      </c>
      <c r="ER25" t="e">
        <f>AND(Liste!#REF!,"AAAAAF8/j5M=")</f>
        <v>#REF!</v>
      </c>
      <c r="ES25" t="e">
        <f>AND(Liste!#REF!,"AAAAAF8/j5Q=")</f>
        <v>#REF!</v>
      </c>
      <c r="ET25" t="e">
        <f>IF(Liste!#REF!,"AAAAAF8/j5U=",0)</f>
        <v>#REF!</v>
      </c>
      <c r="EU25" t="e">
        <f>AND(Liste!#REF!,"AAAAAF8/j5Y=")</f>
        <v>#REF!</v>
      </c>
      <c r="EV25" t="e">
        <f>AND(Liste!#REF!,"AAAAAF8/j5c=")</f>
        <v>#REF!</v>
      </c>
      <c r="EW25" t="e">
        <f>AND(Liste!#REF!,"AAAAAF8/j5g=")</f>
        <v>#REF!</v>
      </c>
      <c r="EX25" t="e">
        <f>AND(Liste!#REF!,"AAAAAF8/j5k=")</f>
        <v>#REF!</v>
      </c>
      <c r="EY25" t="e">
        <f>AND(Liste!#REF!,"AAAAAF8/j5o=")</f>
        <v>#REF!</v>
      </c>
      <c r="EZ25" t="e">
        <f>AND(Liste!#REF!,"AAAAAF8/j5s=")</f>
        <v>#REF!</v>
      </c>
      <c r="FA25" t="e">
        <f>AND(Liste!#REF!,"AAAAAF8/j5w=")</f>
        <v>#REF!</v>
      </c>
      <c r="FB25" t="e">
        <f>AND(Liste!#REF!,"AAAAAF8/j50=")</f>
        <v>#REF!</v>
      </c>
      <c r="FC25" t="e">
        <f>AND(Liste!#REF!,"AAAAAF8/j54=")</f>
        <v>#REF!</v>
      </c>
      <c r="FD25" t="e">
        <f>AND(Liste!#REF!,"AAAAAF8/j58=")</f>
        <v>#REF!</v>
      </c>
      <c r="FE25" t="e">
        <f>AND(Liste!#REF!,"AAAAAF8/j6A=")</f>
        <v>#REF!</v>
      </c>
      <c r="FF25" t="e">
        <f>AND(Liste!#REF!,"AAAAAF8/j6E=")</f>
        <v>#REF!</v>
      </c>
      <c r="FG25" t="e">
        <f>AND(Liste!#REF!,"AAAAAF8/j6I=")</f>
        <v>#REF!</v>
      </c>
      <c r="FH25" t="e">
        <f>AND(Liste!#REF!,"AAAAAF8/j6M=")</f>
        <v>#REF!</v>
      </c>
      <c r="FI25" t="e">
        <f>AND(Liste!#REF!,"AAAAAF8/j6Q=")</f>
        <v>#REF!</v>
      </c>
      <c r="FJ25" t="e">
        <f>AND(Liste!#REF!,"AAAAAF8/j6U=")</f>
        <v>#REF!</v>
      </c>
      <c r="FK25" t="e">
        <f>AND(Liste!#REF!,"AAAAAF8/j6Y=")</f>
        <v>#REF!</v>
      </c>
      <c r="FL25" t="e">
        <f>AND(Liste!#REF!,"AAAAAF8/j6c=")</f>
        <v>#REF!</v>
      </c>
      <c r="FM25" t="e">
        <f>AND(Liste!#REF!,"AAAAAF8/j6g=")</f>
        <v>#REF!</v>
      </c>
      <c r="FN25" t="e">
        <f>AND(Liste!#REF!,"AAAAAF8/j6k=")</f>
        <v>#REF!</v>
      </c>
      <c r="FO25" t="e">
        <f>AND(Liste!#REF!,"AAAAAF8/j6o=")</f>
        <v>#REF!</v>
      </c>
      <c r="FP25" t="e">
        <f>AND(Liste!#REF!,"AAAAAF8/j6s=")</f>
        <v>#REF!</v>
      </c>
      <c r="FQ25" t="e">
        <f>AND(Liste!#REF!,"AAAAAF8/j6w=")</f>
        <v>#REF!</v>
      </c>
      <c r="FR25" t="e">
        <f>AND(Liste!#REF!,"AAAAAF8/j60=")</f>
        <v>#REF!</v>
      </c>
      <c r="FS25" t="e">
        <f>AND(Liste!#REF!,"AAAAAF8/j64=")</f>
        <v>#REF!</v>
      </c>
      <c r="FT25" t="e">
        <f>AND(Liste!#REF!,"AAAAAF8/j68=")</f>
        <v>#REF!</v>
      </c>
      <c r="FU25" t="e">
        <f>AND(Liste!#REF!,"AAAAAF8/j7A=")</f>
        <v>#REF!</v>
      </c>
      <c r="FV25" t="e">
        <f>AND(Liste!#REF!,"AAAAAF8/j7E=")</f>
        <v>#REF!</v>
      </c>
      <c r="FW25" t="e">
        <f>AND(Liste!#REF!,"AAAAAF8/j7I=")</f>
        <v>#REF!</v>
      </c>
      <c r="FX25" t="e">
        <f>AND(Liste!#REF!,"AAAAAF8/j7M=")</f>
        <v>#REF!</v>
      </c>
      <c r="FY25" t="e">
        <f>IF(Liste!#REF!,"AAAAAF8/j7Q=",0)</f>
        <v>#REF!</v>
      </c>
      <c r="FZ25" t="e">
        <f>AND(Liste!#REF!,"AAAAAF8/j7U=")</f>
        <v>#REF!</v>
      </c>
      <c r="GA25" t="e">
        <f>AND(Liste!#REF!,"AAAAAF8/j7Y=")</f>
        <v>#REF!</v>
      </c>
      <c r="GB25" t="e">
        <f>AND(Liste!#REF!,"AAAAAF8/j7c=")</f>
        <v>#REF!</v>
      </c>
      <c r="GC25" t="e">
        <f>AND(Liste!#REF!,"AAAAAF8/j7g=")</f>
        <v>#REF!</v>
      </c>
      <c r="GD25" t="e">
        <f>AND(Liste!#REF!,"AAAAAF8/j7k=")</f>
        <v>#REF!</v>
      </c>
      <c r="GE25" t="e">
        <f>AND(Liste!#REF!,"AAAAAF8/j7o=")</f>
        <v>#REF!</v>
      </c>
      <c r="GF25" t="e">
        <f>AND(Liste!#REF!,"AAAAAF8/j7s=")</f>
        <v>#REF!</v>
      </c>
      <c r="GG25" t="e">
        <f>AND(Liste!#REF!,"AAAAAF8/j7w=")</f>
        <v>#REF!</v>
      </c>
      <c r="GH25" t="e">
        <f>AND(Liste!#REF!,"AAAAAF8/j70=")</f>
        <v>#REF!</v>
      </c>
      <c r="GI25" t="e">
        <f>AND(Liste!#REF!,"AAAAAF8/j74=")</f>
        <v>#REF!</v>
      </c>
      <c r="GJ25" t="e">
        <f>AND(Liste!#REF!,"AAAAAF8/j78=")</f>
        <v>#REF!</v>
      </c>
      <c r="GK25" t="e">
        <f>AND(Liste!#REF!,"AAAAAF8/j8A=")</f>
        <v>#REF!</v>
      </c>
      <c r="GL25" t="e">
        <f>AND(Liste!#REF!,"AAAAAF8/j8E=")</f>
        <v>#REF!</v>
      </c>
      <c r="GM25" t="e">
        <f>AND(Liste!#REF!,"AAAAAF8/j8I=")</f>
        <v>#REF!</v>
      </c>
      <c r="GN25" t="e">
        <f>AND(Liste!#REF!,"AAAAAF8/j8M=")</f>
        <v>#REF!</v>
      </c>
      <c r="GO25" t="e">
        <f>AND(Liste!#REF!,"AAAAAF8/j8Q=")</f>
        <v>#REF!</v>
      </c>
      <c r="GP25" t="e">
        <f>AND(Liste!#REF!,"AAAAAF8/j8U=")</f>
        <v>#REF!</v>
      </c>
      <c r="GQ25" t="e">
        <f>AND(Liste!#REF!,"AAAAAF8/j8Y=")</f>
        <v>#REF!</v>
      </c>
      <c r="GR25" t="e">
        <f>AND(Liste!#REF!,"AAAAAF8/j8c=")</f>
        <v>#REF!</v>
      </c>
      <c r="GS25" t="e">
        <f>AND(Liste!#REF!,"AAAAAF8/j8g=")</f>
        <v>#REF!</v>
      </c>
      <c r="GT25" t="e">
        <f>AND(Liste!#REF!,"AAAAAF8/j8k=")</f>
        <v>#REF!</v>
      </c>
      <c r="GU25" t="e">
        <f>AND(Liste!#REF!,"AAAAAF8/j8o=")</f>
        <v>#REF!</v>
      </c>
      <c r="GV25" t="e">
        <f>AND(Liste!#REF!,"AAAAAF8/j8s=")</f>
        <v>#REF!</v>
      </c>
      <c r="GW25" t="e">
        <f>AND(Liste!#REF!,"AAAAAF8/j8w=")</f>
        <v>#REF!</v>
      </c>
      <c r="GX25" t="e">
        <f>AND(Liste!#REF!,"AAAAAF8/j80=")</f>
        <v>#REF!</v>
      </c>
      <c r="GY25" t="e">
        <f>AND(Liste!#REF!,"AAAAAF8/j84=")</f>
        <v>#REF!</v>
      </c>
      <c r="GZ25" t="e">
        <f>AND(Liste!#REF!,"AAAAAF8/j88=")</f>
        <v>#REF!</v>
      </c>
      <c r="HA25" t="e">
        <f>AND(Liste!#REF!,"AAAAAF8/j9A=")</f>
        <v>#REF!</v>
      </c>
      <c r="HB25" t="e">
        <f>AND(Liste!#REF!,"AAAAAF8/j9E=")</f>
        <v>#REF!</v>
      </c>
      <c r="HC25" t="e">
        <f>AND(Liste!#REF!,"AAAAAF8/j9I=")</f>
        <v>#REF!</v>
      </c>
      <c r="HD25" t="e">
        <f>IF(Liste!#REF!,"AAAAAF8/j9M=",0)</f>
        <v>#REF!</v>
      </c>
      <c r="HE25" t="e">
        <f>AND(Liste!#REF!,"AAAAAF8/j9Q=")</f>
        <v>#REF!</v>
      </c>
      <c r="HF25" t="e">
        <f>AND(Liste!#REF!,"AAAAAF8/j9U=")</f>
        <v>#REF!</v>
      </c>
      <c r="HG25" t="e">
        <f>AND(Liste!#REF!,"AAAAAF8/j9Y=")</f>
        <v>#REF!</v>
      </c>
      <c r="HH25" t="e">
        <f>AND(Liste!#REF!,"AAAAAF8/j9c=")</f>
        <v>#REF!</v>
      </c>
      <c r="HI25" t="e">
        <f>AND(Liste!#REF!,"AAAAAF8/j9g=")</f>
        <v>#REF!</v>
      </c>
      <c r="HJ25" t="e">
        <f>AND(Liste!#REF!,"AAAAAF8/j9k=")</f>
        <v>#REF!</v>
      </c>
      <c r="HK25" t="e">
        <f>AND(Liste!#REF!,"AAAAAF8/j9o=")</f>
        <v>#REF!</v>
      </c>
      <c r="HL25" t="e">
        <f>AND(Liste!#REF!,"AAAAAF8/j9s=")</f>
        <v>#REF!</v>
      </c>
      <c r="HM25" t="e">
        <f>AND(Liste!#REF!,"AAAAAF8/j9w=")</f>
        <v>#REF!</v>
      </c>
      <c r="HN25" t="e">
        <f>AND(Liste!#REF!,"AAAAAF8/j90=")</f>
        <v>#REF!</v>
      </c>
      <c r="HO25" t="e">
        <f>AND(Liste!#REF!,"AAAAAF8/j94=")</f>
        <v>#REF!</v>
      </c>
      <c r="HP25" t="e">
        <f>AND(Liste!#REF!,"AAAAAF8/j98=")</f>
        <v>#REF!</v>
      </c>
      <c r="HQ25" t="e">
        <f>AND(Liste!#REF!,"AAAAAF8/j+A=")</f>
        <v>#REF!</v>
      </c>
      <c r="HR25" t="e">
        <f>AND(Liste!#REF!,"AAAAAF8/j+E=")</f>
        <v>#REF!</v>
      </c>
      <c r="HS25" t="e">
        <f>AND(Liste!#REF!,"AAAAAF8/j+I=")</f>
        <v>#REF!</v>
      </c>
      <c r="HT25" t="e">
        <f>AND(Liste!#REF!,"AAAAAF8/j+M=")</f>
        <v>#REF!</v>
      </c>
      <c r="HU25" t="e">
        <f>AND(Liste!#REF!,"AAAAAF8/j+Q=")</f>
        <v>#REF!</v>
      </c>
      <c r="HV25" t="e">
        <f>AND(Liste!#REF!,"AAAAAF8/j+U=")</f>
        <v>#REF!</v>
      </c>
      <c r="HW25" t="e">
        <f>AND(Liste!#REF!,"AAAAAF8/j+Y=")</f>
        <v>#REF!</v>
      </c>
      <c r="HX25" t="e">
        <f>AND(Liste!#REF!,"AAAAAF8/j+c=")</f>
        <v>#REF!</v>
      </c>
      <c r="HY25" t="e">
        <f>AND(Liste!#REF!,"AAAAAF8/j+g=")</f>
        <v>#REF!</v>
      </c>
      <c r="HZ25" t="e">
        <f>AND(Liste!#REF!,"AAAAAF8/j+k=")</f>
        <v>#REF!</v>
      </c>
      <c r="IA25" t="e">
        <f>AND(Liste!#REF!,"AAAAAF8/j+o=")</f>
        <v>#REF!</v>
      </c>
      <c r="IB25" t="e">
        <f>AND(Liste!#REF!,"AAAAAF8/j+s=")</f>
        <v>#REF!</v>
      </c>
      <c r="IC25" t="e">
        <f>AND(Liste!#REF!,"AAAAAF8/j+w=")</f>
        <v>#REF!</v>
      </c>
      <c r="ID25" t="e">
        <f>AND(Liste!#REF!,"AAAAAF8/j+0=")</f>
        <v>#REF!</v>
      </c>
      <c r="IE25" t="e">
        <f>AND(Liste!#REF!,"AAAAAF8/j+4=")</f>
        <v>#REF!</v>
      </c>
      <c r="IF25" t="e">
        <f>AND(Liste!#REF!,"AAAAAF8/j+8=")</f>
        <v>#REF!</v>
      </c>
      <c r="IG25" t="e">
        <f>AND(Liste!#REF!,"AAAAAF8/j/A=")</f>
        <v>#REF!</v>
      </c>
      <c r="IH25" t="e">
        <f>AND(Liste!#REF!,"AAAAAF8/j/E=")</f>
        <v>#REF!</v>
      </c>
      <c r="II25" t="e">
        <f>IF(Liste!#REF!,"AAAAAF8/j/I=",0)</f>
        <v>#REF!</v>
      </c>
      <c r="IJ25" t="e">
        <f>AND(Liste!#REF!,"AAAAAF8/j/M=")</f>
        <v>#REF!</v>
      </c>
      <c r="IK25" t="e">
        <f>AND(Liste!#REF!,"AAAAAF8/j/Q=")</f>
        <v>#REF!</v>
      </c>
      <c r="IL25" t="e">
        <f>AND(Liste!#REF!,"AAAAAF8/j/U=")</f>
        <v>#REF!</v>
      </c>
      <c r="IM25" t="e">
        <f>AND(Liste!#REF!,"AAAAAF8/j/Y=")</f>
        <v>#REF!</v>
      </c>
      <c r="IN25" t="e">
        <f>AND(Liste!#REF!,"AAAAAF8/j/c=")</f>
        <v>#REF!</v>
      </c>
      <c r="IO25" t="e">
        <f>AND(Liste!#REF!,"AAAAAF8/j/g=")</f>
        <v>#REF!</v>
      </c>
      <c r="IP25" t="e">
        <f>AND(Liste!#REF!,"AAAAAF8/j/k=")</f>
        <v>#REF!</v>
      </c>
      <c r="IQ25" t="e">
        <f>AND(Liste!#REF!,"AAAAAF8/j/o=")</f>
        <v>#REF!</v>
      </c>
      <c r="IR25" t="e">
        <f>AND(Liste!#REF!,"AAAAAF8/j/s=")</f>
        <v>#REF!</v>
      </c>
      <c r="IS25" t="e">
        <f>AND(Liste!#REF!,"AAAAAF8/j/w=")</f>
        <v>#REF!</v>
      </c>
      <c r="IT25" t="e">
        <f>AND(Liste!#REF!,"AAAAAF8/j/0=")</f>
        <v>#REF!</v>
      </c>
      <c r="IU25" t="e">
        <f>AND(Liste!#REF!,"AAAAAF8/j/4=")</f>
        <v>#REF!</v>
      </c>
      <c r="IV25" t="e">
        <f>AND(Liste!#REF!,"AAAAAF8/j/8=")</f>
        <v>#REF!</v>
      </c>
    </row>
    <row r="26" spans="1:256" x14ac:dyDescent="0.2">
      <c r="A26" t="e">
        <f>AND(Liste!#REF!,"AAAAAFc//wA=")</f>
        <v>#REF!</v>
      </c>
      <c r="B26" t="e">
        <f>AND(Liste!#REF!,"AAAAAFc//wE=")</f>
        <v>#REF!</v>
      </c>
      <c r="C26" t="e">
        <f>AND(Liste!#REF!,"AAAAAFc//wI=")</f>
        <v>#REF!</v>
      </c>
      <c r="D26" t="e">
        <f>AND(Liste!#REF!,"AAAAAFc//wM=")</f>
        <v>#REF!</v>
      </c>
      <c r="E26" t="e">
        <f>AND(Liste!#REF!,"AAAAAFc//wQ=")</f>
        <v>#REF!</v>
      </c>
      <c r="F26" t="e">
        <f>AND(Liste!#REF!,"AAAAAFc//wU=")</f>
        <v>#REF!</v>
      </c>
      <c r="G26" t="e">
        <f>AND(Liste!#REF!,"AAAAAFc//wY=")</f>
        <v>#REF!</v>
      </c>
      <c r="H26" t="e">
        <f>AND(Liste!#REF!,"AAAAAFc//wc=")</f>
        <v>#REF!</v>
      </c>
      <c r="I26" t="e">
        <f>AND(Liste!#REF!,"AAAAAFc//wg=")</f>
        <v>#REF!</v>
      </c>
      <c r="J26" t="e">
        <f>AND(Liste!#REF!,"AAAAAFc//wk=")</f>
        <v>#REF!</v>
      </c>
      <c r="K26" t="e">
        <f>AND(Liste!#REF!,"AAAAAFc//wo=")</f>
        <v>#REF!</v>
      </c>
      <c r="L26" t="e">
        <f>AND(Liste!#REF!,"AAAAAFc//ws=")</f>
        <v>#REF!</v>
      </c>
      <c r="M26" t="e">
        <f>AND(Liste!#REF!,"AAAAAFc//ww=")</f>
        <v>#REF!</v>
      </c>
      <c r="N26" t="e">
        <f>AND(Liste!#REF!,"AAAAAFc//w0=")</f>
        <v>#REF!</v>
      </c>
      <c r="O26" t="e">
        <f>AND(Liste!#REF!,"AAAAAFc//w4=")</f>
        <v>#REF!</v>
      </c>
      <c r="P26" t="e">
        <f>AND(Liste!#REF!,"AAAAAFc//w8=")</f>
        <v>#REF!</v>
      </c>
      <c r="Q26" t="e">
        <f>AND(Liste!#REF!,"AAAAAFc//xA=")</f>
        <v>#REF!</v>
      </c>
      <c r="R26" t="e">
        <f>IF(Liste!#REF!,"AAAAAFc//xE=",0)</f>
        <v>#REF!</v>
      </c>
      <c r="S26" t="e">
        <f>AND(Liste!#REF!,"AAAAAFc//xI=")</f>
        <v>#REF!</v>
      </c>
      <c r="T26" t="e">
        <f>AND(Liste!#REF!,"AAAAAFc//xM=")</f>
        <v>#REF!</v>
      </c>
      <c r="U26" t="e">
        <f>AND(Liste!#REF!,"AAAAAFc//xQ=")</f>
        <v>#REF!</v>
      </c>
      <c r="V26" t="e">
        <f>AND(Liste!#REF!,"AAAAAFc//xU=")</f>
        <v>#REF!</v>
      </c>
      <c r="W26" t="e">
        <f>AND(Liste!#REF!,"AAAAAFc//xY=")</f>
        <v>#REF!</v>
      </c>
      <c r="X26" t="e">
        <f>AND(Liste!#REF!,"AAAAAFc//xc=")</f>
        <v>#REF!</v>
      </c>
      <c r="Y26" t="e">
        <f>AND(Liste!#REF!,"AAAAAFc//xg=")</f>
        <v>#REF!</v>
      </c>
      <c r="Z26" t="e">
        <f>AND(Liste!#REF!,"AAAAAFc//xk=")</f>
        <v>#REF!</v>
      </c>
      <c r="AA26" t="e">
        <f>AND(Liste!#REF!,"AAAAAFc//xo=")</f>
        <v>#REF!</v>
      </c>
      <c r="AB26" t="e">
        <f>AND(Liste!#REF!,"AAAAAFc//xs=")</f>
        <v>#REF!</v>
      </c>
      <c r="AC26" t="e">
        <f>AND(Liste!#REF!,"AAAAAFc//xw=")</f>
        <v>#REF!</v>
      </c>
      <c r="AD26" t="e">
        <f>AND(Liste!#REF!,"AAAAAFc//x0=")</f>
        <v>#REF!</v>
      </c>
      <c r="AE26" t="e">
        <f>AND(Liste!#REF!,"AAAAAFc//x4=")</f>
        <v>#REF!</v>
      </c>
      <c r="AF26" t="e">
        <f>AND(Liste!#REF!,"AAAAAFc//x8=")</f>
        <v>#REF!</v>
      </c>
      <c r="AG26" t="e">
        <f>AND(Liste!#REF!,"AAAAAFc//yA=")</f>
        <v>#REF!</v>
      </c>
      <c r="AH26" t="e">
        <f>AND(Liste!#REF!,"AAAAAFc//yE=")</f>
        <v>#REF!</v>
      </c>
      <c r="AI26" t="e">
        <f>AND(Liste!#REF!,"AAAAAFc//yI=")</f>
        <v>#REF!</v>
      </c>
      <c r="AJ26" t="e">
        <f>AND(Liste!#REF!,"AAAAAFc//yM=")</f>
        <v>#REF!</v>
      </c>
      <c r="AK26" t="e">
        <f>AND(Liste!#REF!,"AAAAAFc//yQ=")</f>
        <v>#REF!</v>
      </c>
      <c r="AL26" t="e">
        <f>AND(Liste!#REF!,"AAAAAFc//yU=")</f>
        <v>#REF!</v>
      </c>
      <c r="AM26" t="e">
        <f>AND(Liste!#REF!,"AAAAAFc//yY=")</f>
        <v>#REF!</v>
      </c>
      <c r="AN26" t="e">
        <f>AND(Liste!#REF!,"AAAAAFc//yc=")</f>
        <v>#REF!</v>
      </c>
      <c r="AO26" t="e">
        <f>AND(Liste!#REF!,"AAAAAFc//yg=")</f>
        <v>#REF!</v>
      </c>
      <c r="AP26" t="e">
        <f>AND(Liste!#REF!,"AAAAAFc//yk=")</f>
        <v>#REF!</v>
      </c>
      <c r="AQ26" t="e">
        <f>AND(Liste!#REF!,"AAAAAFc//yo=")</f>
        <v>#REF!</v>
      </c>
      <c r="AR26" t="e">
        <f>AND(Liste!#REF!,"AAAAAFc//ys=")</f>
        <v>#REF!</v>
      </c>
      <c r="AS26" t="e">
        <f>AND(Liste!#REF!,"AAAAAFc//yw=")</f>
        <v>#REF!</v>
      </c>
      <c r="AT26" t="e">
        <f>AND(Liste!#REF!,"AAAAAFc//y0=")</f>
        <v>#REF!</v>
      </c>
      <c r="AU26" t="e">
        <f>AND(Liste!#REF!,"AAAAAFc//y4=")</f>
        <v>#REF!</v>
      </c>
      <c r="AV26" t="e">
        <f>AND(Liste!#REF!,"AAAAAFc//y8=")</f>
        <v>#REF!</v>
      </c>
      <c r="AW26" t="e">
        <f>IF(Liste!#REF!,"AAAAAFc//zA=",0)</f>
        <v>#REF!</v>
      </c>
      <c r="AX26" t="e">
        <f>AND(Liste!#REF!,"AAAAAFc//zE=")</f>
        <v>#REF!</v>
      </c>
      <c r="AY26" t="e">
        <f>AND(Liste!#REF!,"AAAAAFc//zI=")</f>
        <v>#REF!</v>
      </c>
      <c r="AZ26" t="e">
        <f>AND(Liste!#REF!,"AAAAAFc//zM=")</f>
        <v>#REF!</v>
      </c>
      <c r="BA26" t="e">
        <f>AND(Liste!#REF!,"AAAAAFc//zQ=")</f>
        <v>#REF!</v>
      </c>
      <c r="BB26" t="e">
        <f>AND(Liste!#REF!,"AAAAAFc//zU=")</f>
        <v>#REF!</v>
      </c>
      <c r="BC26" t="e">
        <f>AND(Liste!#REF!,"AAAAAFc//zY=")</f>
        <v>#REF!</v>
      </c>
      <c r="BD26" t="e">
        <f>AND(Liste!#REF!,"AAAAAFc//zc=")</f>
        <v>#REF!</v>
      </c>
      <c r="BE26" t="e">
        <f>AND(Liste!#REF!,"AAAAAFc//zg=")</f>
        <v>#REF!</v>
      </c>
      <c r="BF26" t="e">
        <f>AND(Liste!#REF!,"AAAAAFc//zk=")</f>
        <v>#REF!</v>
      </c>
      <c r="BG26" t="e">
        <f>AND(Liste!#REF!,"AAAAAFc//zo=")</f>
        <v>#REF!</v>
      </c>
      <c r="BH26" t="e">
        <f>AND(Liste!#REF!,"AAAAAFc//zs=")</f>
        <v>#REF!</v>
      </c>
      <c r="BI26" t="e">
        <f>AND(Liste!#REF!,"AAAAAFc//zw=")</f>
        <v>#REF!</v>
      </c>
      <c r="BJ26" t="e">
        <f>AND(Liste!#REF!,"AAAAAFc//z0=")</f>
        <v>#REF!</v>
      </c>
      <c r="BK26" t="e">
        <f>AND(Liste!#REF!,"AAAAAFc//z4=")</f>
        <v>#REF!</v>
      </c>
      <c r="BL26" t="e">
        <f>AND(Liste!#REF!,"AAAAAFc//z8=")</f>
        <v>#REF!</v>
      </c>
      <c r="BM26" t="e">
        <f>AND(Liste!#REF!,"AAAAAFc//0A=")</f>
        <v>#REF!</v>
      </c>
      <c r="BN26" t="e">
        <f>AND(Liste!#REF!,"AAAAAFc//0E=")</f>
        <v>#REF!</v>
      </c>
      <c r="BO26" t="e">
        <f>AND(Liste!#REF!,"AAAAAFc//0I=")</f>
        <v>#REF!</v>
      </c>
      <c r="BP26" t="e">
        <f>AND(Liste!#REF!,"AAAAAFc//0M=")</f>
        <v>#REF!</v>
      </c>
      <c r="BQ26" t="e">
        <f>AND(Liste!#REF!,"AAAAAFc//0Q=")</f>
        <v>#REF!</v>
      </c>
      <c r="BR26" t="e">
        <f>AND(Liste!#REF!,"AAAAAFc//0U=")</f>
        <v>#REF!</v>
      </c>
      <c r="BS26" t="e">
        <f>AND(Liste!#REF!,"AAAAAFc//0Y=")</f>
        <v>#REF!</v>
      </c>
      <c r="BT26" t="e">
        <f>AND(Liste!#REF!,"AAAAAFc//0c=")</f>
        <v>#REF!</v>
      </c>
      <c r="BU26" t="e">
        <f>AND(Liste!#REF!,"AAAAAFc//0g=")</f>
        <v>#REF!</v>
      </c>
      <c r="BV26" t="e">
        <f>AND(Liste!#REF!,"AAAAAFc//0k=")</f>
        <v>#REF!</v>
      </c>
      <c r="BW26" t="e">
        <f>AND(Liste!#REF!,"AAAAAFc//0o=")</f>
        <v>#REF!</v>
      </c>
      <c r="BX26" t="e">
        <f>AND(Liste!#REF!,"AAAAAFc//0s=")</f>
        <v>#REF!</v>
      </c>
      <c r="BY26" t="e">
        <f>AND(Liste!#REF!,"AAAAAFc//0w=")</f>
        <v>#REF!</v>
      </c>
      <c r="BZ26" t="e">
        <f>AND(Liste!#REF!,"AAAAAFc//00=")</f>
        <v>#REF!</v>
      </c>
      <c r="CA26" t="e">
        <f>AND(Liste!#REF!,"AAAAAFc//04=")</f>
        <v>#REF!</v>
      </c>
      <c r="CB26" t="e">
        <f>IF(Liste!#REF!,"AAAAAFc//08=",0)</f>
        <v>#REF!</v>
      </c>
      <c r="CC26" t="e">
        <f>AND(Liste!#REF!,"AAAAAFc//1A=")</f>
        <v>#REF!</v>
      </c>
      <c r="CD26" t="e">
        <f>AND(Liste!#REF!,"AAAAAFc//1E=")</f>
        <v>#REF!</v>
      </c>
      <c r="CE26" t="e">
        <f>AND(Liste!#REF!,"AAAAAFc//1I=")</f>
        <v>#REF!</v>
      </c>
      <c r="CF26" t="e">
        <f>AND(Liste!#REF!,"AAAAAFc//1M=")</f>
        <v>#REF!</v>
      </c>
      <c r="CG26" t="e">
        <f>AND(Liste!#REF!,"AAAAAFc//1Q=")</f>
        <v>#REF!</v>
      </c>
      <c r="CH26" t="e">
        <f>AND(Liste!#REF!,"AAAAAFc//1U=")</f>
        <v>#REF!</v>
      </c>
      <c r="CI26" t="e">
        <f>AND(Liste!#REF!,"AAAAAFc//1Y=")</f>
        <v>#REF!</v>
      </c>
      <c r="CJ26" t="e">
        <f>AND(Liste!#REF!,"AAAAAFc//1c=")</f>
        <v>#REF!</v>
      </c>
      <c r="CK26" t="e">
        <f>AND(Liste!#REF!,"AAAAAFc//1g=")</f>
        <v>#REF!</v>
      </c>
      <c r="CL26" t="e">
        <f>AND(Liste!#REF!,"AAAAAFc//1k=")</f>
        <v>#REF!</v>
      </c>
      <c r="CM26" t="e">
        <f>AND(Liste!#REF!,"AAAAAFc//1o=")</f>
        <v>#REF!</v>
      </c>
      <c r="CN26" t="e">
        <f>AND(Liste!#REF!,"AAAAAFc//1s=")</f>
        <v>#REF!</v>
      </c>
      <c r="CO26" t="e">
        <f>AND(Liste!#REF!,"AAAAAFc//1w=")</f>
        <v>#REF!</v>
      </c>
      <c r="CP26" t="e">
        <f>AND(Liste!#REF!,"AAAAAFc//10=")</f>
        <v>#REF!</v>
      </c>
      <c r="CQ26" t="e">
        <f>AND(Liste!#REF!,"AAAAAFc//14=")</f>
        <v>#REF!</v>
      </c>
      <c r="CR26" t="e">
        <f>AND(Liste!#REF!,"AAAAAFc//18=")</f>
        <v>#REF!</v>
      </c>
      <c r="CS26" t="e">
        <f>AND(Liste!#REF!,"AAAAAFc//2A=")</f>
        <v>#REF!</v>
      </c>
      <c r="CT26" t="e">
        <f>AND(Liste!#REF!,"AAAAAFc//2E=")</f>
        <v>#REF!</v>
      </c>
      <c r="CU26" t="e">
        <f>AND(Liste!#REF!,"AAAAAFc//2I=")</f>
        <v>#REF!</v>
      </c>
      <c r="CV26" t="e">
        <f>AND(Liste!#REF!,"AAAAAFc//2M=")</f>
        <v>#REF!</v>
      </c>
      <c r="CW26" t="e">
        <f>AND(Liste!#REF!,"AAAAAFc//2Q=")</f>
        <v>#REF!</v>
      </c>
      <c r="CX26" t="e">
        <f>AND(Liste!#REF!,"AAAAAFc//2U=")</f>
        <v>#REF!</v>
      </c>
      <c r="CY26" t="e">
        <f>AND(Liste!#REF!,"AAAAAFc//2Y=")</f>
        <v>#REF!</v>
      </c>
      <c r="CZ26" t="e">
        <f>AND(Liste!#REF!,"AAAAAFc//2c=")</f>
        <v>#REF!</v>
      </c>
      <c r="DA26" t="e">
        <f>AND(Liste!#REF!,"AAAAAFc//2g=")</f>
        <v>#REF!</v>
      </c>
      <c r="DB26" t="e">
        <f>AND(Liste!#REF!,"AAAAAFc//2k=")</f>
        <v>#REF!</v>
      </c>
      <c r="DC26" t="e">
        <f>AND(Liste!#REF!,"AAAAAFc//2o=")</f>
        <v>#REF!</v>
      </c>
      <c r="DD26" t="e">
        <f>AND(Liste!#REF!,"AAAAAFc//2s=")</f>
        <v>#REF!</v>
      </c>
      <c r="DE26" t="e">
        <f>AND(Liste!#REF!,"AAAAAFc//2w=")</f>
        <v>#REF!</v>
      </c>
      <c r="DF26" t="e">
        <f>AND(Liste!#REF!,"AAAAAFc//20=")</f>
        <v>#REF!</v>
      </c>
      <c r="DG26" t="e">
        <f>IF(Liste!#REF!,"AAAAAFc//24=",0)</f>
        <v>#REF!</v>
      </c>
      <c r="DH26" t="e">
        <f>AND(Liste!#REF!,"AAAAAFc//28=")</f>
        <v>#REF!</v>
      </c>
      <c r="DI26" t="e">
        <f>AND(Liste!#REF!,"AAAAAFc//3A=")</f>
        <v>#REF!</v>
      </c>
      <c r="DJ26" t="e">
        <f>AND(Liste!#REF!,"AAAAAFc//3E=")</f>
        <v>#REF!</v>
      </c>
      <c r="DK26" t="e">
        <f>AND(Liste!#REF!,"AAAAAFc//3I=")</f>
        <v>#REF!</v>
      </c>
      <c r="DL26" t="e">
        <f>AND(Liste!#REF!,"AAAAAFc//3M=")</f>
        <v>#REF!</v>
      </c>
      <c r="DM26" t="e">
        <f>AND(Liste!#REF!,"AAAAAFc//3Q=")</f>
        <v>#REF!</v>
      </c>
      <c r="DN26" t="e">
        <f>AND(Liste!#REF!,"AAAAAFc//3U=")</f>
        <v>#REF!</v>
      </c>
      <c r="DO26" t="e">
        <f>AND(Liste!#REF!,"AAAAAFc//3Y=")</f>
        <v>#REF!</v>
      </c>
      <c r="DP26" t="e">
        <f>AND(Liste!#REF!,"AAAAAFc//3c=")</f>
        <v>#REF!</v>
      </c>
      <c r="DQ26" t="e">
        <f>AND(Liste!#REF!,"AAAAAFc//3g=")</f>
        <v>#REF!</v>
      </c>
      <c r="DR26" t="e">
        <f>AND(Liste!#REF!,"AAAAAFc//3k=")</f>
        <v>#REF!</v>
      </c>
      <c r="DS26" t="e">
        <f>AND(Liste!#REF!,"AAAAAFc//3o=")</f>
        <v>#REF!</v>
      </c>
      <c r="DT26" t="e">
        <f>AND(Liste!#REF!,"AAAAAFc//3s=")</f>
        <v>#REF!</v>
      </c>
      <c r="DU26" t="e">
        <f>AND(Liste!#REF!,"AAAAAFc//3w=")</f>
        <v>#REF!</v>
      </c>
      <c r="DV26" t="e">
        <f>AND(Liste!#REF!,"AAAAAFc//30=")</f>
        <v>#REF!</v>
      </c>
      <c r="DW26" t="e">
        <f>AND(Liste!#REF!,"AAAAAFc//34=")</f>
        <v>#REF!</v>
      </c>
      <c r="DX26" t="e">
        <f>AND(Liste!#REF!,"AAAAAFc//38=")</f>
        <v>#REF!</v>
      </c>
      <c r="DY26" t="e">
        <f>AND(Liste!#REF!,"AAAAAFc//4A=")</f>
        <v>#REF!</v>
      </c>
      <c r="DZ26" t="e">
        <f>AND(Liste!#REF!,"AAAAAFc//4E=")</f>
        <v>#REF!</v>
      </c>
      <c r="EA26" t="e">
        <f>AND(Liste!#REF!,"AAAAAFc//4I=")</f>
        <v>#REF!</v>
      </c>
      <c r="EB26" t="e">
        <f>AND(Liste!#REF!,"AAAAAFc//4M=")</f>
        <v>#REF!</v>
      </c>
      <c r="EC26" t="e">
        <f>AND(Liste!#REF!,"AAAAAFc//4Q=")</f>
        <v>#REF!</v>
      </c>
      <c r="ED26" t="e">
        <f>AND(Liste!#REF!,"AAAAAFc//4U=")</f>
        <v>#REF!</v>
      </c>
      <c r="EE26" t="e">
        <f>AND(Liste!#REF!,"AAAAAFc//4Y=")</f>
        <v>#REF!</v>
      </c>
      <c r="EF26" t="e">
        <f>AND(Liste!#REF!,"AAAAAFc//4c=")</f>
        <v>#REF!</v>
      </c>
      <c r="EG26" t="e">
        <f>AND(Liste!#REF!,"AAAAAFc//4g=")</f>
        <v>#REF!</v>
      </c>
      <c r="EH26" t="e">
        <f>AND(Liste!#REF!,"AAAAAFc//4k=")</f>
        <v>#REF!</v>
      </c>
      <c r="EI26" t="e">
        <f>AND(Liste!#REF!,"AAAAAFc//4o=")</f>
        <v>#REF!</v>
      </c>
      <c r="EJ26" t="e">
        <f>AND(Liste!#REF!,"AAAAAFc//4s=")</f>
        <v>#REF!</v>
      </c>
      <c r="EK26" t="e">
        <f>AND(Liste!#REF!,"AAAAAFc//4w=")</f>
        <v>#REF!</v>
      </c>
      <c r="EL26" t="e">
        <f>IF(Liste!#REF!,"AAAAAFc//40=",0)</f>
        <v>#REF!</v>
      </c>
      <c r="EM26" t="e">
        <f>AND(Liste!#REF!,"AAAAAFc//44=")</f>
        <v>#REF!</v>
      </c>
      <c r="EN26" t="e">
        <f>AND(Liste!#REF!,"AAAAAFc//48=")</f>
        <v>#REF!</v>
      </c>
      <c r="EO26" t="e">
        <f>AND(Liste!#REF!,"AAAAAFc//5A=")</f>
        <v>#REF!</v>
      </c>
      <c r="EP26" t="e">
        <f>AND(Liste!#REF!,"AAAAAFc//5E=")</f>
        <v>#REF!</v>
      </c>
      <c r="EQ26" t="e">
        <f>AND(Liste!#REF!,"AAAAAFc//5I=")</f>
        <v>#REF!</v>
      </c>
      <c r="ER26" t="e">
        <f>AND(Liste!#REF!,"AAAAAFc//5M=")</f>
        <v>#REF!</v>
      </c>
      <c r="ES26" t="e">
        <f>AND(Liste!#REF!,"AAAAAFc//5Q=")</f>
        <v>#REF!</v>
      </c>
      <c r="ET26" t="e">
        <f>AND(Liste!#REF!,"AAAAAFc//5U=")</f>
        <v>#REF!</v>
      </c>
      <c r="EU26" t="e">
        <f>AND(Liste!#REF!,"AAAAAFc//5Y=")</f>
        <v>#REF!</v>
      </c>
      <c r="EV26" t="e">
        <f>AND(Liste!#REF!,"AAAAAFc//5c=")</f>
        <v>#REF!</v>
      </c>
      <c r="EW26" t="e">
        <f>AND(Liste!#REF!,"AAAAAFc//5g=")</f>
        <v>#REF!</v>
      </c>
      <c r="EX26" t="e">
        <f>AND(Liste!#REF!,"AAAAAFc//5k=")</f>
        <v>#REF!</v>
      </c>
      <c r="EY26" t="e">
        <f>AND(Liste!#REF!,"AAAAAFc//5o=")</f>
        <v>#REF!</v>
      </c>
      <c r="EZ26" t="e">
        <f>AND(Liste!#REF!,"AAAAAFc//5s=")</f>
        <v>#REF!</v>
      </c>
      <c r="FA26" t="e">
        <f>AND(Liste!#REF!,"AAAAAFc//5w=")</f>
        <v>#REF!</v>
      </c>
      <c r="FB26" t="e">
        <f>AND(Liste!#REF!,"AAAAAFc//50=")</f>
        <v>#REF!</v>
      </c>
      <c r="FC26" t="e">
        <f>AND(Liste!#REF!,"AAAAAFc//54=")</f>
        <v>#REF!</v>
      </c>
      <c r="FD26" t="e">
        <f>AND(Liste!#REF!,"AAAAAFc//58=")</f>
        <v>#REF!</v>
      </c>
      <c r="FE26" t="e">
        <f>AND(Liste!#REF!,"AAAAAFc//6A=")</f>
        <v>#REF!</v>
      </c>
      <c r="FF26" t="e">
        <f>AND(Liste!#REF!,"AAAAAFc//6E=")</f>
        <v>#REF!</v>
      </c>
      <c r="FG26" t="e">
        <f>AND(Liste!#REF!,"AAAAAFc//6I=")</f>
        <v>#REF!</v>
      </c>
      <c r="FH26" t="e">
        <f>AND(Liste!#REF!,"AAAAAFc//6M=")</f>
        <v>#REF!</v>
      </c>
      <c r="FI26" t="e">
        <f>AND(Liste!#REF!,"AAAAAFc//6Q=")</f>
        <v>#REF!</v>
      </c>
      <c r="FJ26" t="e">
        <f>AND(Liste!#REF!,"AAAAAFc//6U=")</f>
        <v>#REF!</v>
      </c>
      <c r="FK26" t="e">
        <f>AND(Liste!#REF!,"AAAAAFc//6Y=")</f>
        <v>#REF!</v>
      </c>
      <c r="FL26" t="e">
        <f>AND(Liste!#REF!,"AAAAAFc//6c=")</f>
        <v>#REF!</v>
      </c>
      <c r="FM26" t="e">
        <f>AND(Liste!#REF!,"AAAAAFc//6g=")</f>
        <v>#REF!</v>
      </c>
      <c r="FN26" t="e">
        <f>AND(Liste!#REF!,"AAAAAFc//6k=")</f>
        <v>#REF!</v>
      </c>
      <c r="FO26" t="e">
        <f>AND(Liste!#REF!,"AAAAAFc//6o=")</f>
        <v>#REF!</v>
      </c>
      <c r="FP26" t="e">
        <f>AND(Liste!#REF!,"AAAAAFc//6s=")</f>
        <v>#REF!</v>
      </c>
      <c r="FQ26" t="e">
        <f>IF(Liste!#REF!,"AAAAAFc//6w=",0)</f>
        <v>#REF!</v>
      </c>
      <c r="FR26" t="e">
        <f>AND(Liste!#REF!,"AAAAAFc//60=")</f>
        <v>#REF!</v>
      </c>
      <c r="FS26" t="e">
        <f>AND(Liste!#REF!,"AAAAAFc//64=")</f>
        <v>#REF!</v>
      </c>
      <c r="FT26" t="e">
        <f>AND(Liste!#REF!,"AAAAAFc//68=")</f>
        <v>#REF!</v>
      </c>
      <c r="FU26" t="e">
        <f>AND(Liste!#REF!,"AAAAAFc//7A=")</f>
        <v>#REF!</v>
      </c>
      <c r="FV26" t="e">
        <f>AND(Liste!#REF!,"AAAAAFc//7E=")</f>
        <v>#REF!</v>
      </c>
      <c r="FW26" t="e">
        <f>AND(Liste!#REF!,"AAAAAFc//7I=")</f>
        <v>#REF!</v>
      </c>
      <c r="FX26" t="e">
        <f>AND(Liste!#REF!,"AAAAAFc//7M=")</f>
        <v>#REF!</v>
      </c>
      <c r="FY26" t="e">
        <f>AND(Liste!#REF!,"AAAAAFc//7Q=")</f>
        <v>#REF!</v>
      </c>
      <c r="FZ26" t="e">
        <f>AND(Liste!#REF!,"AAAAAFc//7U=")</f>
        <v>#REF!</v>
      </c>
      <c r="GA26" t="e">
        <f>AND(Liste!#REF!,"AAAAAFc//7Y=")</f>
        <v>#REF!</v>
      </c>
      <c r="GB26" t="e">
        <f>AND(Liste!#REF!,"AAAAAFc//7c=")</f>
        <v>#REF!</v>
      </c>
      <c r="GC26" t="e">
        <f>AND(Liste!#REF!,"AAAAAFc//7g=")</f>
        <v>#REF!</v>
      </c>
      <c r="GD26" t="e">
        <f>AND(Liste!#REF!,"AAAAAFc//7k=")</f>
        <v>#REF!</v>
      </c>
      <c r="GE26" t="e">
        <f>AND(Liste!#REF!,"AAAAAFc//7o=")</f>
        <v>#REF!</v>
      </c>
      <c r="GF26" t="e">
        <f>AND(Liste!#REF!,"AAAAAFc//7s=")</f>
        <v>#REF!</v>
      </c>
      <c r="GG26" t="e">
        <f>AND(Liste!#REF!,"AAAAAFc//7w=")</f>
        <v>#REF!</v>
      </c>
      <c r="GH26" t="e">
        <f>AND(Liste!#REF!,"AAAAAFc//70=")</f>
        <v>#REF!</v>
      </c>
      <c r="GI26" t="e">
        <f>AND(Liste!#REF!,"AAAAAFc//74=")</f>
        <v>#REF!</v>
      </c>
      <c r="GJ26" t="e">
        <f>AND(Liste!#REF!,"AAAAAFc//78=")</f>
        <v>#REF!</v>
      </c>
      <c r="GK26" t="e">
        <f>AND(Liste!#REF!,"AAAAAFc//8A=")</f>
        <v>#REF!</v>
      </c>
      <c r="GL26" t="e">
        <f>AND(Liste!#REF!,"AAAAAFc//8E=")</f>
        <v>#REF!</v>
      </c>
      <c r="GM26" t="e">
        <f>AND(Liste!#REF!,"AAAAAFc//8I=")</f>
        <v>#REF!</v>
      </c>
      <c r="GN26" t="e">
        <f>AND(Liste!#REF!,"AAAAAFc//8M=")</f>
        <v>#REF!</v>
      </c>
      <c r="GO26" t="e">
        <f>AND(Liste!#REF!,"AAAAAFc//8Q=")</f>
        <v>#REF!</v>
      </c>
      <c r="GP26" t="e">
        <f>AND(Liste!#REF!,"AAAAAFc//8U=")</f>
        <v>#REF!</v>
      </c>
      <c r="GQ26" t="e">
        <f>AND(Liste!#REF!,"AAAAAFc//8Y=")</f>
        <v>#REF!</v>
      </c>
      <c r="GR26" t="e">
        <f>AND(Liste!#REF!,"AAAAAFc//8c=")</f>
        <v>#REF!</v>
      </c>
      <c r="GS26" t="e">
        <f>AND(Liste!#REF!,"AAAAAFc//8g=")</f>
        <v>#REF!</v>
      </c>
      <c r="GT26" t="e">
        <f>AND(Liste!#REF!,"AAAAAFc//8k=")</f>
        <v>#REF!</v>
      </c>
      <c r="GU26" t="e">
        <f>AND(Liste!#REF!,"AAAAAFc//8o=")</f>
        <v>#REF!</v>
      </c>
      <c r="GV26" t="e">
        <f>IF(Liste!#REF!,"AAAAAFc//8s=",0)</f>
        <v>#REF!</v>
      </c>
      <c r="GW26" t="e">
        <f>AND(Liste!#REF!,"AAAAAFc//8w=")</f>
        <v>#REF!</v>
      </c>
      <c r="GX26" t="e">
        <f>AND(Liste!#REF!,"AAAAAFc//80=")</f>
        <v>#REF!</v>
      </c>
      <c r="GY26" t="e">
        <f>AND(Liste!#REF!,"AAAAAFc//84=")</f>
        <v>#REF!</v>
      </c>
      <c r="GZ26" t="e">
        <f>AND(Liste!#REF!,"AAAAAFc//88=")</f>
        <v>#REF!</v>
      </c>
      <c r="HA26" t="e">
        <f>AND(Liste!#REF!,"AAAAAFc//9A=")</f>
        <v>#REF!</v>
      </c>
      <c r="HB26" t="e">
        <f>AND(Liste!#REF!,"AAAAAFc//9E=")</f>
        <v>#REF!</v>
      </c>
      <c r="HC26" t="e">
        <f>AND(Liste!#REF!,"AAAAAFc//9I=")</f>
        <v>#REF!</v>
      </c>
      <c r="HD26" t="e">
        <f>AND(Liste!#REF!,"AAAAAFc//9M=")</f>
        <v>#REF!</v>
      </c>
      <c r="HE26" t="e">
        <f>AND(Liste!#REF!,"AAAAAFc//9Q=")</f>
        <v>#REF!</v>
      </c>
      <c r="HF26" t="e">
        <f>AND(Liste!#REF!,"AAAAAFc//9U=")</f>
        <v>#REF!</v>
      </c>
      <c r="HG26" t="e">
        <f>AND(Liste!#REF!,"AAAAAFc//9Y=")</f>
        <v>#REF!</v>
      </c>
      <c r="HH26" t="e">
        <f>AND(Liste!#REF!,"AAAAAFc//9c=")</f>
        <v>#REF!</v>
      </c>
      <c r="HI26" t="e">
        <f>AND(Liste!#REF!,"AAAAAFc//9g=")</f>
        <v>#REF!</v>
      </c>
      <c r="HJ26" t="e">
        <f>AND(Liste!#REF!,"AAAAAFc//9k=")</f>
        <v>#REF!</v>
      </c>
      <c r="HK26" t="e">
        <f>AND(Liste!#REF!,"AAAAAFc//9o=")</f>
        <v>#REF!</v>
      </c>
      <c r="HL26" t="e">
        <f>AND(Liste!#REF!,"AAAAAFc//9s=")</f>
        <v>#REF!</v>
      </c>
      <c r="HM26" t="e">
        <f>AND(Liste!#REF!,"AAAAAFc//9w=")</f>
        <v>#REF!</v>
      </c>
      <c r="HN26" t="e">
        <f>AND(Liste!#REF!,"AAAAAFc//90=")</f>
        <v>#REF!</v>
      </c>
      <c r="HO26" t="e">
        <f>AND(Liste!#REF!,"AAAAAFc//94=")</f>
        <v>#REF!</v>
      </c>
      <c r="HP26" t="e">
        <f>AND(Liste!#REF!,"AAAAAFc//98=")</f>
        <v>#REF!</v>
      </c>
      <c r="HQ26" t="e">
        <f>AND(Liste!#REF!,"AAAAAFc//+A=")</f>
        <v>#REF!</v>
      </c>
      <c r="HR26" t="e">
        <f>AND(Liste!#REF!,"AAAAAFc//+E=")</f>
        <v>#REF!</v>
      </c>
      <c r="HS26" t="e">
        <f>AND(Liste!#REF!,"AAAAAFc//+I=")</f>
        <v>#REF!</v>
      </c>
      <c r="HT26" t="e">
        <f>AND(Liste!#REF!,"AAAAAFc//+M=")</f>
        <v>#REF!</v>
      </c>
      <c r="HU26" t="e">
        <f>AND(Liste!#REF!,"AAAAAFc//+Q=")</f>
        <v>#REF!</v>
      </c>
      <c r="HV26" t="e">
        <f>AND(Liste!#REF!,"AAAAAFc//+U=")</f>
        <v>#REF!</v>
      </c>
      <c r="HW26" t="e">
        <f>AND(Liste!#REF!,"AAAAAFc//+Y=")</f>
        <v>#REF!</v>
      </c>
      <c r="HX26" t="e">
        <f>AND(Liste!#REF!,"AAAAAFc//+c=")</f>
        <v>#REF!</v>
      </c>
      <c r="HY26" t="e">
        <f>AND(Liste!#REF!,"AAAAAFc//+g=")</f>
        <v>#REF!</v>
      </c>
      <c r="HZ26" t="e">
        <f>AND(Liste!#REF!,"AAAAAFc//+k=")</f>
        <v>#REF!</v>
      </c>
      <c r="IA26" t="e">
        <f>IF(Liste!#REF!,"AAAAAFc//+o=",0)</f>
        <v>#REF!</v>
      </c>
      <c r="IB26" t="e">
        <f>AND(Liste!#REF!,"AAAAAFc//+s=")</f>
        <v>#REF!</v>
      </c>
      <c r="IC26" t="e">
        <f>AND(Liste!#REF!,"AAAAAFc//+w=")</f>
        <v>#REF!</v>
      </c>
      <c r="ID26" t="e">
        <f>AND(Liste!#REF!,"AAAAAFc//+0=")</f>
        <v>#REF!</v>
      </c>
      <c r="IE26" t="e">
        <f>AND(Liste!#REF!,"AAAAAFc//+4=")</f>
        <v>#REF!</v>
      </c>
      <c r="IF26" t="e">
        <f>AND(Liste!#REF!,"AAAAAFc//+8=")</f>
        <v>#REF!</v>
      </c>
      <c r="IG26" t="e">
        <f>AND(Liste!#REF!,"AAAAAFc///A=")</f>
        <v>#REF!</v>
      </c>
      <c r="IH26" t="e">
        <f>AND(Liste!#REF!,"AAAAAFc///E=")</f>
        <v>#REF!</v>
      </c>
      <c r="II26" t="e">
        <f>AND(Liste!#REF!,"AAAAAFc///I=")</f>
        <v>#REF!</v>
      </c>
      <c r="IJ26" t="e">
        <f>AND(Liste!#REF!,"AAAAAFc///M=")</f>
        <v>#REF!</v>
      </c>
      <c r="IK26" t="e">
        <f>AND(Liste!#REF!,"AAAAAFc///Q=")</f>
        <v>#REF!</v>
      </c>
      <c r="IL26" t="e">
        <f>AND(Liste!#REF!,"AAAAAFc///U=")</f>
        <v>#REF!</v>
      </c>
      <c r="IM26" t="e">
        <f>AND(Liste!#REF!,"AAAAAFc///Y=")</f>
        <v>#REF!</v>
      </c>
      <c r="IN26" t="e">
        <f>AND(Liste!#REF!,"AAAAAFc///c=")</f>
        <v>#REF!</v>
      </c>
      <c r="IO26" t="e">
        <f>AND(Liste!#REF!,"AAAAAFc///g=")</f>
        <v>#REF!</v>
      </c>
      <c r="IP26" t="e">
        <f>AND(Liste!#REF!,"AAAAAFc///k=")</f>
        <v>#REF!</v>
      </c>
      <c r="IQ26" t="e">
        <f>AND(Liste!#REF!,"AAAAAFc///o=")</f>
        <v>#REF!</v>
      </c>
      <c r="IR26" t="e">
        <f>AND(Liste!#REF!,"AAAAAFc///s=")</f>
        <v>#REF!</v>
      </c>
      <c r="IS26" t="e">
        <f>AND(Liste!#REF!,"AAAAAFc///w=")</f>
        <v>#REF!</v>
      </c>
      <c r="IT26" t="e">
        <f>AND(Liste!#REF!,"AAAAAFc///0=")</f>
        <v>#REF!</v>
      </c>
      <c r="IU26" t="e">
        <f>AND(Liste!#REF!,"AAAAAFc///4=")</f>
        <v>#REF!</v>
      </c>
      <c r="IV26" t="e">
        <f>AND(Liste!#REF!,"AAAAAFc///8=")</f>
        <v>#REF!</v>
      </c>
    </row>
    <row r="27" spans="1:256" x14ac:dyDescent="0.2">
      <c r="A27" t="e">
        <f>AND(Liste!#REF!,"AAAAAG9X/AA=")</f>
        <v>#REF!</v>
      </c>
      <c r="B27" t="e">
        <f>AND(Liste!#REF!,"AAAAAG9X/AE=")</f>
        <v>#REF!</v>
      </c>
      <c r="C27" t="e">
        <f>AND(Liste!#REF!,"AAAAAG9X/AI=")</f>
        <v>#REF!</v>
      </c>
      <c r="D27" t="e">
        <f>AND(Liste!#REF!,"AAAAAG9X/AM=")</f>
        <v>#REF!</v>
      </c>
      <c r="E27" t="e">
        <f>AND(Liste!#REF!,"AAAAAG9X/AQ=")</f>
        <v>#REF!</v>
      </c>
      <c r="F27" t="e">
        <f>AND(Liste!#REF!,"AAAAAG9X/AU=")</f>
        <v>#REF!</v>
      </c>
      <c r="G27" t="e">
        <f>AND(Liste!#REF!,"AAAAAG9X/AY=")</f>
        <v>#REF!</v>
      </c>
      <c r="H27" t="e">
        <f>AND(Liste!#REF!,"AAAAAG9X/Ac=")</f>
        <v>#REF!</v>
      </c>
      <c r="I27" t="e">
        <f>AND(Liste!#REF!,"AAAAAG9X/Ag=")</f>
        <v>#REF!</v>
      </c>
      <c r="J27" t="e">
        <f>IF(Liste!#REF!,"AAAAAG9X/Ak=",0)</f>
        <v>#REF!</v>
      </c>
      <c r="K27" t="e">
        <f>AND(Liste!#REF!,"AAAAAG9X/Ao=")</f>
        <v>#REF!</v>
      </c>
      <c r="L27" t="e">
        <f>AND(Liste!#REF!,"AAAAAG9X/As=")</f>
        <v>#REF!</v>
      </c>
      <c r="M27" t="e">
        <f>AND(Liste!#REF!,"AAAAAG9X/Aw=")</f>
        <v>#REF!</v>
      </c>
      <c r="N27" t="e">
        <f>AND(Liste!#REF!,"AAAAAG9X/A0=")</f>
        <v>#REF!</v>
      </c>
      <c r="O27" t="e">
        <f>AND(Liste!#REF!,"AAAAAG9X/A4=")</f>
        <v>#REF!</v>
      </c>
      <c r="P27" t="e">
        <f>AND(Liste!#REF!,"AAAAAG9X/A8=")</f>
        <v>#REF!</v>
      </c>
      <c r="Q27" t="e">
        <f>AND(Liste!#REF!,"AAAAAG9X/BA=")</f>
        <v>#REF!</v>
      </c>
      <c r="R27" t="e">
        <f>AND(Liste!#REF!,"AAAAAG9X/BE=")</f>
        <v>#REF!</v>
      </c>
      <c r="S27" t="e">
        <f>AND(Liste!#REF!,"AAAAAG9X/BI=")</f>
        <v>#REF!</v>
      </c>
      <c r="T27" t="e">
        <f>AND(Liste!#REF!,"AAAAAG9X/BM=")</f>
        <v>#REF!</v>
      </c>
      <c r="U27" t="e">
        <f>AND(Liste!#REF!,"AAAAAG9X/BQ=")</f>
        <v>#REF!</v>
      </c>
      <c r="V27" t="e">
        <f>AND(Liste!#REF!,"AAAAAG9X/BU=")</f>
        <v>#REF!</v>
      </c>
      <c r="W27" t="e">
        <f>AND(Liste!#REF!,"AAAAAG9X/BY=")</f>
        <v>#REF!</v>
      </c>
      <c r="X27" t="e">
        <f>AND(Liste!#REF!,"AAAAAG9X/Bc=")</f>
        <v>#REF!</v>
      </c>
      <c r="Y27" t="e">
        <f>AND(Liste!#REF!,"AAAAAG9X/Bg=")</f>
        <v>#REF!</v>
      </c>
      <c r="Z27" t="e">
        <f>AND(Liste!#REF!,"AAAAAG9X/Bk=")</f>
        <v>#REF!</v>
      </c>
      <c r="AA27" t="e">
        <f>AND(Liste!#REF!,"AAAAAG9X/Bo=")</f>
        <v>#REF!</v>
      </c>
      <c r="AB27" t="e">
        <f>AND(Liste!#REF!,"AAAAAG9X/Bs=")</f>
        <v>#REF!</v>
      </c>
      <c r="AC27" t="e">
        <f>AND(Liste!#REF!,"AAAAAG9X/Bw=")</f>
        <v>#REF!</v>
      </c>
      <c r="AD27" t="e">
        <f>AND(Liste!#REF!,"AAAAAG9X/B0=")</f>
        <v>#REF!</v>
      </c>
      <c r="AE27" t="e">
        <f>AND(Liste!#REF!,"AAAAAG9X/B4=")</f>
        <v>#REF!</v>
      </c>
      <c r="AF27" t="e">
        <f>AND(Liste!#REF!,"AAAAAG9X/B8=")</f>
        <v>#REF!</v>
      </c>
      <c r="AG27" t="e">
        <f>AND(Liste!#REF!,"AAAAAG9X/CA=")</f>
        <v>#REF!</v>
      </c>
      <c r="AH27" t="e">
        <f>AND(Liste!#REF!,"AAAAAG9X/CE=")</f>
        <v>#REF!</v>
      </c>
      <c r="AI27" t="e">
        <f>AND(Liste!#REF!,"AAAAAG9X/CI=")</f>
        <v>#REF!</v>
      </c>
      <c r="AJ27" t="e">
        <f>AND(Liste!#REF!,"AAAAAG9X/CM=")</f>
        <v>#REF!</v>
      </c>
      <c r="AK27" t="e">
        <f>AND(Liste!#REF!,"AAAAAG9X/CQ=")</f>
        <v>#REF!</v>
      </c>
      <c r="AL27" t="e">
        <f>AND(Liste!#REF!,"AAAAAG9X/CU=")</f>
        <v>#REF!</v>
      </c>
      <c r="AM27" t="e">
        <f>AND(Liste!#REF!,"AAAAAG9X/CY=")</f>
        <v>#REF!</v>
      </c>
      <c r="AN27" t="e">
        <f>AND(Liste!#REF!,"AAAAAG9X/Cc=")</f>
        <v>#REF!</v>
      </c>
      <c r="AO27" t="e">
        <f>IF(Liste!#REF!,"AAAAAG9X/Cg=",0)</f>
        <v>#REF!</v>
      </c>
      <c r="AP27" t="e">
        <f>AND(Liste!#REF!,"AAAAAG9X/Ck=")</f>
        <v>#REF!</v>
      </c>
      <c r="AQ27" t="e">
        <f>AND(Liste!#REF!,"AAAAAG9X/Co=")</f>
        <v>#REF!</v>
      </c>
      <c r="AR27" t="e">
        <f>AND(Liste!#REF!,"AAAAAG9X/Cs=")</f>
        <v>#REF!</v>
      </c>
      <c r="AS27" t="e">
        <f>AND(Liste!#REF!,"AAAAAG9X/Cw=")</f>
        <v>#REF!</v>
      </c>
      <c r="AT27" t="e">
        <f>AND(Liste!#REF!,"AAAAAG9X/C0=")</f>
        <v>#REF!</v>
      </c>
      <c r="AU27" t="e">
        <f>AND(Liste!#REF!,"AAAAAG9X/C4=")</f>
        <v>#REF!</v>
      </c>
      <c r="AV27" t="e">
        <f>AND(Liste!#REF!,"AAAAAG9X/C8=")</f>
        <v>#REF!</v>
      </c>
      <c r="AW27" t="e">
        <f>AND(Liste!#REF!,"AAAAAG9X/DA=")</f>
        <v>#REF!</v>
      </c>
      <c r="AX27" t="e">
        <f>AND(Liste!#REF!,"AAAAAG9X/DE=")</f>
        <v>#REF!</v>
      </c>
      <c r="AY27" t="e">
        <f>AND(Liste!#REF!,"AAAAAG9X/DI=")</f>
        <v>#REF!</v>
      </c>
      <c r="AZ27" t="e">
        <f>AND(Liste!#REF!,"AAAAAG9X/DM=")</f>
        <v>#REF!</v>
      </c>
      <c r="BA27" t="e">
        <f>AND(Liste!#REF!,"AAAAAG9X/DQ=")</f>
        <v>#REF!</v>
      </c>
      <c r="BB27" t="e">
        <f>AND(Liste!#REF!,"AAAAAG9X/DU=")</f>
        <v>#REF!</v>
      </c>
      <c r="BC27" t="e">
        <f>AND(Liste!#REF!,"AAAAAG9X/DY=")</f>
        <v>#REF!</v>
      </c>
      <c r="BD27" t="e">
        <f>AND(Liste!#REF!,"AAAAAG9X/Dc=")</f>
        <v>#REF!</v>
      </c>
      <c r="BE27" t="e">
        <f>AND(Liste!#REF!,"AAAAAG9X/Dg=")</f>
        <v>#REF!</v>
      </c>
      <c r="BF27" t="e">
        <f>AND(Liste!#REF!,"AAAAAG9X/Dk=")</f>
        <v>#REF!</v>
      </c>
      <c r="BG27" t="e">
        <f>AND(Liste!#REF!,"AAAAAG9X/Do=")</f>
        <v>#REF!</v>
      </c>
      <c r="BH27" t="e">
        <f>AND(Liste!#REF!,"AAAAAG9X/Ds=")</f>
        <v>#REF!</v>
      </c>
      <c r="BI27" t="e">
        <f>AND(Liste!#REF!,"AAAAAG9X/Dw=")</f>
        <v>#REF!</v>
      </c>
      <c r="BJ27" t="e">
        <f>AND(Liste!#REF!,"AAAAAG9X/D0=")</f>
        <v>#REF!</v>
      </c>
      <c r="BK27" t="e">
        <f>AND(Liste!#REF!,"AAAAAG9X/D4=")</f>
        <v>#REF!</v>
      </c>
      <c r="BL27" t="e">
        <f>AND(Liste!#REF!,"AAAAAG9X/D8=")</f>
        <v>#REF!</v>
      </c>
      <c r="BM27" t="e">
        <f>AND(Liste!#REF!,"AAAAAG9X/EA=")</f>
        <v>#REF!</v>
      </c>
      <c r="BN27" t="e">
        <f>AND(Liste!#REF!,"AAAAAG9X/EE=")</f>
        <v>#REF!</v>
      </c>
      <c r="BO27" t="e">
        <f>AND(Liste!#REF!,"AAAAAG9X/EI=")</f>
        <v>#REF!</v>
      </c>
      <c r="BP27" t="e">
        <f>AND(Liste!#REF!,"AAAAAG9X/EM=")</f>
        <v>#REF!</v>
      </c>
      <c r="BQ27" t="e">
        <f>AND(Liste!#REF!,"AAAAAG9X/EQ=")</f>
        <v>#REF!</v>
      </c>
      <c r="BR27" t="e">
        <f>AND(Liste!#REF!,"AAAAAG9X/EU=")</f>
        <v>#REF!</v>
      </c>
      <c r="BS27" t="e">
        <f>AND(Liste!#REF!,"AAAAAG9X/EY=")</f>
        <v>#REF!</v>
      </c>
      <c r="BT27" t="e">
        <f>IF(Liste!#REF!,"AAAAAG9X/Ec=",0)</f>
        <v>#REF!</v>
      </c>
      <c r="BU27" t="e">
        <f>AND(Liste!#REF!,"AAAAAG9X/Eg=")</f>
        <v>#REF!</v>
      </c>
      <c r="BV27" t="e">
        <f>AND(Liste!#REF!,"AAAAAG9X/Ek=")</f>
        <v>#REF!</v>
      </c>
      <c r="BW27" t="e">
        <f>AND(Liste!#REF!,"AAAAAG9X/Eo=")</f>
        <v>#REF!</v>
      </c>
      <c r="BX27" t="e">
        <f>AND(Liste!#REF!,"AAAAAG9X/Es=")</f>
        <v>#REF!</v>
      </c>
      <c r="BY27" t="e">
        <f>AND(Liste!#REF!,"AAAAAG9X/Ew=")</f>
        <v>#REF!</v>
      </c>
      <c r="BZ27" t="e">
        <f>AND(Liste!#REF!,"AAAAAG9X/E0=")</f>
        <v>#REF!</v>
      </c>
      <c r="CA27" t="e">
        <f>AND(Liste!#REF!,"AAAAAG9X/E4=")</f>
        <v>#REF!</v>
      </c>
      <c r="CB27" t="e">
        <f>AND(Liste!#REF!,"AAAAAG9X/E8=")</f>
        <v>#REF!</v>
      </c>
      <c r="CC27" t="e">
        <f>AND(Liste!#REF!,"AAAAAG9X/FA=")</f>
        <v>#REF!</v>
      </c>
      <c r="CD27" t="e">
        <f>AND(Liste!#REF!,"AAAAAG9X/FE=")</f>
        <v>#REF!</v>
      </c>
      <c r="CE27" t="e">
        <f>AND(Liste!#REF!,"AAAAAG9X/FI=")</f>
        <v>#REF!</v>
      </c>
      <c r="CF27" t="e">
        <f>AND(Liste!#REF!,"AAAAAG9X/FM=")</f>
        <v>#REF!</v>
      </c>
      <c r="CG27" t="e">
        <f>AND(Liste!#REF!,"AAAAAG9X/FQ=")</f>
        <v>#REF!</v>
      </c>
      <c r="CH27" t="e">
        <f>AND(Liste!#REF!,"AAAAAG9X/FU=")</f>
        <v>#REF!</v>
      </c>
      <c r="CI27" t="e">
        <f>AND(Liste!#REF!,"AAAAAG9X/FY=")</f>
        <v>#REF!</v>
      </c>
      <c r="CJ27" t="e">
        <f>AND(Liste!#REF!,"AAAAAG9X/Fc=")</f>
        <v>#REF!</v>
      </c>
      <c r="CK27" t="e">
        <f>AND(Liste!#REF!,"AAAAAG9X/Fg=")</f>
        <v>#REF!</v>
      </c>
      <c r="CL27" t="e">
        <f>AND(Liste!#REF!,"AAAAAG9X/Fk=")</f>
        <v>#REF!</v>
      </c>
      <c r="CM27" t="e">
        <f>AND(Liste!#REF!,"AAAAAG9X/Fo=")</f>
        <v>#REF!</v>
      </c>
      <c r="CN27" t="e">
        <f>AND(Liste!#REF!,"AAAAAG9X/Fs=")</f>
        <v>#REF!</v>
      </c>
      <c r="CO27" t="e">
        <f>AND(Liste!#REF!,"AAAAAG9X/Fw=")</f>
        <v>#REF!</v>
      </c>
      <c r="CP27" t="e">
        <f>AND(Liste!#REF!,"AAAAAG9X/F0=")</f>
        <v>#REF!</v>
      </c>
      <c r="CQ27" t="e">
        <f>AND(Liste!#REF!,"AAAAAG9X/F4=")</f>
        <v>#REF!</v>
      </c>
      <c r="CR27" t="e">
        <f>AND(Liste!#REF!,"AAAAAG9X/F8=")</f>
        <v>#REF!</v>
      </c>
      <c r="CS27" t="e">
        <f>AND(Liste!#REF!,"AAAAAG9X/GA=")</f>
        <v>#REF!</v>
      </c>
      <c r="CT27" t="e">
        <f>AND(Liste!#REF!,"AAAAAG9X/GE=")</f>
        <v>#REF!</v>
      </c>
      <c r="CU27" t="e">
        <f>AND(Liste!#REF!,"AAAAAG9X/GI=")</f>
        <v>#REF!</v>
      </c>
      <c r="CV27" t="e">
        <f>AND(Liste!#REF!,"AAAAAG9X/GM=")</f>
        <v>#REF!</v>
      </c>
      <c r="CW27" t="e">
        <f>AND(Liste!#REF!,"AAAAAG9X/GQ=")</f>
        <v>#REF!</v>
      </c>
      <c r="CX27" t="e">
        <f>AND(Liste!#REF!,"AAAAAG9X/GU=")</f>
        <v>#REF!</v>
      </c>
      <c r="CY27" t="e">
        <f>IF(Liste!#REF!,"AAAAAG9X/GY=",0)</f>
        <v>#REF!</v>
      </c>
      <c r="CZ27" t="e">
        <f>AND(Liste!#REF!,"AAAAAG9X/Gc=")</f>
        <v>#REF!</v>
      </c>
      <c r="DA27" t="e">
        <f>AND(Liste!#REF!,"AAAAAG9X/Gg=")</f>
        <v>#REF!</v>
      </c>
      <c r="DB27" t="e">
        <f>AND(Liste!#REF!,"AAAAAG9X/Gk=")</f>
        <v>#REF!</v>
      </c>
      <c r="DC27" t="e">
        <f>AND(Liste!#REF!,"AAAAAG9X/Go=")</f>
        <v>#REF!</v>
      </c>
      <c r="DD27" t="e">
        <f>AND(Liste!#REF!,"AAAAAG9X/Gs=")</f>
        <v>#REF!</v>
      </c>
      <c r="DE27" t="e">
        <f>AND(Liste!#REF!,"AAAAAG9X/Gw=")</f>
        <v>#REF!</v>
      </c>
      <c r="DF27" t="e">
        <f>AND(Liste!#REF!,"AAAAAG9X/G0=")</f>
        <v>#REF!</v>
      </c>
      <c r="DG27" t="e">
        <f>AND(Liste!#REF!,"AAAAAG9X/G4=")</f>
        <v>#REF!</v>
      </c>
      <c r="DH27" t="e">
        <f>AND(Liste!#REF!,"AAAAAG9X/G8=")</f>
        <v>#REF!</v>
      </c>
      <c r="DI27" t="e">
        <f>AND(Liste!#REF!,"AAAAAG9X/HA=")</f>
        <v>#REF!</v>
      </c>
      <c r="DJ27" t="e">
        <f>AND(Liste!#REF!,"AAAAAG9X/HE=")</f>
        <v>#REF!</v>
      </c>
      <c r="DK27" t="e">
        <f>AND(Liste!#REF!,"AAAAAG9X/HI=")</f>
        <v>#REF!</v>
      </c>
      <c r="DL27" t="e">
        <f>AND(Liste!#REF!,"AAAAAG9X/HM=")</f>
        <v>#REF!</v>
      </c>
      <c r="DM27" t="e">
        <f>AND(Liste!#REF!,"AAAAAG9X/HQ=")</f>
        <v>#REF!</v>
      </c>
      <c r="DN27" t="e">
        <f>AND(Liste!#REF!,"AAAAAG9X/HU=")</f>
        <v>#REF!</v>
      </c>
      <c r="DO27" t="e">
        <f>AND(Liste!#REF!,"AAAAAG9X/HY=")</f>
        <v>#REF!</v>
      </c>
      <c r="DP27" t="e">
        <f>AND(Liste!#REF!,"AAAAAG9X/Hc=")</f>
        <v>#REF!</v>
      </c>
      <c r="DQ27" t="e">
        <f>AND(Liste!#REF!,"AAAAAG9X/Hg=")</f>
        <v>#REF!</v>
      </c>
      <c r="DR27" t="e">
        <f>AND(Liste!#REF!,"AAAAAG9X/Hk=")</f>
        <v>#REF!</v>
      </c>
      <c r="DS27" t="e">
        <f>AND(Liste!#REF!,"AAAAAG9X/Ho=")</f>
        <v>#REF!</v>
      </c>
      <c r="DT27" t="e">
        <f>AND(Liste!#REF!,"AAAAAG9X/Hs=")</f>
        <v>#REF!</v>
      </c>
      <c r="DU27" t="e">
        <f>AND(Liste!#REF!,"AAAAAG9X/Hw=")</f>
        <v>#REF!</v>
      </c>
      <c r="DV27" t="e">
        <f>AND(Liste!#REF!,"AAAAAG9X/H0=")</f>
        <v>#REF!</v>
      </c>
      <c r="DW27" t="e">
        <f>AND(Liste!#REF!,"AAAAAG9X/H4=")</f>
        <v>#REF!</v>
      </c>
      <c r="DX27" t="e">
        <f>AND(Liste!#REF!,"AAAAAG9X/H8=")</f>
        <v>#REF!</v>
      </c>
      <c r="DY27" t="e">
        <f>AND(Liste!#REF!,"AAAAAG9X/IA=")</f>
        <v>#REF!</v>
      </c>
      <c r="DZ27" t="e">
        <f>AND(Liste!#REF!,"AAAAAG9X/IE=")</f>
        <v>#REF!</v>
      </c>
      <c r="EA27" t="e">
        <f>AND(Liste!#REF!,"AAAAAG9X/II=")</f>
        <v>#REF!</v>
      </c>
      <c r="EB27" t="e">
        <f>AND(Liste!#REF!,"AAAAAG9X/IM=")</f>
        <v>#REF!</v>
      </c>
      <c r="EC27" t="e">
        <f>AND(Liste!#REF!,"AAAAAG9X/IQ=")</f>
        <v>#REF!</v>
      </c>
      <c r="ED27">
        <f>IF(Liste!197:197,"AAAAAG9X/IU=",0)</f>
        <v>0</v>
      </c>
      <c r="EE27" t="e">
        <f>AND(Liste!A197,"AAAAAG9X/IY=")</f>
        <v>#VALUE!</v>
      </c>
      <c r="EF27" t="e">
        <f>AND(Liste!#REF!,"AAAAAG9X/Ic=")</f>
        <v>#REF!</v>
      </c>
      <c r="EG27" t="e">
        <f>AND(Liste!#REF!,"AAAAAG9X/Ig=")</f>
        <v>#REF!</v>
      </c>
      <c r="EH27" t="e">
        <f>AND(Liste!#REF!,"AAAAAG9X/Ik=")</f>
        <v>#REF!</v>
      </c>
      <c r="EI27" t="e">
        <f>AND(Liste!F253,"AAAAAG9X/Io=")</f>
        <v>#VALUE!</v>
      </c>
      <c r="EJ27" t="e">
        <f>AND(Liste!G253,"AAAAAG9X/Is=")</f>
        <v>#VALUE!</v>
      </c>
      <c r="EK27" t="e">
        <f>AND(Liste!H253,"AAAAAG9X/Iw=")</f>
        <v>#VALUE!</v>
      </c>
      <c r="EL27" t="e">
        <f>AND(Liste!I253,"AAAAAG9X/I0=")</f>
        <v>#VALUE!</v>
      </c>
      <c r="EM27" t="e">
        <f>AND(Liste!J253,"AAAAAG9X/I4=")</f>
        <v>#VALUE!</v>
      </c>
      <c r="EN27" t="e">
        <f>AND(Liste!#REF!,"AAAAAG9X/I8=")</f>
        <v>#REF!</v>
      </c>
      <c r="EO27" t="e">
        <f>AND(Liste!#REF!,"AAAAAG9X/JA=")</f>
        <v>#REF!</v>
      </c>
      <c r="EP27" t="e">
        <f>AND(Liste!#REF!,"AAAAAG9X/JE=")</f>
        <v>#REF!</v>
      </c>
      <c r="EQ27" t="e">
        <f>AND(Liste!#REF!,"AAAAAG9X/JI=")</f>
        <v>#REF!</v>
      </c>
      <c r="ER27" t="e">
        <f>AND(Liste!#REF!,"AAAAAG9X/JM=")</f>
        <v>#REF!</v>
      </c>
      <c r="ES27" t="e">
        <f>AND(Liste!#REF!,"AAAAAG9X/JQ=")</f>
        <v>#REF!</v>
      </c>
      <c r="ET27" t="e">
        <f>AND(Liste!#REF!,"AAAAAG9X/JU=")</f>
        <v>#REF!</v>
      </c>
      <c r="EU27" t="e">
        <f>AND(Liste!#REF!,"AAAAAG9X/JY=")</f>
        <v>#REF!</v>
      </c>
      <c r="EV27" t="e">
        <f>AND(Liste!#REF!,"AAAAAG9X/Jc=")</f>
        <v>#REF!</v>
      </c>
      <c r="EW27" t="e">
        <f>AND(Liste!#REF!,"AAAAAG9X/Jg=")</f>
        <v>#REF!</v>
      </c>
      <c r="EX27" t="e">
        <f>AND(Liste!#REF!,"AAAAAG9X/Jk=")</f>
        <v>#REF!</v>
      </c>
      <c r="EY27" t="e">
        <f>AND(Liste!#REF!,"AAAAAG9X/Jo=")</f>
        <v>#REF!</v>
      </c>
      <c r="EZ27" t="e">
        <f>AND(Liste!#REF!,"AAAAAG9X/Js=")</f>
        <v>#REF!</v>
      </c>
      <c r="FA27" t="e">
        <f>AND(Liste!#REF!,"AAAAAG9X/Jw=")</f>
        <v>#REF!</v>
      </c>
      <c r="FB27" t="e">
        <f>AND(Liste!#REF!,"AAAAAG9X/J0=")</f>
        <v>#REF!</v>
      </c>
      <c r="FC27" t="e">
        <f>AND(Liste!#REF!,"AAAAAG9X/J4=")</f>
        <v>#REF!</v>
      </c>
      <c r="FD27" t="e">
        <f>AND(Liste!#REF!,"AAAAAG9X/J8=")</f>
        <v>#REF!</v>
      </c>
      <c r="FE27" t="e">
        <f>AND(Liste!#REF!,"AAAAAG9X/KA=")</f>
        <v>#REF!</v>
      </c>
      <c r="FF27" t="e">
        <f>AND(Liste!#REF!,"AAAAAG9X/KE=")</f>
        <v>#REF!</v>
      </c>
      <c r="FG27" t="e">
        <f>AND(Liste!#REF!,"AAAAAG9X/KI=")</f>
        <v>#REF!</v>
      </c>
      <c r="FH27" t="e">
        <f>AND(Liste!#REF!,"AAAAAG9X/KM=")</f>
        <v>#REF!</v>
      </c>
      <c r="FI27">
        <f>IF(Liste!198:198,"AAAAAG9X/KQ=",0)</f>
        <v>0</v>
      </c>
      <c r="FJ27" t="e">
        <f>AND(Liste!A198,"AAAAAG9X/KU=")</f>
        <v>#VALUE!</v>
      </c>
      <c r="FK27" t="e">
        <f>AND(Liste!#REF!,"AAAAAG9X/KY=")</f>
        <v>#REF!</v>
      </c>
      <c r="FL27" t="e">
        <f>AND(Liste!#REF!,"AAAAAG9X/Kc=")</f>
        <v>#REF!</v>
      </c>
      <c r="FM27" t="e">
        <f>AND(Liste!#REF!,"AAAAAG9X/Kg=")</f>
        <v>#REF!</v>
      </c>
      <c r="FN27" t="e">
        <f>AND(Liste!F254,"AAAAAG9X/Kk=")</f>
        <v>#VALUE!</v>
      </c>
      <c r="FO27" t="e">
        <f>AND(Liste!G254,"AAAAAG9X/Ko=")</f>
        <v>#VALUE!</v>
      </c>
      <c r="FP27" t="e">
        <f>AND(Liste!H254,"AAAAAG9X/Ks=")</f>
        <v>#VALUE!</v>
      </c>
      <c r="FQ27" t="e">
        <f>AND(Liste!I254,"AAAAAG9X/Kw=")</f>
        <v>#VALUE!</v>
      </c>
      <c r="FR27" t="e">
        <f>AND(Liste!J254,"AAAAAG9X/K0=")</f>
        <v>#VALUE!</v>
      </c>
      <c r="FS27" t="e">
        <f>AND(Liste!#REF!,"AAAAAG9X/K4=")</f>
        <v>#REF!</v>
      </c>
      <c r="FT27" t="e">
        <f>AND(Liste!#REF!,"AAAAAG9X/K8=")</f>
        <v>#REF!</v>
      </c>
      <c r="FU27" t="e">
        <f>AND(Liste!#REF!,"AAAAAG9X/LA=")</f>
        <v>#REF!</v>
      </c>
      <c r="FV27" t="e">
        <f>AND(Liste!#REF!,"AAAAAG9X/LE=")</f>
        <v>#REF!</v>
      </c>
      <c r="FW27" t="e">
        <f>AND(Liste!#REF!,"AAAAAG9X/LI=")</f>
        <v>#REF!</v>
      </c>
      <c r="FX27" t="e">
        <f>AND(Liste!#REF!,"AAAAAG9X/LM=")</f>
        <v>#REF!</v>
      </c>
      <c r="FY27" t="e">
        <f>AND(Liste!#REF!,"AAAAAG9X/LQ=")</f>
        <v>#REF!</v>
      </c>
      <c r="FZ27" t="e">
        <f>AND(Liste!#REF!,"AAAAAG9X/LU=")</f>
        <v>#REF!</v>
      </c>
      <c r="GA27" t="e">
        <f>AND(Liste!#REF!,"AAAAAG9X/LY=")</f>
        <v>#REF!</v>
      </c>
      <c r="GB27" t="e">
        <f>AND(Liste!#REF!,"AAAAAG9X/Lc=")</f>
        <v>#REF!</v>
      </c>
      <c r="GC27" t="e">
        <f>AND(Liste!#REF!,"AAAAAG9X/Lg=")</f>
        <v>#REF!</v>
      </c>
      <c r="GD27" t="e">
        <f>AND(Liste!#REF!,"AAAAAG9X/Lk=")</f>
        <v>#REF!</v>
      </c>
      <c r="GE27" t="e">
        <f>AND(Liste!#REF!,"AAAAAG9X/Lo=")</f>
        <v>#REF!</v>
      </c>
      <c r="GF27" t="e">
        <f>AND(Liste!#REF!,"AAAAAG9X/Ls=")</f>
        <v>#REF!</v>
      </c>
      <c r="GG27" t="e">
        <f>AND(Liste!#REF!,"AAAAAG9X/Lw=")</f>
        <v>#REF!</v>
      </c>
      <c r="GH27" t="e">
        <f>AND(Liste!#REF!,"AAAAAG9X/L0=")</f>
        <v>#REF!</v>
      </c>
      <c r="GI27" t="e">
        <f>AND(Liste!#REF!,"AAAAAG9X/L4=")</f>
        <v>#REF!</v>
      </c>
      <c r="GJ27" t="e">
        <f>AND(Liste!#REF!,"AAAAAG9X/L8=")</f>
        <v>#REF!</v>
      </c>
      <c r="GK27" t="e">
        <f>AND(Liste!#REF!,"AAAAAG9X/MA=")</f>
        <v>#REF!</v>
      </c>
      <c r="GL27" t="e">
        <f>AND(Liste!#REF!,"AAAAAG9X/ME=")</f>
        <v>#REF!</v>
      </c>
      <c r="GM27" t="e">
        <f>AND(Liste!#REF!,"AAAAAG9X/MI=")</f>
        <v>#REF!</v>
      </c>
      <c r="GN27">
        <f>IF(Liste!199:199,"AAAAAG9X/MM=",0)</f>
        <v>0</v>
      </c>
      <c r="GO27" t="b">
        <f>AND(Liste!A199,"AAAAAG9X/MQ=")</f>
        <v>1</v>
      </c>
      <c r="GP27" t="e">
        <f>AND(Liste!#REF!,"AAAAAG9X/MU=")</f>
        <v>#REF!</v>
      </c>
      <c r="GQ27" t="e">
        <f>AND(Liste!#REF!,"AAAAAG9X/MY=")</f>
        <v>#REF!</v>
      </c>
      <c r="GR27" t="e">
        <f>AND(Liste!#REF!,"AAAAAG9X/Mc=")</f>
        <v>#REF!</v>
      </c>
      <c r="GS27" t="e">
        <f>AND(Liste!F255,"AAAAAG9X/Mg=")</f>
        <v>#VALUE!</v>
      </c>
      <c r="GT27" t="e">
        <f>AND(Liste!G255,"AAAAAG9X/Mk=")</f>
        <v>#VALUE!</v>
      </c>
      <c r="GU27" t="e">
        <f>AND(Liste!H255,"AAAAAG9X/Mo=")</f>
        <v>#VALUE!</v>
      </c>
      <c r="GV27" t="e">
        <f>AND(Liste!I255,"AAAAAG9X/Ms=")</f>
        <v>#VALUE!</v>
      </c>
      <c r="GW27" t="e">
        <f>AND(Liste!J255,"AAAAAG9X/Mw=")</f>
        <v>#VALUE!</v>
      </c>
      <c r="GX27" t="e">
        <f>AND(Liste!#REF!,"AAAAAG9X/M0=")</f>
        <v>#REF!</v>
      </c>
      <c r="GY27" t="e">
        <f>AND(Liste!#REF!,"AAAAAG9X/M4=")</f>
        <v>#REF!</v>
      </c>
      <c r="GZ27" t="e">
        <f>AND(Liste!#REF!,"AAAAAG9X/M8=")</f>
        <v>#REF!</v>
      </c>
      <c r="HA27" t="e">
        <f>AND(Liste!#REF!,"AAAAAG9X/NA=")</f>
        <v>#REF!</v>
      </c>
      <c r="HB27" t="e">
        <f>AND(Liste!#REF!,"AAAAAG9X/NE=")</f>
        <v>#REF!</v>
      </c>
      <c r="HC27" t="e">
        <f>AND(Liste!#REF!,"AAAAAG9X/NI=")</f>
        <v>#REF!</v>
      </c>
      <c r="HD27" t="e">
        <f>AND(Liste!#REF!,"AAAAAG9X/NM=")</f>
        <v>#REF!</v>
      </c>
      <c r="HE27" t="e">
        <f>AND(Liste!#REF!,"AAAAAG9X/NQ=")</f>
        <v>#REF!</v>
      </c>
      <c r="HF27" t="e">
        <f>AND(Liste!#REF!,"AAAAAG9X/NU=")</f>
        <v>#REF!</v>
      </c>
      <c r="HG27" t="e">
        <f>AND(Liste!#REF!,"AAAAAG9X/NY=")</f>
        <v>#REF!</v>
      </c>
      <c r="HH27" t="e">
        <f>AND(Liste!#REF!,"AAAAAG9X/Nc=")</f>
        <v>#REF!</v>
      </c>
      <c r="HI27" t="e">
        <f>AND(Liste!#REF!,"AAAAAG9X/Ng=")</f>
        <v>#REF!</v>
      </c>
      <c r="HJ27" t="e">
        <f>AND(Liste!#REF!,"AAAAAG9X/Nk=")</f>
        <v>#REF!</v>
      </c>
      <c r="HK27" t="e">
        <f>AND(Liste!#REF!,"AAAAAG9X/No=")</f>
        <v>#REF!</v>
      </c>
      <c r="HL27" t="e">
        <f>AND(Liste!#REF!,"AAAAAG9X/Ns=")</f>
        <v>#REF!</v>
      </c>
      <c r="HM27" t="e">
        <f>AND(Liste!#REF!,"AAAAAG9X/Nw=")</f>
        <v>#REF!</v>
      </c>
      <c r="HN27" t="e">
        <f>AND(Liste!#REF!,"AAAAAG9X/N0=")</f>
        <v>#REF!</v>
      </c>
      <c r="HO27" t="e">
        <f>AND(Liste!#REF!,"AAAAAG9X/N4=")</f>
        <v>#REF!</v>
      </c>
      <c r="HP27" t="e">
        <f>AND(Liste!#REF!,"AAAAAG9X/N8=")</f>
        <v>#REF!</v>
      </c>
      <c r="HQ27" t="e">
        <f>AND(Liste!#REF!,"AAAAAG9X/OA=")</f>
        <v>#REF!</v>
      </c>
      <c r="HR27" t="e">
        <f>AND(Liste!#REF!,"AAAAAG9X/OE=")</f>
        <v>#REF!</v>
      </c>
      <c r="HS27">
        <f>IF(Liste!200:200,"AAAAAG9X/OI=",0)</f>
        <v>0</v>
      </c>
      <c r="HT27" t="b">
        <f>AND(Liste!A200,"AAAAAG9X/OM=")</f>
        <v>1</v>
      </c>
      <c r="HU27" t="e">
        <f>AND(Liste!#REF!,"AAAAAG9X/OQ=")</f>
        <v>#REF!</v>
      </c>
      <c r="HV27" t="e">
        <f>AND(Liste!#REF!,"AAAAAG9X/OU=")</f>
        <v>#REF!</v>
      </c>
      <c r="HW27" t="e">
        <f>AND(Liste!#REF!,"AAAAAG9X/OY=")</f>
        <v>#REF!</v>
      </c>
      <c r="HX27" t="e">
        <f>AND(Liste!F256,"AAAAAG9X/Oc=")</f>
        <v>#VALUE!</v>
      </c>
      <c r="HY27" t="e">
        <f>AND(Liste!G256,"AAAAAG9X/Og=")</f>
        <v>#VALUE!</v>
      </c>
      <c r="HZ27" t="e">
        <f>AND(Liste!H256,"AAAAAG9X/Ok=")</f>
        <v>#VALUE!</v>
      </c>
      <c r="IA27" t="e">
        <f>AND(Liste!I256,"AAAAAG9X/Oo=")</f>
        <v>#VALUE!</v>
      </c>
      <c r="IB27" t="e">
        <f>AND(Liste!J256,"AAAAAG9X/Os=")</f>
        <v>#VALUE!</v>
      </c>
      <c r="IC27" t="e">
        <f>AND(Liste!#REF!,"AAAAAG9X/Ow=")</f>
        <v>#REF!</v>
      </c>
      <c r="ID27" t="e">
        <f>AND(Liste!#REF!,"AAAAAG9X/O0=")</f>
        <v>#REF!</v>
      </c>
      <c r="IE27" t="e">
        <f>AND(Liste!#REF!,"AAAAAG9X/O4=")</f>
        <v>#REF!</v>
      </c>
      <c r="IF27" t="e">
        <f>AND(Liste!#REF!,"AAAAAG9X/O8=")</f>
        <v>#REF!</v>
      </c>
      <c r="IG27" t="e">
        <f>AND(Liste!#REF!,"AAAAAG9X/PA=")</f>
        <v>#REF!</v>
      </c>
      <c r="IH27" t="e">
        <f>AND(Liste!#REF!,"AAAAAG9X/PE=")</f>
        <v>#REF!</v>
      </c>
      <c r="II27" t="e">
        <f>AND(Liste!#REF!,"AAAAAG9X/PI=")</f>
        <v>#REF!</v>
      </c>
      <c r="IJ27" t="e">
        <f>AND(Liste!#REF!,"AAAAAG9X/PM=")</f>
        <v>#REF!</v>
      </c>
      <c r="IK27" t="e">
        <f>AND(Liste!#REF!,"AAAAAG9X/PQ=")</f>
        <v>#REF!</v>
      </c>
      <c r="IL27" t="e">
        <f>AND(Liste!#REF!,"AAAAAG9X/PU=")</f>
        <v>#REF!</v>
      </c>
      <c r="IM27" t="e">
        <f>AND(Liste!#REF!,"AAAAAG9X/PY=")</f>
        <v>#REF!</v>
      </c>
      <c r="IN27" t="e">
        <f>AND(Liste!#REF!,"AAAAAG9X/Pc=")</f>
        <v>#REF!</v>
      </c>
      <c r="IO27" t="e">
        <f>AND(Liste!#REF!,"AAAAAG9X/Pg=")</f>
        <v>#REF!</v>
      </c>
      <c r="IP27" t="e">
        <f>AND(Liste!#REF!,"AAAAAG9X/Pk=")</f>
        <v>#REF!</v>
      </c>
      <c r="IQ27" t="e">
        <f>AND(Liste!#REF!,"AAAAAG9X/Po=")</f>
        <v>#REF!</v>
      </c>
      <c r="IR27" t="e">
        <f>AND(Liste!#REF!,"AAAAAG9X/Ps=")</f>
        <v>#REF!</v>
      </c>
      <c r="IS27" t="e">
        <f>AND(Liste!#REF!,"AAAAAG9X/Pw=")</f>
        <v>#REF!</v>
      </c>
      <c r="IT27" t="e">
        <f>AND(Liste!#REF!,"AAAAAG9X/P0=")</f>
        <v>#REF!</v>
      </c>
      <c r="IU27" t="e">
        <f>AND(Liste!#REF!,"AAAAAG9X/P4=")</f>
        <v>#REF!</v>
      </c>
      <c r="IV27" t="e">
        <f>AND(Liste!#REF!,"AAAAAG9X/P8=")</f>
        <v>#REF!</v>
      </c>
    </row>
    <row r="28" spans="1:256" x14ac:dyDescent="0.2">
      <c r="A28" t="e">
        <f>AND(Liste!#REF!,"AAAAAD/7bgA=")</f>
        <v>#REF!</v>
      </c>
      <c r="B28">
        <f>IF(Liste!201:201,"AAAAAD/7bgE=",0)</f>
        <v>0</v>
      </c>
      <c r="C28" t="b">
        <f>AND(Liste!A201,"AAAAAD/7bgI=")</f>
        <v>1</v>
      </c>
      <c r="D28" t="e">
        <f>AND(Liste!#REF!,"AAAAAD/7bgM=")</f>
        <v>#REF!</v>
      </c>
      <c r="E28" t="e">
        <f>AND(Liste!#REF!,"AAAAAD/7bgQ=")</f>
        <v>#REF!</v>
      </c>
      <c r="F28" t="e">
        <f>AND(Liste!#REF!,"AAAAAD/7bgU=")</f>
        <v>#REF!</v>
      </c>
      <c r="G28" t="e">
        <f>AND(Liste!F257,"AAAAAD/7bgY=")</f>
        <v>#VALUE!</v>
      </c>
      <c r="H28" t="e">
        <f>AND(Liste!G257,"AAAAAD/7bgc=")</f>
        <v>#VALUE!</v>
      </c>
      <c r="I28" t="e">
        <f>AND(Liste!H257,"AAAAAD/7bgg=")</f>
        <v>#VALUE!</v>
      </c>
      <c r="J28" t="e">
        <f>AND(Liste!I257,"AAAAAD/7bgk=")</f>
        <v>#VALUE!</v>
      </c>
      <c r="K28" t="e">
        <f>AND(Liste!J257,"AAAAAD/7bgo=")</f>
        <v>#VALUE!</v>
      </c>
      <c r="L28" t="e">
        <f>AND(Liste!#REF!,"AAAAAD/7bgs=")</f>
        <v>#REF!</v>
      </c>
      <c r="M28" t="e">
        <f>AND(Liste!#REF!,"AAAAAD/7bgw=")</f>
        <v>#REF!</v>
      </c>
      <c r="N28" t="e">
        <f>AND(Liste!#REF!,"AAAAAD/7bg0=")</f>
        <v>#REF!</v>
      </c>
      <c r="O28" t="e">
        <f>AND(Liste!#REF!,"AAAAAD/7bg4=")</f>
        <v>#REF!</v>
      </c>
      <c r="P28" t="e">
        <f>AND(Liste!#REF!,"AAAAAD/7bg8=")</f>
        <v>#REF!</v>
      </c>
      <c r="Q28" t="e">
        <f>AND(Liste!#REF!,"AAAAAD/7bhA=")</f>
        <v>#REF!</v>
      </c>
      <c r="R28" t="e">
        <f>AND(Liste!#REF!,"AAAAAD/7bhE=")</f>
        <v>#REF!</v>
      </c>
      <c r="S28" t="e">
        <f>AND(Liste!#REF!,"AAAAAD/7bhI=")</f>
        <v>#REF!</v>
      </c>
      <c r="T28" t="e">
        <f>AND(Liste!#REF!,"AAAAAD/7bhM=")</f>
        <v>#REF!</v>
      </c>
      <c r="U28" t="e">
        <f>AND(Liste!#REF!,"AAAAAD/7bhQ=")</f>
        <v>#REF!</v>
      </c>
      <c r="V28" t="e">
        <f>AND(Liste!#REF!,"AAAAAD/7bhU=")</f>
        <v>#REF!</v>
      </c>
      <c r="W28" t="e">
        <f>AND(Liste!#REF!,"AAAAAD/7bhY=")</f>
        <v>#REF!</v>
      </c>
      <c r="X28" t="e">
        <f>AND(Liste!#REF!,"AAAAAD/7bhc=")</f>
        <v>#REF!</v>
      </c>
      <c r="Y28" t="e">
        <f>AND(Liste!#REF!,"AAAAAD/7bhg=")</f>
        <v>#REF!</v>
      </c>
      <c r="Z28" t="e">
        <f>AND(Liste!#REF!,"AAAAAD/7bhk=")</f>
        <v>#REF!</v>
      </c>
      <c r="AA28" t="e">
        <f>AND(Liste!#REF!,"AAAAAD/7bho=")</f>
        <v>#REF!</v>
      </c>
      <c r="AB28" t="e">
        <f>AND(Liste!#REF!,"AAAAAD/7bhs=")</f>
        <v>#REF!</v>
      </c>
      <c r="AC28" t="e">
        <f>AND(Liste!#REF!,"AAAAAD/7bhw=")</f>
        <v>#REF!</v>
      </c>
      <c r="AD28" t="e">
        <f>AND(Liste!#REF!,"AAAAAD/7bh0=")</f>
        <v>#REF!</v>
      </c>
      <c r="AE28" t="e">
        <f>AND(Liste!#REF!,"AAAAAD/7bh4=")</f>
        <v>#REF!</v>
      </c>
      <c r="AF28" t="e">
        <f>AND(Liste!#REF!,"AAAAAD/7bh8=")</f>
        <v>#REF!</v>
      </c>
      <c r="AG28">
        <f>IF(Liste!202:202,"AAAAAD/7biA=",0)</f>
        <v>0</v>
      </c>
      <c r="AH28" t="b">
        <f>AND(Liste!A202,"AAAAAD/7biE=")</f>
        <v>1</v>
      </c>
      <c r="AI28" t="e">
        <f>AND(Liste!#REF!,"AAAAAD/7biI=")</f>
        <v>#REF!</v>
      </c>
      <c r="AJ28" t="e">
        <f>AND(Liste!#REF!,"AAAAAD/7biM=")</f>
        <v>#REF!</v>
      </c>
      <c r="AK28" t="e">
        <f>AND(Liste!#REF!,"AAAAAD/7biQ=")</f>
        <v>#REF!</v>
      </c>
      <c r="AL28" t="e">
        <f>AND(Liste!F258,"AAAAAD/7biU=")</f>
        <v>#VALUE!</v>
      </c>
      <c r="AM28" t="e">
        <f>AND(Liste!G258,"AAAAAD/7biY=")</f>
        <v>#VALUE!</v>
      </c>
      <c r="AN28" t="e">
        <f>AND(Liste!H258,"AAAAAD/7bic=")</f>
        <v>#VALUE!</v>
      </c>
      <c r="AO28" t="e">
        <f>AND(Liste!I258,"AAAAAD/7big=")</f>
        <v>#VALUE!</v>
      </c>
      <c r="AP28" t="e">
        <f>AND(Liste!J258,"AAAAAD/7bik=")</f>
        <v>#VALUE!</v>
      </c>
      <c r="AQ28" t="e">
        <f>AND(Liste!#REF!,"AAAAAD/7bio=")</f>
        <v>#REF!</v>
      </c>
      <c r="AR28" t="e">
        <f>AND(Liste!#REF!,"AAAAAD/7bis=")</f>
        <v>#REF!</v>
      </c>
      <c r="AS28" t="e">
        <f>AND(Liste!#REF!,"AAAAAD/7biw=")</f>
        <v>#REF!</v>
      </c>
      <c r="AT28" t="e">
        <f>AND(Liste!#REF!,"AAAAAD/7bi0=")</f>
        <v>#REF!</v>
      </c>
      <c r="AU28" t="e">
        <f>AND(Liste!#REF!,"AAAAAD/7bi4=")</f>
        <v>#REF!</v>
      </c>
      <c r="AV28" t="e">
        <f>AND(Liste!#REF!,"AAAAAD/7bi8=")</f>
        <v>#REF!</v>
      </c>
      <c r="AW28" t="e">
        <f>AND(Liste!#REF!,"AAAAAD/7bjA=")</f>
        <v>#REF!</v>
      </c>
      <c r="AX28" t="e">
        <f>AND(Liste!#REF!,"AAAAAD/7bjE=")</f>
        <v>#REF!</v>
      </c>
      <c r="AY28" t="e">
        <f>AND(Liste!#REF!,"AAAAAD/7bjI=")</f>
        <v>#REF!</v>
      </c>
      <c r="AZ28" t="e">
        <f>AND(Liste!#REF!,"AAAAAD/7bjM=")</f>
        <v>#REF!</v>
      </c>
      <c r="BA28" t="e">
        <f>AND(Liste!#REF!,"AAAAAD/7bjQ=")</f>
        <v>#REF!</v>
      </c>
      <c r="BB28" t="e">
        <f>AND(Liste!#REF!,"AAAAAD/7bjU=")</f>
        <v>#REF!</v>
      </c>
      <c r="BC28" t="e">
        <f>AND(Liste!#REF!,"AAAAAD/7bjY=")</f>
        <v>#REF!</v>
      </c>
      <c r="BD28" t="e">
        <f>AND(Liste!#REF!,"AAAAAD/7bjc=")</f>
        <v>#REF!</v>
      </c>
      <c r="BE28" t="e">
        <f>AND(Liste!#REF!,"AAAAAD/7bjg=")</f>
        <v>#REF!</v>
      </c>
      <c r="BF28" t="e">
        <f>AND(Liste!#REF!,"AAAAAD/7bjk=")</f>
        <v>#REF!</v>
      </c>
      <c r="BG28" t="e">
        <f>AND(Liste!#REF!,"AAAAAD/7bjo=")</f>
        <v>#REF!</v>
      </c>
      <c r="BH28" t="e">
        <f>AND(Liste!#REF!,"AAAAAD/7bjs=")</f>
        <v>#REF!</v>
      </c>
      <c r="BI28" t="e">
        <f>AND(Liste!#REF!,"AAAAAD/7bjw=")</f>
        <v>#REF!</v>
      </c>
      <c r="BJ28" t="e">
        <f>AND(Liste!#REF!,"AAAAAD/7bj0=")</f>
        <v>#REF!</v>
      </c>
      <c r="BK28" t="e">
        <f>AND(Liste!#REF!,"AAAAAD/7bj4=")</f>
        <v>#REF!</v>
      </c>
      <c r="BL28">
        <f>IF(Liste!203:203,"AAAAAD/7bj8=",0)</f>
        <v>0</v>
      </c>
      <c r="BM28" t="b">
        <f>AND(Liste!A203,"AAAAAD/7bkA=")</f>
        <v>1</v>
      </c>
      <c r="BN28" t="e">
        <f>AND(Liste!#REF!,"AAAAAD/7bkE=")</f>
        <v>#REF!</v>
      </c>
      <c r="BO28" t="e">
        <f>AND(Liste!#REF!,"AAAAAD/7bkI=")</f>
        <v>#REF!</v>
      </c>
      <c r="BP28" t="e">
        <f>AND(Liste!#REF!,"AAAAAD/7bkM=")</f>
        <v>#REF!</v>
      </c>
      <c r="BQ28" t="e">
        <f>AND(Liste!F259,"AAAAAD/7bkQ=")</f>
        <v>#VALUE!</v>
      </c>
      <c r="BR28" t="e">
        <f>AND(Liste!G259,"AAAAAD/7bkU=")</f>
        <v>#VALUE!</v>
      </c>
      <c r="BS28" t="e">
        <f>AND(Liste!H259,"AAAAAD/7bkY=")</f>
        <v>#VALUE!</v>
      </c>
      <c r="BT28" t="e">
        <f>AND(Liste!I259,"AAAAAD/7bkc=")</f>
        <v>#VALUE!</v>
      </c>
      <c r="BU28" t="e">
        <f>AND(Liste!J259,"AAAAAD/7bkg=")</f>
        <v>#VALUE!</v>
      </c>
      <c r="BV28" t="e">
        <f>AND(Liste!#REF!,"AAAAAD/7bkk=")</f>
        <v>#REF!</v>
      </c>
      <c r="BW28" t="e">
        <f>AND(Liste!#REF!,"AAAAAD/7bko=")</f>
        <v>#REF!</v>
      </c>
      <c r="BX28" t="e">
        <f>AND(Liste!#REF!,"AAAAAD/7bks=")</f>
        <v>#REF!</v>
      </c>
      <c r="BY28" t="e">
        <f>AND(Liste!#REF!,"AAAAAD/7bkw=")</f>
        <v>#REF!</v>
      </c>
      <c r="BZ28" t="e">
        <f>AND(Liste!#REF!,"AAAAAD/7bk0=")</f>
        <v>#REF!</v>
      </c>
      <c r="CA28" t="e">
        <f>AND(Liste!#REF!,"AAAAAD/7bk4=")</f>
        <v>#REF!</v>
      </c>
      <c r="CB28" t="e">
        <f>AND(Liste!#REF!,"AAAAAD/7bk8=")</f>
        <v>#REF!</v>
      </c>
      <c r="CC28" t="e">
        <f>AND(Liste!#REF!,"AAAAAD/7blA=")</f>
        <v>#REF!</v>
      </c>
      <c r="CD28" t="e">
        <f>AND(Liste!#REF!,"AAAAAD/7blE=")</f>
        <v>#REF!</v>
      </c>
      <c r="CE28" t="e">
        <f>AND(Liste!#REF!,"AAAAAD/7blI=")</f>
        <v>#REF!</v>
      </c>
      <c r="CF28" t="e">
        <f>AND(Liste!#REF!,"AAAAAD/7blM=")</f>
        <v>#REF!</v>
      </c>
      <c r="CG28" t="e">
        <f>AND(Liste!#REF!,"AAAAAD/7blQ=")</f>
        <v>#REF!</v>
      </c>
      <c r="CH28" t="e">
        <f>AND(Liste!#REF!,"AAAAAD/7blU=")</f>
        <v>#REF!</v>
      </c>
      <c r="CI28" t="e">
        <f>AND(Liste!#REF!,"AAAAAD/7blY=")</f>
        <v>#REF!</v>
      </c>
      <c r="CJ28" t="e">
        <f>AND(Liste!#REF!,"AAAAAD/7blc=")</f>
        <v>#REF!</v>
      </c>
      <c r="CK28" t="e">
        <f>AND(Liste!#REF!,"AAAAAD/7blg=")</f>
        <v>#REF!</v>
      </c>
      <c r="CL28" t="e">
        <f>AND(Liste!#REF!,"AAAAAD/7blk=")</f>
        <v>#REF!</v>
      </c>
      <c r="CM28" t="e">
        <f>AND(Liste!#REF!,"AAAAAD/7blo=")</f>
        <v>#REF!</v>
      </c>
      <c r="CN28" t="e">
        <f>AND(Liste!#REF!,"AAAAAD/7bls=")</f>
        <v>#REF!</v>
      </c>
      <c r="CO28" t="e">
        <f>AND(Liste!#REF!,"AAAAAD/7blw=")</f>
        <v>#REF!</v>
      </c>
      <c r="CP28" t="e">
        <f>AND(Liste!#REF!,"AAAAAD/7bl0=")</f>
        <v>#REF!</v>
      </c>
      <c r="CQ28">
        <f>IF(Liste!204:204,"AAAAAD/7bl4=",0)</f>
        <v>0</v>
      </c>
      <c r="CR28" t="b">
        <f>AND(Liste!A204,"AAAAAD/7bl8=")</f>
        <v>1</v>
      </c>
      <c r="CS28" t="e">
        <f>AND(Liste!#REF!,"AAAAAD/7bmA=")</f>
        <v>#REF!</v>
      </c>
      <c r="CT28" t="e">
        <f>AND(Liste!#REF!,"AAAAAD/7bmE=")</f>
        <v>#REF!</v>
      </c>
      <c r="CU28" t="e">
        <f>AND(Liste!#REF!,"AAAAAD/7bmI=")</f>
        <v>#REF!</v>
      </c>
      <c r="CV28" t="e">
        <f>AND(Liste!F260,"AAAAAD/7bmM=")</f>
        <v>#VALUE!</v>
      </c>
      <c r="CW28" t="e">
        <f>AND(Liste!G260,"AAAAAD/7bmQ=")</f>
        <v>#VALUE!</v>
      </c>
      <c r="CX28" t="e">
        <f>AND(Liste!H260,"AAAAAD/7bmU=")</f>
        <v>#VALUE!</v>
      </c>
      <c r="CY28" t="e">
        <f>AND(Liste!I260,"AAAAAD/7bmY=")</f>
        <v>#VALUE!</v>
      </c>
      <c r="CZ28" t="e">
        <f>AND(Liste!J260,"AAAAAD/7bmc=")</f>
        <v>#VALUE!</v>
      </c>
      <c r="DA28" t="e">
        <f>AND(Liste!#REF!,"AAAAAD/7bmg=")</f>
        <v>#REF!</v>
      </c>
      <c r="DB28" t="e">
        <f>AND(Liste!#REF!,"AAAAAD/7bmk=")</f>
        <v>#REF!</v>
      </c>
      <c r="DC28" t="e">
        <f>AND(Liste!#REF!,"AAAAAD/7bmo=")</f>
        <v>#REF!</v>
      </c>
      <c r="DD28" t="e">
        <f>AND(Liste!#REF!,"AAAAAD/7bms=")</f>
        <v>#REF!</v>
      </c>
      <c r="DE28" t="e">
        <f>AND(Liste!#REF!,"AAAAAD/7bmw=")</f>
        <v>#REF!</v>
      </c>
      <c r="DF28" t="e">
        <f>AND(Liste!#REF!,"AAAAAD/7bm0=")</f>
        <v>#REF!</v>
      </c>
      <c r="DG28" t="e">
        <f>AND(Liste!#REF!,"AAAAAD/7bm4=")</f>
        <v>#REF!</v>
      </c>
      <c r="DH28" t="e">
        <f>AND(Liste!#REF!,"AAAAAD/7bm8=")</f>
        <v>#REF!</v>
      </c>
      <c r="DI28" t="e">
        <f>AND(Liste!#REF!,"AAAAAD/7bnA=")</f>
        <v>#REF!</v>
      </c>
      <c r="DJ28" t="e">
        <f>AND(Liste!#REF!,"AAAAAD/7bnE=")</f>
        <v>#REF!</v>
      </c>
      <c r="DK28" t="e">
        <f>AND(Liste!#REF!,"AAAAAD/7bnI=")</f>
        <v>#REF!</v>
      </c>
      <c r="DL28" t="e">
        <f>AND(Liste!#REF!,"AAAAAD/7bnM=")</f>
        <v>#REF!</v>
      </c>
      <c r="DM28" t="e">
        <f>AND(Liste!#REF!,"AAAAAD/7bnQ=")</f>
        <v>#REF!</v>
      </c>
      <c r="DN28" t="e">
        <f>AND(Liste!#REF!,"AAAAAD/7bnU=")</f>
        <v>#REF!</v>
      </c>
      <c r="DO28" t="e">
        <f>AND(Liste!#REF!,"AAAAAD/7bnY=")</f>
        <v>#REF!</v>
      </c>
      <c r="DP28" t="e">
        <f>AND(Liste!#REF!,"AAAAAD/7bnc=")</f>
        <v>#REF!</v>
      </c>
      <c r="DQ28" t="e">
        <f>AND(Liste!#REF!,"AAAAAD/7bng=")</f>
        <v>#REF!</v>
      </c>
      <c r="DR28" t="e">
        <f>AND(Liste!#REF!,"AAAAAD/7bnk=")</f>
        <v>#REF!</v>
      </c>
      <c r="DS28" t="e">
        <f>AND(Liste!#REF!,"AAAAAD/7bno=")</f>
        <v>#REF!</v>
      </c>
      <c r="DT28" t="e">
        <f>AND(Liste!#REF!,"AAAAAD/7bns=")</f>
        <v>#REF!</v>
      </c>
      <c r="DU28" t="e">
        <f>AND(Liste!#REF!,"AAAAAD/7bnw=")</f>
        <v>#REF!</v>
      </c>
      <c r="DV28">
        <f>IF(Liste!215:215,"AAAAAD/7bn0=",0)</f>
        <v>0</v>
      </c>
      <c r="DW28" t="b">
        <f>AND(Liste!A215,"AAAAAD/7bn4=")</f>
        <v>1</v>
      </c>
      <c r="DX28" t="e">
        <f>AND(Liste!#REF!,"AAAAAD/7bn8=")</f>
        <v>#REF!</v>
      </c>
      <c r="DY28" t="e">
        <f>AND(Liste!#REF!,"AAAAAD/7boA=")</f>
        <v>#REF!</v>
      </c>
      <c r="DZ28" t="e">
        <f>AND(Liste!#REF!,"AAAAAD/7boE=")</f>
        <v>#REF!</v>
      </c>
      <c r="EA28" t="e">
        <f>AND(Liste!F271,"AAAAAD/7boI=")</f>
        <v>#VALUE!</v>
      </c>
      <c r="EB28" t="e">
        <f>AND(Liste!G271,"AAAAAD/7boM=")</f>
        <v>#VALUE!</v>
      </c>
      <c r="EC28" t="e">
        <f>AND(Liste!H271,"AAAAAD/7boQ=")</f>
        <v>#VALUE!</v>
      </c>
      <c r="ED28" t="e">
        <f>AND(Liste!I271,"AAAAAD/7boU=")</f>
        <v>#VALUE!</v>
      </c>
      <c r="EE28" t="e">
        <f>AND(Liste!J271,"AAAAAD/7boY=")</f>
        <v>#VALUE!</v>
      </c>
      <c r="EF28" t="e">
        <f>AND(Liste!#REF!,"AAAAAD/7boc=")</f>
        <v>#REF!</v>
      </c>
      <c r="EG28" t="e">
        <f>AND(Liste!#REF!,"AAAAAD/7bog=")</f>
        <v>#REF!</v>
      </c>
      <c r="EH28" t="e">
        <f>AND(Liste!#REF!,"AAAAAD/7bok=")</f>
        <v>#REF!</v>
      </c>
      <c r="EI28" t="e">
        <f>AND(Liste!#REF!,"AAAAAD/7boo=")</f>
        <v>#REF!</v>
      </c>
      <c r="EJ28" t="e">
        <f>AND(Liste!#REF!,"AAAAAD/7bos=")</f>
        <v>#REF!</v>
      </c>
      <c r="EK28" t="e">
        <f>AND(Liste!#REF!,"AAAAAD/7bow=")</f>
        <v>#REF!</v>
      </c>
      <c r="EL28" t="e">
        <f>AND(Liste!#REF!,"AAAAAD/7bo0=")</f>
        <v>#REF!</v>
      </c>
      <c r="EM28" t="e">
        <f>AND(Liste!#REF!,"AAAAAD/7bo4=")</f>
        <v>#REF!</v>
      </c>
      <c r="EN28" t="e">
        <f>AND(Liste!#REF!,"AAAAAD/7bo8=")</f>
        <v>#REF!</v>
      </c>
      <c r="EO28" t="e">
        <f>AND(Liste!#REF!,"AAAAAD/7bpA=")</f>
        <v>#REF!</v>
      </c>
      <c r="EP28" t="e">
        <f>AND(Liste!#REF!,"AAAAAD/7bpE=")</f>
        <v>#REF!</v>
      </c>
      <c r="EQ28" t="e">
        <f>AND(Liste!#REF!,"AAAAAD/7bpI=")</f>
        <v>#REF!</v>
      </c>
      <c r="ER28" t="e">
        <f>AND(Liste!#REF!,"AAAAAD/7bpM=")</f>
        <v>#REF!</v>
      </c>
      <c r="ES28" t="e">
        <f>AND(Liste!#REF!,"AAAAAD/7bpQ=")</f>
        <v>#REF!</v>
      </c>
      <c r="ET28" t="e">
        <f>AND(Liste!#REF!,"AAAAAD/7bpU=")</f>
        <v>#REF!</v>
      </c>
      <c r="EU28" t="e">
        <f>AND(Liste!#REF!,"AAAAAD/7bpY=")</f>
        <v>#REF!</v>
      </c>
      <c r="EV28" t="e">
        <f>AND(Liste!#REF!,"AAAAAD/7bpc=")</f>
        <v>#REF!</v>
      </c>
      <c r="EW28" t="e">
        <f>AND(Liste!#REF!,"AAAAAD/7bpg=")</f>
        <v>#REF!</v>
      </c>
      <c r="EX28" t="e">
        <f>AND(Liste!#REF!,"AAAAAD/7bpk=")</f>
        <v>#REF!</v>
      </c>
      <c r="EY28" t="e">
        <f>AND(Liste!#REF!,"AAAAAD/7bpo=")</f>
        <v>#REF!</v>
      </c>
      <c r="EZ28" t="e">
        <f>AND(Liste!#REF!,"AAAAAD/7bps=")</f>
        <v>#REF!</v>
      </c>
      <c r="FA28">
        <f>IF(Liste!216:216,"AAAAAD/7bpw=",0)</f>
        <v>0</v>
      </c>
      <c r="FB28" t="b">
        <f>AND(Liste!A216,"AAAAAD/7bp0=")</f>
        <v>1</v>
      </c>
      <c r="FC28" t="e">
        <f>AND(Liste!#REF!,"AAAAAD/7bp4=")</f>
        <v>#REF!</v>
      </c>
      <c r="FD28" t="e">
        <f>AND(Liste!#REF!,"AAAAAD/7bp8=")</f>
        <v>#REF!</v>
      </c>
      <c r="FE28" t="e">
        <f>AND(Liste!#REF!,"AAAAAD/7bqA=")</f>
        <v>#REF!</v>
      </c>
      <c r="FF28" t="e">
        <f>AND(Liste!F272,"AAAAAD/7bqE=")</f>
        <v>#VALUE!</v>
      </c>
      <c r="FG28" t="e">
        <f>AND(Liste!G272,"AAAAAD/7bqI=")</f>
        <v>#VALUE!</v>
      </c>
      <c r="FH28" t="e">
        <f>AND(Liste!H272,"AAAAAD/7bqM=")</f>
        <v>#VALUE!</v>
      </c>
      <c r="FI28" t="e">
        <f>AND(Liste!I272,"AAAAAD/7bqQ=")</f>
        <v>#VALUE!</v>
      </c>
      <c r="FJ28" t="e">
        <f>AND(Liste!J272,"AAAAAD/7bqU=")</f>
        <v>#VALUE!</v>
      </c>
      <c r="FK28" t="e">
        <f>AND(Liste!#REF!,"AAAAAD/7bqY=")</f>
        <v>#REF!</v>
      </c>
      <c r="FL28" t="e">
        <f>AND(Liste!#REF!,"AAAAAD/7bqc=")</f>
        <v>#REF!</v>
      </c>
      <c r="FM28" t="e">
        <f>AND(Liste!#REF!,"AAAAAD/7bqg=")</f>
        <v>#REF!</v>
      </c>
      <c r="FN28" t="e">
        <f>AND(Liste!#REF!,"AAAAAD/7bqk=")</f>
        <v>#REF!</v>
      </c>
      <c r="FO28" t="e">
        <f>AND(Liste!#REF!,"AAAAAD/7bqo=")</f>
        <v>#REF!</v>
      </c>
      <c r="FP28" t="e">
        <f>AND(Liste!#REF!,"AAAAAD/7bqs=")</f>
        <v>#REF!</v>
      </c>
      <c r="FQ28" t="e">
        <f>AND(Liste!#REF!,"AAAAAD/7bqw=")</f>
        <v>#REF!</v>
      </c>
      <c r="FR28" t="e">
        <f>AND(Liste!#REF!,"AAAAAD/7bq0=")</f>
        <v>#REF!</v>
      </c>
      <c r="FS28" t="e">
        <f>AND(Liste!#REF!,"AAAAAD/7bq4=")</f>
        <v>#REF!</v>
      </c>
      <c r="FT28" t="e">
        <f>AND(Liste!#REF!,"AAAAAD/7bq8=")</f>
        <v>#REF!</v>
      </c>
      <c r="FU28" t="e">
        <f>AND(Liste!#REF!,"AAAAAD/7brA=")</f>
        <v>#REF!</v>
      </c>
      <c r="FV28" t="e">
        <f>AND(Liste!#REF!,"AAAAAD/7brE=")</f>
        <v>#REF!</v>
      </c>
      <c r="FW28" t="e">
        <f>AND(Liste!#REF!,"AAAAAD/7brI=")</f>
        <v>#REF!</v>
      </c>
      <c r="FX28" t="e">
        <f>AND(Liste!#REF!,"AAAAAD/7brM=")</f>
        <v>#REF!</v>
      </c>
      <c r="FY28" t="e">
        <f>AND(Liste!#REF!,"AAAAAD/7brQ=")</f>
        <v>#REF!</v>
      </c>
      <c r="FZ28" t="e">
        <f>AND(Liste!#REF!,"AAAAAD/7brU=")</f>
        <v>#REF!</v>
      </c>
      <c r="GA28" t="e">
        <f>AND(Liste!#REF!,"AAAAAD/7brY=")</f>
        <v>#REF!</v>
      </c>
      <c r="GB28" t="e">
        <f>AND(Liste!#REF!,"AAAAAD/7brc=")</f>
        <v>#REF!</v>
      </c>
      <c r="GC28" t="e">
        <f>AND(Liste!#REF!,"AAAAAD/7brg=")</f>
        <v>#REF!</v>
      </c>
      <c r="GD28" t="e">
        <f>AND(Liste!#REF!,"AAAAAD/7brk=")</f>
        <v>#REF!</v>
      </c>
      <c r="GE28" t="e">
        <f>AND(Liste!#REF!,"AAAAAD/7bro=")</f>
        <v>#REF!</v>
      </c>
      <c r="GF28">
        <f>IF(Liste!217:217,"AAAAAD/7brs=",0)</f>
        <v>0</v>
      </c>
      <c r="GG28" t="b">
        <f>AND(Liste!A217,"AAAAAD/7brw=")</f>
        <v>1</v>
      </c>
      <c r="GH28" t="e">
        <f>AND(Liste!#REF!,"AAAAAD/7br0=")</f>
        <v>#REF!</v>
      </c>
      <c r="GI28" t="e">
        <f>AND(Liste!#REF!,"AAAAAD/7br4=")</f>
        <v>#REF!</v>
      </c>
      <c r="GJ28" t="e">
        <f>AND(Liste!#REF!,"AAAAAD/7br8=")</f>
        <v>#REF!</v>
      </c>
      <c r="GK28" t="e">
        <f>AND(Liste!F273,"AAAAAD/7bsA=")</f>
        <v>#VALUE!</v>
      </c>
      <c r="GL28" t="e">
        <f>AND(Liste!G273,"AAAAAD/7bsE=")</f>
        <v>#VALUE!</v>
      </c>
      <c r="GM28" t="e">
        <f>AND(Liste!H273,"AAAAAD/7bsI=")</f>
        <v>#VALUE!</v>
      </c>
      <c r="GN28" t="e">
        <f>AND(Liste!I273,"AAAAAD/7bsM=")</f>
        <v>#VALUE!</v>
      </c>
      <c r="GO28" t="e">
        <f>AND(Liste!J273,"AAAAAD/7bsQ=")</f>
        <v>#VALUE!</v>
      </c>
      <c r="GP28" t="e">
        <f>AND(Liste!#REF!,"AAAAAD/7bsU=")</f>
        <v>#REF!</v>
      </c>
      <c r="GQ28" t="e">
        <f>AND(Liste!#REF!,"AAAAAD/7bsY=")</f>
        <v>#REF!</v>
      </c>
      <c r="GR28" t="e">
        <f>AND(Liste!#REF!,"AAAAAD/7bsc=")</f>
        <v>#REF!</v>
      </c>
      <c r="GS28" t="e">
        <f>AND(Liste!#REF!,"AAAAAD/7bsg=")</f>
        <v>#REF!</v>
      </c>
      <c r="GT28" t="e">
        <f>AND(Liste!#REF!,"AAAAAD/7bsk=")</f>
        <v>#REF!</v>
      </c>
      <c r="GU28" t="e">
        <f>AND(Liste!#REF!,"AAAAAD/7bso=")</f>
        <v>#REF!</v>
      </c>
      <c r="GV28" t="e">
        <f>AND(Liste!#REF!,"AAAAAD/7bss=")</f>
        <v>#REF!</v>
      </c>
      <c r="GW28" t="e">
        <f>AND(Liste!#REF!,"AAAAAD/7bsw=")</f>
        <v>#REF!</v>
      </c>
      <c r="GX28" t="e">
        <f>AND(Liste!#REF!,"AAAAAD/7bs0=")</f>
        <v>#REF!</v>
      </c>
      <c r="GY28" t="e">
        <f>AND(Liste!#REF!,"AAAAAD/7bs4=")</f>
        <v>#REF!</v>
      </c>
      <c r="GZ28" t="e">
        <f>AND(Liste!#REF!,"AAAAAD/7bs8=")</f>
        <v>#REF!</v>
      </c>
      <c r="HA28" t="e">
        <f>AND(Liste!#REF!,"AAAAAD/7btA=")</f>
        <v>#REF!</v>
      </c>
      <c r="HB28" t="e">
        <f>AND(Liste!#REF!,"AAAAAD/7btE=")</f>
        <v>#REF!</v>
      </c>
      <c r="HC28" t="e">
        <f>AND(Liste!#REF!,"AAAAAD/7btI=")</f>
        <v>#REF!</v>
      </c>
      <c r="HD28" t="e">
        <f>AND(Liste!#REF!,"AAAAAD/7btM=")</f>
        <v>#REF!</v>
      </c>
      <c r="HE28" t="e">
        <f>AND(Liste!#REF!,"AAAAAD/7btQ=")</f>
        <v>#REF!</v>
      </c>
      <c r="HF28" t="e">
        <f>AND(Liste!#REF!,"AAAAAD/7btU=")</f>
        <v>#REF!</v>
      </c>
      <c r="HG28" t="e">
        <f>AND(Liste!#REF!,"AAAAAD/7btY=")</f>
        <v>#REF!</v>
      </c>
      <c r="HH28" t="e">
        <f>AND(Liste!#REF!,"AAAAAD/7btc=")</f>
        <v>#REF!</v>
      </c>
      <c r="HI28" t="e">
        <f>AND(Liste!#REF!,"AAAAAD/7btg=")</f>
        <v>#REF!</v>
      </c>
      <c r="HJ28" t="e">
        <f>AND(Liste!#REF!,"AAAAAD/7btk=")</f>
        <v>#REF!</v>
      </c>
      <c r="HK28">
        <f>IF(Liste!218:218,"AAAAAD/7bto=",0)</f>
        <v>0</v>
      </c>
      <c r="HL28" t="b">
        <f>AND(Liste!A218,"AAAAAD/7bts=")</f>
        <v>1</v>
      </c>
      <c r="HM28" t="e">
        <f>AND(Liste!#REF!,"AAAAAD/7btw=")</f>
        <v>#REF!</v>
      </c>
      <c r="HN28" t="e">
        <f>AND(Liste!#REF!,"AAAAAD/7bt0=")</f>
        <v>#REF!</v>
      </c>
      <c r="HO28" t="e">
        <f>AND(Liste!#REF!,"AAAAAD/7bt4=")</f>
        <v>#REF!</v>
      </c>
      <c r="HP28" t="e">
        <f>AND(Liste!F274,"AAAAAD/7bt8=")</f>
        <v>#VALUE!</v>
      </c>
      <c r="HQ28" t="e">
        <f>AND(Liste!G274,"AAAAAD/7buA=")</f>
        <v>#VALUE!</v>
      </c>
      <c r="HR28" t="e">
        <f>AND(Liste!H274,"AAAAAD/7buE=")</f>
        <v>#VALUE!</v>
      </c>
      <c r="HS28" t="e">
        <f>AND(Liste!I274,"AAAAAD/7buI=")</f>
        <v>#VALUE!</v>
      </c>
      <c r="HT28" t="e">
        <f>AND(Liste!J274,"AAAAAD/7buM=")</f>
        <v>#VALUE!</v>
      </c>
      <c r="HU28" t="e">
        <f>AND(Liste!#REF!,"AAAAAD/7buQ=")</f>
        <v>#REF!</v>
      </c>
      <c r="HV28" t="e">
        <f>AND(Liste!#REF!,"AAAAAD/7buU=")</f>
        <v>#REF!</v>
      </c>
      <c r="HW28" t="e">
        <f>AND(Liste!#REF!,"AAAAAD/7buY=")</f>
        <v>#REF!</v>
      </c>
      <c r="HX28" t="e">
        <f>AND(Liste!#REF!,"AAAAAD/7buc=")</f>
        <v>#REF!</v>
      </c>
      <c r="HY28" t="e">
        <f>AND(Liste!#REF!,"AAAAAD/7bug=")</f>
        <v>#REF!</v>
      </c>
      <c r="HZ28" t="e">
        <f>AND(Liste!#REF!,"AAAAAD/7buk=")</f>
        <v>#REF!</v>
      </c>
      <c r="IA28" t="e">
        <f>AND(Liste!#REF!,"AAAAAD/7buo=")</f>
        <v>#REF!</v>
      </c>
      <c r="IB28" t="e">
        <f>AND(Liste!#REF!,"AAAAAD/7bus=")</f>
        <v>#REF!</v>
      </c>
      <c r="IC28" t="e">
        <f>AND(Liste!#REF!,"AAAAAD/7buw=")</f>
        <v>#REF!</v>
      </c>
      <c r="ID28" t="e">
        <f>AND(Liste!#REF!,"AAAAAD/7bu0=")</f>
        <v>#REF!</v>
      </c>
      <c r="IE28" t="e">
        <f>AND(Liste!#REF!,"AAAAAD/7bu4=")</f>
        <v>#REF!</v>
      </c>
      <c r="IF28" t="e">
        <f>AND(Liste!#REF!,"AAAAAD/7bu8=")</f>
        <v>#REF!</v>
      </c>
      <c r="IG28" t="e">
        <f>AND(Liste!#REF!,"AAAAAD/7bvA=")</f>
        <v>#REF!</v>
      </c>
      <c r="IH28" t="e">
        <f>AND(Liste!#REF!,"AAAAAD/7bvE=")</f>
        <v>#REF!</v>
      </c>
      <c r="II28" t="e">
        <f>AND(Liste!#REF!,"AAAAAD/7bvI=")</f>
        <v>#REF!</v>
      </c>
      <c r="IJ28" t="e">
        <f>AND(Liste!#REF!,"AAAAAD/7bvM=")</f>
        <v>#REF!</v>
      </c>
      <c r="IK28" t="e">
        <f>AND(Liste!#REF!,"AAAAAD/7bvQ=")</f>
        <v>#REF!</v>
      </c>
      <c r="IL28" t="e">
        <f>AND(Liste!#REF!,"AAAAAD/7bvU=")</f>
        <v>#REF!</v>
      </c>
      <c r="IM28" t="e">
        <f>AND(Liste!#REF!,"AAAAAD/7bvY=")</f>
        <v>#REF!</v>
      </c>
      <c r="IN28" t="e">
        <f>AND(Liste!#REF!,"AAAAAD/7bvc=")</f>
        <v>#REF!</v>
      </c>
      <c r="IO28" t="e">
        <f>AND(Liste!#REF!,"AAAAAD/7bvg=")</f>
        <v>#REF!</v>
      </c>
      <c r="IP28">
        <f>IF(Liste!219:219,"AAAAAD/7bvk=",0)</f>
        <v>0</v>
      </c>
      <c r="IQ28" t="b">
        <f>AND(Liste!A219,"AAAAAD/7bvo=")</f>
        <v>1</v>
      </c>
      <c r="IR28" t="e">
        <f>AND(Liste!#REF!,"AAAAAD/7bvs=")</f>
        <v>#REF!</v>
      </c>
      <c r="IS28" t="e">
        <f>AND(Liste!#REF!,"AAAAAD/7bvw=")</f>
        <v>#REF!</v>
      </c>
      <c r="IT28" t="e">
        <f>AND(Liste!#REF!,"AAAAAD/7bv0=")</f>
        <v>#REF!</v>
      </c>
      <c r="IU28" t="e">
        <f>AND(Liste!F275,"AAAAAD/7bv4=")</f>
        <v>#VALUE!</v>
      </c>
      <c r="IV28" t="e">
        <f>AND(Liste!G275,"AAAAAD/7bv8=")</f>
        <v>#VALUE!</v>
      </c>
    </row>
    <row r="29" spans="1:256" x14ac:dyDescent="0.2">
      <c r="A29" t="e">
        <f>AND(Liste!H275,"AAAAADy9+wA=")</f>
        <v>#VALUE!</v>
      </c>
      <c r="B29" t="e">
        <f>AND(Liste!I275,"AAAAADy9+wE=")</f>
        <v>#VALUE!</v>
      </c>
      <c r="C29" t="e">
        <f>AND(Liste!J275,"AAAAADy9+wI=")</f>
        <v>#VALUE!</v>
      </c>
      <c r="D29" t="e">
        <f>AND(Liste!#REF!,"AAAAADy9+wM=")</f>
        <v>#REF!</v>
      </c>
      <c r="E29" t="e">
        <f>AND(Liste!#REF!,"AAAAADy9+wQ=")</f>
        <v>#REF!</v>
      </c>
      <c r="F29" t="e">
        <f>AND(Liste!#REF!,"AAAAADy9+wU=")</f>
        <v>#REF!</v>
      </c>
      <c r="G29" t="e">
        <f>AND(Liste!#REF!,"AAAAADy9+wY=")</f>
        <v>#REF!</v>
      </c>
      <c r="H29" t="e">
        <f>AND(Liste!#REF!,"AAAAADy9+wc=")</f>
        <v>#REF!</v>
      </c>
      <c r="I29" t="e">
        <f>AND(Liste!#REF!,"AAAAADy9+wg=")</f>
        <v>#REF!</v>
      </c>
      <c r="J29" t="e">
        <f>AND(Liste!#REF!,"AAAAADy9+wk=")</f>
        <v>#REF!</v>
      </c>
      <c r="K29" t="e">
        <f>AND(Liste!#REF!,"AAAAADy9+wo=")</f>
        <v>#REF!</v>
      </c>
      <c r="L29" t="e">
        <f>AND(Liste!#REF!,"AAAAADy9+ws=")</f>
        <v>#REF!</v>
      </c>
      <c r="M29" t="e">
        <f>AND(Liste!#REF!,"AAAAADy9+ww=")</f>
        <v>#REF!</v>
      </c>
      <c r="N29" t="e">
        <f>AND(Liste!#REF!,"AAAAADy9+w0=")</f>
        <v>#REF!</v>
      </c>
      <c r="O29" t="e">
        <f>AND(Liste!#REF!,"AAAAADy9+w4=")</f>
        <v>#REF!</v>
      </c>
      <c r="P29" t="e">
        <f>AND(Liste!#REF!,"AAAAADy9+w8=")</f>
        <v>#REF!</v>
      </c>
      <c r="Q29" t="e">
        <f>AND(Liste!#REF!,"AAAAADy9+xA=")</f>
        <v>#REF!</v>
      </c>
      <c r="R29" t="e">
        <f>AND(Liste!#REF!,"AAAAADy9+xE=")</f>
        <v>#REF!</v>
      </c>
      <c r="S29" t="e">
        <f>AND(Liste!#REF!,"AAAAADy9+xI=")</f>
        <v>#REF!</v>
      </c>
      <c r="T29" t="e">
        <f>AND(Liste!#REF!,"AAAAADy9+xM=")</f>
        <v>#REF!</v>
      </c>
      <c r="U29" t="e">
        <f>AND(Liste!#REF!,"AAAAADy9+xQ=")</f>
        <v>#REF!</v>
      </c>
      <c r="V29" t="e">
        <f>AND(Liste!#REF!,"AAAAADy9+xU=")</f>
        <v>#REF!</v>
      </c>
      <c r="W29" t="e">
        <f>AND(Liste!#REF!,"AAAAADy9+xY=")</f>
        <v>#REF!</v>
      </c>
      <c r="X29" t="e">
        <f>AND(Liste!#REF!,"AAAAADy9+xc=")</f>
        <v>#REF!</v>
      </c>
      <c r="Y29">
        <f>IF(Liste!220:220,"AAAAADy9+xg=",0)</f>
        <v>0</v>
      </c>
      <c r="Z29" t="b">
        <f>AND(Liste!A220,"AAAAADy9+xk=")</f>
        <v>1</v>
      </c>
      <c r="AA29" t="e">
        <f>AND(Liste!#REF!,"AAAAADy9+xo=")</f>
        <v>#REF!</v>
      </c>
      <c r="AB29" t="e">
        <f>AND(Liste!#REF!,"AAAAADy9+xs=")</f>
        <v>#REF!</v>
      </c>
      <c r="AC29" t="e">
        <f>AND(Liste!#REF!,"AAAAADy9+xw=")</f>
        <v>#REF!</v>
      </c>
      <c r="AD29" t="e">
        <f>AND(Liste!F276,"AAAAADy9+x0=")</f>
        <v>#VALUE!</v>
      </c>
      <c r="AE29" t="e">
        <f>AND(Liste!G276,"AAAAADy9+x4=")</f>
        <v>#VALUE!</v>
      </c>
      <c r="AF29" t="e">
        <f>AND(Liste!H276,"AAAAADy9+x8=")</f>
        <v>#VALUE!</v>
      </c>
      <c r="AG29" t="e">
        <f>AND(Liste!I276,"AAAAADy9+yA=")</f>
        <v>#VALUE!</v>
      </c>
      <c r="AH29" t="e">
        <f>AND(Liste!J276,"AAAAADy9+yE=")</f>
        <v>#VALUE!</v>
      </c>
      <c r="AI29" t="e">
        <f>AND(Liste!#REF!,"AAAAADy9+yI=")</f>
        <v>#REF!</v>
      </c>
      <c r="AJ29" t="e">
        <f>AND(Liste!#REF!,"AAAAADy9+yM=")</f>
        <v>#REF!</v>
      </c>
      <c r="AK29" t="e">
        <f>AND(Liste!#REF!,"AAAAADy9+yQ=")</f>
        <v>#REF!</v>
      </c>
      <c r="AL29" t="e">
        <f>AND(Liste!#REF!,"AAAAADy9+yU=")</f>
        <v>#REF!</v>
      </c>
      <c r="AM29" t="e">
        <f>AND(Liste!#REF!,"AAAAADy9+yY=")</f>
        <v>#REF!</v>
      </c>
      <c r="AN29" t="e">
        <f>AND(Liste!#REF!,"AAAAADy9+yc=")</f>
        <v>#REF!</v>
      </c>
      <c r="AO29" t="e">
        <f>AND(Liste!#REF!,"AAAAADy9+yg=")</f>
        <v>#REF!</v>
      </c>
      <c r="AP29" t="e">
        <f>AND(Liste!#REF!,"AAAAADy9+yk=")</f>
        <v>#REF!</v>
      </c>
      <c r="AQ29" t="e">
        <f>AND(Liste!#REF!,"AAAAADy9+yo=")</f>
        <v>#REF!</v>
      </c>
      <c r="AR29" t="e">
        <f>AND(Liste!#REF!,"AAAAADy9+ys=")</f>
        <v>#REF!</v>
      </c>
      <c r="AS29" t="e">
        <f>AND(Liste!#REF!,"AAAAADy9+yw=")</f>
        <v>#REF!</v>
      </c>
      <c r="AT29" t="e">
        <f>AND(Liste!#REF!,"AAAAADy9+y0=")</f>
        <v>#REF!</v>
      </c>
      <c r="AU29" t="e">
        <f>AND(Liste!#REF!,"AAAAADy9+y4=")</f>
        <v>#REF!</v>
      </c>
      <c r="AV29" t="e">
        <f>AND(Liste!#REF!,"AAAAADy9+y8=")</f>
        <v>#REF!</v>
      </c>
      <c r="AW29" t="e">
        <f>AND(Liste!#REF!,"AAAAADy9+zA=")</f>
        <v>#REF!</v>
      </c>
      <c r="AX29" t="e">
        <f>AND(Liste!#REF!,"AAAAADy9+zE=")</f>
        <v>#REF!</v>
      </c>
      <c r="AY29" t="e">
        <f>AND(Liste!#REF!,"AAAAADy9+zI=")</f>
        <v>#REF!</v>
      </c>
      <c r="AZ29" t="e">
        <f>AND(Liste!#REF!,"AAAAADy9+zM=")</f>
        <v>#REF!</v>
      </c>
      <c r="BA29" t="e">
        <f>AND(Liste!#REF!,"AAAAADy9+zQ=")</f>
        <v>#REF!</v>
      </c>
      <c r="BB29" t="e">
        <f>AND(Liste!#REF!,"AAAAADy9+zU=")</f>
        <v>#REF!</v>
      </c>
      <c r="BC29" t="e">
        <f>AND(Liste!#REF!,"AAAAADy9+zY=")</f>
        <v>#REF!</v>
      </c>
      <c r="BD29">
        <f>IF(Liste!221:221,"AAAAADy9+zc=",0)</f>
        <v>0</v>
      </c>
      <c r="BE29" t="b">
        <f>AND(Liste!A221,"AAAAADy9+zg=")</f>
        <v>1</v>
      </c>
      <c r="BF29" t="e">
        <f>AND(Liste!#REF!,"AAAAADy9+zk=")</f>
        <v>#REF!</v>
      </c>
      <c r="BG29" t="e">
        <f>AND(Liste!#REF!,"AAAAADy9+zo=")</f>
        <v>#REF!</v>
      </c>
      <c r="BH29" t="e">
        <f>AND(Liste!#REF!,"AAAAADy9+zs=")</f>
        <v>#REF!</v>
      </c>
      <c r="BI29" t="e">
        <f>AND(Liste!F277,"AAAAADy9+zw=")</f>
        <v>#VALUE!</v>
      </c>
      <c r="BJ29" t="e">
        <f>AND(Liste!G277,"AAAAADy9+z0=")</f>
        <v>#VALUE!</v>
      </c>
      <c r="BK29" t="e">
        <f>AND(Liste!H277,"AAAAADy9+z4=")</f>
        <v>#VALUE!</v>
      </c>
      <c r="BL29" t="e">
        <f>AND(Liste!I277,"AAAAADy9+z8=")</f>
        <v>#VALUE!</v>
      </c>
      <c r="BM29" t="e">
        <f>AND(Liste!J277,"AAAAADy9+0A=")</f>
        <v>#VALUE!</v>
      </c>
      <c r="BN29" t="e">
        <f>AND(Liste!#REF!,"AAAAADy9+0E=")</f>
        <v>#REF!</v>
      </c>
      <c r="BO29" t="e">
        <f>AND(Liste!#REF!,"AAAAADy9+0I=")</f>
        <v>#REF!</v>
      </c>
      <c r="BP29" t="e">
        <f>AND(Liste!#REF!,"AAAAADy9+0M=")</f>
        <v>#REF!</v>
      </c>
      <c r="BQ29" t="e">
        <f>AND(Liste!#REF!,"AAAAADy9+0Q=")</f>
        <v>#REF!</v>
      </c>
      <c r="BR29" t="e">
        <f>AND(Liste!#REF!,"AAAAADy9+0U=")</f>
        <v>#REF!</v>
      </c>
      <c r="BS29" t="e">
        <f>AND(Liste!#REF!,"AAAAADy9+0Y=")</f>
        <v>#REF!</v>
      </c>
      <c r="BT29" t="e">
        <f>AND(Liste!#REF!,"AAAAADy9+0c=")</f>
        <v>#REF!</v>
      </c>
      <c r="BU29" t="e">
        <f>AND(Liste!#REF!,"AAAAADy9+0g=")</f>
        <v>#REF!</v>
      </c>
      <c r="BV29" t="e">
        <f>AND(Liste!#REF!,"AAAAADy9+0k=")</f>
        <v>#REF!</v>
      </c>
      <c r="BW29" t="e">
        <f>AND(Liste!#REF!,"AAAAADy9+0o=")</f>
        <v>#REF!</v>
      </c>
      <c r="BX29" t="e">
        <f>AND(Liste!#REF!,"AAAAADy9+0s=")</f>
        <v>#REF!</v>
      </c>
      <c r="BY29" t="e">
        <f>AND(Liste!#REF!,"AAAAADy9+0w=")</f>
        <v>#REF!</v>
      </c>
      <c r="BZ29" t="e">
        <f>AND(Liste!#REF!,"AAAAADy9+00=")</f>
        <v>#REF!</v>
      </c>
      <c r="CA29" t="e">
        <f>AND(Liste!#REF!,"AAAAADy9+04=")</f>
        <v>#REF!</v>
      </c>
      <c r="CB29" t="e">
        <f>AND(Liste!#REF!,"AAAAADy9+08=")</f>
        <v>#REF!</v>
      </c>
      <c r="CC29" t="e">
        <f>AND(Liste!#REF!,"AAAAADy9+1A=")</f>
        <v>#REF!</v>
      </c>
      <c r="CD29" t="e">
        <f>AND(Liste!#REF!,"AAAAADy9+1E=")</f>
        <v>#REF!</v>
      </c>
      <c r="CE29" t="e">
        <f>AND(Liste!#REF!,"AAAAADy9+1I=")</f>
        <v>#REF!</v>
      </c>
      <c r="CF29" t="e">
        <f>AND(Liste!#REF!,"AAAAADy9+1M=")</f>
        <v>#REF!</v>
      </c>
      <c r="CG29" t="e">
        <f>AND(Liste!#REF!,"AAAAADy9+1Q=")</f>
        <v>#REF!</v>
      </c>
      <c r="CH29" t="e">
        <f>AND(Liste!#REF!,"AAAAADy9+1U=")</f>
        <v>#REF!</v>
      </c>
      <c r="CI29">
        <f>IF(Liste!222:222,"AAAAADy9+1Y=",0)</f>
        <v>0</v>
      </c>
      <c r="CJ29" t="b">
        <f>AND(Liste!A222,"AAAAADy9+1c=")</f>
        <v>1</v>
      </c>
      <c r="CK29" t="e">
        <f>AND(Liste!#REF!,"AAAAADy9+1g=")</f>
        <v>#REF!</v>
      </c>
      <c r="CL29" t="e">
        <f>AND(Liste!#REF!,"AAAAADy9+1k=")</f>
        <v>#REF!</v>
      </c>
      <c r="CM29" t="e">
        <f>AND(Liste!#REF!,"AAAAADy9+1o=")</f>
        <v>#REF!</v>
      </c>
      <c r="CN29" t="e">
        <f>AND(Liste!F278,"AAAAADy9+1s=")</f>
        <v>#VALUE!</v>
      </c>
      <c r="CO29" t="e">
        <f>AND(Liste!G278,"AAAAADy9+1w=")</f>
        <v>#VALUE!</v>
      </c>
      <c r="CP29" t="e">
        <f>AND(Liste!H278,"AAAAADy9+10=")</f>
        <v>#VALUE!</v>
      </c>
      <c r="CQ29" t="e">
        <f>AND(Liste!I278,"AAAAADy9+14=")</f>
        <v>#VALUE!</v>
      </c>
      <c r="CR29" t="e">
        <f>AND(Liste!J278,"AAAAADy9+18=")</f>
        <v>#VALUE!</v>
      </c>
      <c r="CS29" t="e">
        <f>AND(Liste!#REF!,"AAAAADy9+2A=")</f>
        <v>#REF!</v>
      </c>
      <c r="CT29" t="e">
        <f>AND(Liste!#REF!,"AAAAADy9+2E=")</f>
        <v>#REF!</v>
      </c>
      <c r="CU29" t="e">
        <f>AND(Liste!#REF!,"AAAAADy9+2I=")</f>
        <v>#REF!</v>
      </c>
      <c r="CV29" t="e">
        <f>AND(Liste!#REF!,"AAAAADy9+2M=")</f>
        <v>#REF!</v>
      </c>
      <c r="CW29" t="e">
        <f>AND(Liste!#REF!,"AAAAADy9+2Q=")</f>
        <v>#REF!</v>
      </c>
      <c r="CX29" t="e">
        <f>AND(Liste!#REF!,"AAAAADy9+2U=")</f>
        <v>#REF!</v>
      </c>
      <c r="CY29" t="e">
        <f>AND(Liste!#REF!,"AAAAADy9+2Y=")</f>
        <v>#REF!</v>
      </c>
      <c r="CZ29" t="e">
        <f>AND(Liste!#REF!,"AAAAADy9+2c=")</f>
        <v>#REF!</v>
      </c>
      <c r="DA29" t="e">
        <f>AND(Liste!#REF!,"AAAAADy9+2g=")</f>
        <v>#REF!</v>
      </c>
      <c r="DB29" t="e">
        <f>AND(Liste!#REF!,"AAAAADy9+2k=")</f>
        <v>#REF!</v>
      </c>
      <c r="DC29" t="e">
        <f>AND(Liste!#REF!,"AAAAADy9+2o=")</f>
        <v>#REF!</v>
      </c>
      <c r="DD29" t="e">
        <f>AND(Liste!#REF!,"AAAAADy9+2s=")</f>
        <v>#REF!</v>
      </c>
      <c r="DE29" t="e">
        <f>AND(Liste!#REF!,"AAAAADy9+2w=")</f>
        <v>#REF!</v>
      </c>
      <c r="DF29" t="e">
        <f>AND(Liste!#REF!,"AAAAADy9+20=")</f>
        <v>#REF!</v>
      </c>
      <c r="DG29" t="e">
        <f>AND(Liste!#REF!,"AAAAADy9+24=")</f>
        <v>#REF!</v>
      </c>
      <c r="DH29" t="e">
        <f>AND(Liste!#REF!,"AAAAADy9+28=")</f>
        <v>#REF!</v>
      </c>
      <c r="DI29" t="e">
        <f>AND(Liste!#REF!,"AAAAADy9+3A=")</f>
        <v>#REF!</v>
      </c>
      <c r="DJ29" t="e">
        <f>AND(Liste!#REF!,"AAAAADy9+3E=")</f>
        <v>#REF!</v>
      </c>
      <c r="DK29" t="e">
        <f>AND(Liste!#REF!,"AAAAADy9+3I=")</f>
        <v>#REF!</v>
      </c>
      <c r="DL29" t="e">
        <f>AND(Liste!#REF!,"AAAAADy9+3M=")</f>
        <v>#REF!</v>
      </c>
      <c r="DM29" t="e">
        <f>AND(Liste!#REF!,"AAAAADy9+3Q=")</f>
        <v>#REF!</v>
      </c>
      <c r="DN29">
        <f>IF(Liste!223:223,"AAAAADy9+3U=",0)</f>
        <v>0</v>
      </c>
      <c r="DO29" t="b">
        <f>AND(Liste!A223,"AAAAADy9+3Y=")</f>
        <v>1</v>
      </c>
      <c r="DP29" t="e">
        <f>AND(Liste!#REF!,"AAAAADy9+3c=")</f>
        <v>#REF!</v>
      </c>
      <c r="DQ29" t="e">
        <f>AND(Liste!#REF!,"AAAAADy9+3g=")</f>
        <v>#REF!</v>
      </c>
      <c r="DR29" t="e">
        <f>AND(Liste!#REF!,"AAAAADy9+3k=")</f>
        <v>#REF!</v>
      </c>
      <c r="DS29" t="e">
        <f>AND(Liste!F279,"AAAAADy9+3o=")</f>
        <v>#VALUE!</v>
      </c>
      <c r="DT29" t="e">
        <f>AND(Liste!G279,"AAAAADy9+3s=")</f>
        <v>#VALUE!</v>
      </c>
      <c r="DU29" t="e">
        <f>AND(Liste!H279,"AAAAADy9+3w=")</f>
        <v>#VALUE!</v>
      </c>
      <c r="DV29" t="e">
        <f>AND(Liste!I279,"AAAAADy9+30=")</f>
        <v>#VALUE!</v>
      </c>
      <c r="DW29" t="e">
        <f>AND(Liste!J279,"AAAAADy9+34=")</f>
        <v>#VALUE!</v>
      </c>
      <c r="DX29" t="e">
        <f>AND(Liste!#REF!,"AAAAADy9+38=")</f>
        <v>#REF!</v>
      </c>
      <c r="DY29" t="e">
        <f>AND(Liste!#REF!,"AAAAADy9+4A=")</f>
        <v>#REF!</v>
      </c>
      <c r="DZ29" t="e">
        <f>AND(Liste!#REF!,"AAAAADy9+4E=")</f>
        <v>#REF!</v>
      </c>
      <c r="EA29" t="e">
        <f>AND(Liste!#REF!,"AAAAADy9+4I=")</f>
        <v>#REF!</v>
      </c>
      <c r="EB29" t="e">
        <f>AND(Liste!#REF!,"AAAAADy9+4M=")</f>
        <v>#REF!</v>
      </c>
      <c r="EC29" t="e">
        <f>AND(Liste!#REF!,"AAAAADy9+4Q=")</f>
        <v>#REF!</v>
      </c>
      <c r="ED29" t="e">
        <f>AND(Liste!#REF!,"AAAAADy9+4U=")</f>
        <v>#REF!</v>
      </c>
      <c r="EE29" t="e">
        <f>AND(Liste!#REF!,"AAAAADy9+4Y=")</f>
        <v>#REF!</v>
      </c>
      <c r="EF29" t="e">
        <f>AND(Liste!#REF!,"AAAAADy9+4c=")</f>
        <v>#REF!</v>
      </c>
      <c r="EG29" t="e">
        <f>AND(Liste!#REF!,"AAAAADy9+4g=")</f>
        <v>#REF!</v>
      </c>
      <c r="EH29" t="e">
        <f>AND(Liste!#REF!,"AAAAADy9+4k=")</f>
        <v>#REF!</v>
      </c>
      <c r="EI29" t="e">
        <f>AND(Liste!#REF!,"AAAAADy9+4o=")</f>
        <v>#REF!</v>
      </c>
      <c r="EJ29" t="e">
        <f>AND(Liste!#REF!,"AAAAADy9+4s=")</f>
        <v>#REF!</v>
      </c>
      <c r="EK29" t="e">
        <f>AND(Liste!#REF!,"AAAAADy9+4w=")</f>
        <v>#REF!</v>
      </c>
      <c r="EL29" t="e">
        <f>AND(Liste!#REF!,"AAAAADy9+40=")</f>
        <v>#REF!</v>
      </c>
      <c r="EM29" t="e">
        <f>AND(Liste!#REF!,"AAAAADy9+44=")</f>
        <v>#REF!</v>
      </c>
      <c r="EN29" t="e">
        <f>AND(Liste!#REF!,"AAAAADy9+48=")</f>
        <v>#REF!</v>
      </c>
      <c r="EO29" t="e">
        <f>AND(Liste!#REF!,"AAAAADy9+5A=")</f>
        <v>#REF!</v>
      </c>
      <c r="EP29" t="e">
        <f>AND(Liste!#REF!,"AAAAADy9+5E=")</f>
        <v>#REF!</v>
      </c>
      <c r="EQ29" t="e">
        <f>AND(Liste!#REF!,"AAAAADy9+5I=")</f>
        <v>#REF!</v>
      </c>
      <c r="ER29" t="e">
        <f>AND(Liste!#REF!,"AAAAADy9+5M=")</f>
        <v>#REF!</v>
      </c>
      <c r="ES29">
        <f>IF(Liste!224:224,"AAAAADy9+5Q=",0)</f>
        <v>0</v>
      </c>
      <c r="ET29" t="b">
        <f>AND(Liste!A224,"AAAAADy9+5U=")</f>
        <v>1</v>
      </c>
      <c r="EU29" t="e">
        <f>AND(Liste!#REF!,"AAAAADy9+5Y=")</f>
        <v>#REF!</v>
      </c>
      <c r="EV29" t="e">
        <f>AND(Liste!#REF!,"AAAAADy9+5c=")</f>
        <v>#REF!</v>
      </c>
      <c r="EW29" t="e">
        <f>AND(Liste!#REF!,"AAAAADy9+5g=")</f>
        <v>#REF!</v>
      </c>
      <c r="EX29" t="e">
        <f>AND(Liste!F280,"AAAAADy9+5k=")</f>
        <v>#VALUE!</v>
      </c>
      <c r="EY29" t="e">
        <f>AND(Liste!G280,"AAAAADy9+5o=")</f>
        <v>#VALUE!</v>
      </c>
      <c r="EZ29" t="e">
        <f>AND(Liste!H280,"AAAAADy9+5s=")</f>
        <v>#VALUE!</v>
      </c>
      <c r="FA29" t="e">
        <f>AND(Liste!I280,"AAAAADy9+5w=")</f>
        <v>#VALUE!</v>
      </c>
      <c r="FB29" t="e">
        <f>AND(Liste!J280,"AAAAADy9+50=")</f>
        <v>#VALUE!</v>
      </c>
      <c r="FC29" t="e">
        <f>AND(Liste!#REF!,"AAAAADy9+54=")</f>
        <v>#REF!</v>
      </c>
      <c r="FD29" t="e">
        <f>AND(Liste!#REF!,"AAAAADy9+58=")</f>
        <v>#REF!</v>
      </c>
      <c r="FE29" t="e">
        <f>AND(Liste!#REF!,"AAAAADy9+6A=")</f>
        <v>#REF!</v>
      </c>
      <c r="FF29" t="e">
        <f>AND(Liste!#REF!,"AAAAADy9+6E=")</f>
        <v>#REF!</v>
      </c>
      <c r="FG29" t="e">
        <f>AND(Liste!#REF!,"AAAAADy9+6I=")</f>
        <v>#REF!</v>
      </c>
      <c r="FH29" t="e">
        <f>AND(Liste!#REF!,"AAAAADy9+6M=")</f>
        <v>#REF!</v>
      </c>
      <c r="FI29" t="e">
        <f>AND(Liste!#REF!,"AAAAADy9+6Q=")</f>
        <v>#REF!</v>
      </c>
      <c r="FJ29" t="e">
        <f>AND(Liste!#REF!,"AAAAADy9+6U=")</f>
        <v>#REF!</v>
      </c>
      <c r="FK29" t="e">
        <f>AND(Liste!#REF!,"AAAAADy9+6Y=")</f>
        <v>#REF!</v>
      </c>
      <c r="FL29" t="e">
        <f>AND(Liste!#REF!,"AAAAADy9+6c=")</f>
        <v>#REF!</v>
      </c>
      <c r="FM29" t="e">
        <f>AND(Liste!#REF!,"AAAAADy9+6g=")</f>
        <v>#REF!</v>
      </c>
      <c r="FN29" t="e">
        <f>AND(Liste!#REF!,"AAAAADy9+6k=")</f>
        <v>#REF!</v>
      </c>
      <c r="FO29" t="e">
        <f>AND(Liste!#REF!,"AAAAADy9+6o=")</f>
        <v>#REF!</v>
      </c>
      <c r="FP29" t="e">
        <f>AND(Liste!#REF!,"AAAAADy9+6s=")</f>
        <v>#REF!</v>
      </c>
      <c r="FQ29" t="e">
        <f>AND(Liste!#REF!,"AAAAADy9+6w=")</f>
        <v>#REF!</v>
      </c>
      <c r="FR29" t="e">
        <f>AND(Liste!#REF!,"AAAAADy9+60=")</f>
        <v>#REF!</v>
      </c>
      <c r="FS29" t="e">
        <f>AND(Liste!#REF!,"AAAAADy9+64=")</f>
        <v>#REF!</v>
      </c>
      <c r="FT29" t="e">
        <f>AND(Liste!#REF!,"AAAAADy9+68=")</f>
        <v>#REF!</v>
      </c>
      <c r="FU29" t="e">
        <f>AND(Liste!#REF!,"AAAAADy9+7A=")</f>
        <v>#REF!</v>
      </c>
      <c r="FV29" t="e">
        <f>AND(Liste!#REF!,"AAAAADy9+7E=")</f>
        <v>#REF!</v>
      </c>
      <c r="FW29" t="e">
        <f>AND(Liste!#REF!,"AAAAADy9+7I=")</f>
        <v>#REF!</v>
      </c>
      <c r="FX29" t="e">
        <f>IF(Liste!#REF!,"AAAAADy9+7M=",0)</f>
        <v>#REF!</v>
      </c>
      <c r="FY29" t="e">
        <f>AND(Liste!#REF!,"AAAAADy9+7Q=")</f>
        <v>#REF!</v>
      </c>
      <c r="FZ29" t="e">
        <f>AND(Liste!#REF!,"AAAAADy9+7U=")</f>
        <v>#REF!</v>
      </c>
      <c r="GA29" t="e">
        <f>AND(Liste!#REF!,"AAAAADy9+7Y=")</f>
        <v>#REF!</v>
      </c>
      <c r="GB29" t="e">
        <f>AND(Liste!#REF!,"AAAAADy9+7c=")</f>
        <v>#REF!</v>
      </c>
      <c r="GC29" t="e">
        <f>AND(Liste!#REF!,"AAAAADy9+7g=")</f>
        <v>#REF!</v>
      </c>
      <c r="GD29" t="e">
        <f>AND(Liste!#REF!,"AAAAADy9+7k=")</f>
        <v>#REF!</v>
      </c>
      <c r="GE29" t="e">
        <f>AND(Liste!#REF!,"AAAAADy9+7o=")</f>
        <v>#REF!</v>
      </c>
      <c r="GF29" t="e">
        <f>AND(Liste!#REF!,"AAAAADy9+7s=")</f>
        <v>#REF!</v>
      </c>
      <c r="GG29" t="e">
        <f>AND(Liste!#REF!,"AAAAADy9+7w=")</f>
        <v>#REF!</v>
      </c>
      <c r="GH29" t="e">
        <f>AND(Liste!#REF!,"AAAAADy9+70=")</f>
        <v>#REF!</v>
      </c>
      <c r="GI29" t="e">
        <f>AND(Liste!#REF!,"AAAAADy9+74=")</f>
        <v>#REF!</v>
      </c>
      <c r="GJ29" t="e">
        <f>AND(Liste!#REF!,"AAAAADy9+78=")</f>
        <v>#REF!</v>
      </c>
      <c r="GK29" t="e">
        <f>AND(Liste!#REF!,"AAAAADy9+8A=")</f>
        <v>#REF!</v>
      </c>
      <c r="GL29" t="e">
        <f>AND(Liste!#REF!,"AAAAADy9+8E=")</f>
        <v>#REF!</v>
      </c>
      <c r="GM29" t="e">
        <f>AND(Liste!#REF!,"AAAAADy9+8I=")</f>
        <v>#REF!</v>
      </c>
      <c r="GN29" t="e">
        <f>AND(Liste!#REF!,"AAAAADy9+8M=")</f>
        <v>#REF!</v>
      </c>
      <c r="GO29" t="e">
        <f>AND(Liste!#REF!,"AAAAADy9+8Q=")</f>
        <v>#REF!</v>
      </c>
      <c r="GP29" t="e">
        <f>AND(Liste!#REF!,"AAAAADy9+8U=")</f>
        <v>#REF!</v>
      </c>
      <c r="GQ29" t="e">
        <f>AND(Liste!#REF!,"AAAAADy9+8Y=")</f>
        <v>#REF!</v>
      </c>
      <c r="GR29" t="e">
        <f>AND(Liste!#REF!,"AAAAADy9+8c=")</f>
        <v>#REF!</v>
      </c>
      <c r="GS29" t="e">
        <f>AND(Liste!#REF!,"AAAAADy9+8g=")</f>
        <v>#REF!</v>
      </c>
      <c r="GT29" t="e">
        <f>AND(Liste!#REF!,"AAAAADy9+8k=")</f>
        <v>#REF!</v>
      </c>
      <c r="GU29" t="e">
        <f>AND(Liste!#REF!,"AAAAADy9+8o=")</f>
        <v>#REF!</v>
      </c>
      <c r="GV29" t="e">
        <f>AND(Liste!#REF!,"AAAAADy9+8s=")</f>
        <v>#REF!</v>
      </c>
      <c r="GW29" t="e">
        <f>AND(Liste!#REF!,"AAAAADy9+8w=")</f>
        <v>#REF!</v>
      </c>
      <c r="GX29" t="e">
        <f>AND(Liste!#REF!,"AAAAADy9+80=")</f>
        <v>#REF!</v>
      </c>
      <c r="GY29" t="e">
        <f>AND(Liste!#REF!,"AAAAADy9+84=")</f>
        <v>#REF!</v>
      </c>
      <c r="GZ29" t="e">
        <f>AND(Liste!#REF!,"AAAAADy9+88=")</f>
        <v>#REF!</v>
      </c>
      <c r="HA29" t="e">
        <f>AND(Liste!#REF!,"AAAAADy9+9A=")</f>
        <v>#REF!</v>
      </c>
      <c r="HB29" t="e">
        <f>AND(Liste!#REF!,"AAAAADy9+9E=")</f>
        <v>#REF!</v>
      </c>
      <c r="HC29" t="e">
        <f>IF(Liste!#REF!,"AAAAADy9+9I=",0)</f>
        <v>#REF!</v>
      </c>
      <c r="HD29" t="e">
        <f>AND(Liste!#REF!,"AAAAADy9+9M=")</f>
        <v>#REF!</v>
      </c>
      <c r="HE29" t="e">
        <f>AND(Liste!#REF!,"AAAAADy9+9Q=")</f>
        <v>#REF!</v>
      </c>
      <c r="HF29" t="e">
        <f>AND(Liste!#REF!,"AAAAADy9+9U=")</f>
        <v>#REF!</v>
      </c>
      <c r="HG29" t="e">
        <f>AND(Liste!#REF!,"AAAAADy9+9Y=")</f>
        <v>#REF!</v>
      </c>
      <c r="HH29" t="e">
        <f>AND(Liste!#REF!,"AAAAADy9+9c=")</f>
        <v>#REF!</v>
      </c>
      <c r="HI29" t="e">
        <f>AND(Liste!#REF!,"AAAAADy9+9g=")</f>
        <v>#REF!</v>
      </c>
      <c r="HJ29" t="e">
        <f>AND(Liste!#REF!,"AAAAADy9+9k=")</f>
        <v>#REF!</v>
      </c>
      <c r="HK29" t="e">
        <f>AND(Liste!#REF!,"AAAAADy9+9o=")</f>
        <v>#REF!</v>
      </c>
      <c r="HL29" t="e">
        <f>AND(Liste!#REF!,"AAAAADy9+9s=")</f>
        <v>#REF!</v>
      </c>
      <c r="HM29" t="e">
        <f>AND(Liste!#REF!,"AAAAADy9+9w=")</f>
        <v>#REF!</v>
      </c>
      <c r="HN29" t="e">
        <f>AND(Liste!#REF!,"AAAAADy9+90=")</f>
        <v>#REF!</v>
      </c>
      <c r="HO29" t="e">
        <f>AND(Liste!#REF!,"AAAAADy9+94=")</f>
        <v>#REF!</v>
      </c>
      <c r="HP29" t="e">
        <f>AND(Liste!#REF!,"AAAAADy9+98=")</f>
        <v>#REF!</v>
      </c>
      <c r="HQ29" t="e">
        <f>AND(Liste!#REF!,"AAAAADy9++A=")</f>
        <v>#REF!</v>
      </c>
      <c r="HR29" t="e">
        <f>AND(Liste!#REF!,"AAAAADy9++E=")</f>
        <v>#REF!</v>
      </c>
      <c r="HS29" t="e">
        <f>AND(Liste!#REF!,"AAAAADy9++I=")</f>
        <v>#REF!</v>
      </c>
      <c r="HT29" t="e">
        <f>AND(Liste!#REF!,"AAAAADy9++M=")</f>
        <v>#REF!</v>
      </c>
      <c r="HU29" t="e">
        <f>AND(Liste!#REF!,"AAAAADy9++Q=")</f>
        <v>#REF!</v>
      </c>
      <c r="HV29" t="e">
        <f>AND(Liste!#REF!,"AAAAADy9++U=")</f>
        <v>#REF!</v>
      </c>
      <c r="HW29" t="e">
        <f>AND(Liste!#REF!,"AAAAADy9++Y=")</f>
        <v>#REF!</v>
      </c>
      <c r="HX29" t="e">
        <f>AND(Liste!#REF!,"AAAAADy9++c=")</f>
        <v>#REF!</v>
      </c>
      <c r="HY29" t="e">
        <f>AND(Liste!#REF!,"AAAAADy9++g=")</f>
        <v>#REF!</v>
      </c>
      <c r="HZ29" t="e">
        <f>AND(Liste!#REF!,"AAAAADy9++k=")</f>
        <v>#REF!</v>
      </c>
      <c r="IA29" t="e">
        <f>AND(Liste!#REF!,"AAAAADy9++o=")</f>
        <v>#REF!</v>
      </c>
      <c r="IB29" t="e">
        <f>AND(Liste!#REF!,"AAAAADy9++s=")</f>
        <v>#REF!</v>
      </c>
      <c r="IC29" t="e">
        <f>AND(Liste!#REF!,"AAAAADy9++w=")</f>
        <v>#REF!</v>
      </c>
      <c r="ID29" t="e">
        <f>AND(Liste!#REF!,"AAAAADy9++0=")</f>
        <v>#REF!</v>
      </c>
      <c r="IE29" t="e">
        <f>AND(Liste!#REF!,"AAAAADy9++4=")</f>
        <v>#REF!</v>
      </c>
      <c r="IF29" t="e">
        <f>AND(Liste!#REF!,"AAAAADy9++8=")</f>
        <v>#REF!</v>
      </c>
      <c r="IG29" t="e">
        <f>AND(Liste!#REF!,"AAAAADy9+/A=")</f>
        <v>#REF!</v>
      </c>
      <c r="IH29" t="e">
        <f>IF(Liste!#REF!,"AAAAADy9+/E=",0)</f>
        <v>#REF!</v>
      </c>
      <c r="II29" t="e">
        <f>AND(Liste!#REF!,"AAAAADy9+/I=")</f>
        <v>#REF!</v>
      </c>
      <c r="IJ29" t="e">
        <f>AND(Liste!#REF!,"AAAAADy9+/M=")</f>
        <v>#REF!</v>
      </c>
      <c r="IK29" t="e">
        <f>AND(Liste!#REF!,"AAAAADy9+/Q=")</f>
        <v>#REF!</v>
      </c>
      <c r="IL29" t="e">
        <f>AND(Liste!#REF!,"AAAAADy9+/U=")</f>
        <v>#REF!</v>
      </c>
      <c r="IM29" t="e">
        <f>AND(Liste!#REF!,"AAAAADy9+/Y=")</f>
        <v>#REF!</v>
      </c>
      <c r="IN29" t="e">
        <f>AND(Liste!#REF!,"AAAAADy9+/c=")</f>
        <v>#REF!</v>
      </c>
      <c r="IO29" t="e">
        <f>AND(Liste!#REF!,"AAAAADy9+/g=")</f>
        <v>#REF!</v>
      </c>
      <c r="IP29" t="e">
        <f>AND(Liste!#REF!,"AAAAADy9+/k=")</f>
        <v>#REF!</v>
      </c>
      <c r="IQ29" t="e">
        <f>AND(Liste!#REF!,"AAAAADy9+/o=")</f>
        <v>#REF!</v>
      </c>
      <c r="IR29" t="e">
        <f>AND(Liste!#REF!,"AAAAADy9+/s=")</f>
        <v>#REF!</v>
      </c>
      <c r="IS29" t="e">
        <f>AND(Liste!#REF!,"AAAAADy9+/w=")</f>
        <v>#REF!</v>
      </c>
      <c r="IT29" t="e">
        <f>AND(Liste!#REF!,"AAAAADy9+/0=")</f>
        <v>#REF!</v>
      </c>
      <c r="IU29" t="e">
        <f>AND(Liste!#REF!,"AAAAADy9+/4=")</f>
        <v>#REF!</v>
      </c>
      <c r="IV29" t="e">
        <f>AND(Liste!#REF!,"AAAAADy9+/8=")</f>
        <v>#REF!</v>
      </c>
    </row>
    <row r="30" spans="1:256" x14ac:dyDescent="0.2">
      <c r="A30" t="e">
        <f>AND(Liste!#REF!,"AAAAAFY0/wA=")</f>
        <v>#REF!</v>
      </c>
      <c r="B30" t="e">
        <f>AND(Liste!#REF!,"AAAAAFY0/wE=")</f>
        <v>#REF!</v>
      </c>
      <c r="C30" t="e">
        <f>AND(Liste!#REF!,"AAAAAFY0/wI=")</f>
        <v>#REF!</v>
      </c>
      <c r="D30" t="e">
        <f>AND(Liste!#REF!,"AAAAAFY0/wM=")</f>
        <v>#REF!</v>
      </c>
      <c r="E30" t="e">
        <f>AND(Liste!#REF!,"AAAAAFY0/wQ=")</f>
        <v>#REF!</v>
      </c>
      <c r="F30" t="e">
        <f>AND(Liste!#REF!,"AAAAAFY0/wU=")</f>
        <v>#REF!</v>
      </c>
      <c r="G30" t="e">
        <f>AND(Liste!#REF!,"AAAAAFY0/wY=")</f>
        <v>#REF!</v>
      </c>
      <c r="H30" t="e">
        <f>AND(Liste!#REF!,"AAAAAFY0/wc=")</f>
        <v>#REF!</v>
      </c>
      <c r="I30" t="e">
        <f>AND(Liste!#REF!,"AAAAAFY0/wg=")</f>
        <v>#REF!</v>
      </c>
      <c r="J30" t="e">
        <f>AND(Liste!#REF!,"AAAAAFY0/wk=")</f>
        <v>#REF!</v>
      </c>
      <c r="K30" t="e">
        <f>AND(Liste!#REF!,"AAAAAFY0/wo=")</f>
        <v>#REF!</v>
      </c>
      <c r="L30" t="e">
        <f>AND(Liste!#REF!,"AAAAAFY0/ws=")</f>
        <v>#REF!</v>
      </c>
      <c r="M30" t="e">
        <f>AND(Liste!#REF!,"AAAAAFY0/ww=")</f>
        <v>#REF!</v>
      </c>
      <c r="N30" t="e">
        <f>AND(Liste!#REF!,"AAAAAFY0/w0=")</f>
        <v>#REF!</v>
      </c>
      <c r="O30" t="e">
        <f>AND(Liste!#REF!,"AAAAAFY0/w4=")</f>
        <v>#REF!</v>
      </c>
      <c r="P30" t="e">
        <f>AND(Liste!#REF!,"AAAAAFY0/w8=")</f>
        <v>#REF!</v>
      </c>
      <c r="Q30" t="e">
        <f>IF(Liste!#REF!,"AAAAAFY0/xA=",0)</f>
        <v>#REF!</v>
      </c>
      <c r="R30" t="e">
        <f>AND(Liste!#REF!,"AAAAAFY0/xE=")</f>
        <v>#REF!</v>
      </c>
      <c r="S30" t="e">
        <f>AND(Liste!#REF!,"AAAAAFY0/xI=")</f>
        <v>#REF!</v>
      </c>
      <c r="T30" t="e">
        <f>AND(Liste!#REF!,"AAAAAFY0/xM=")</f>
        <v>#REF!</v>
      </c>
      <c r="U30" t="e">
        <f>AND(Liste!#REF!,"AAAAAFY0/xQ=")</f>
        <v>#REF!</v>
      </c>
      <c r="V30" t="e">
        <f>AND(Liste!#REF!,"AAAAAFY0/xU=")</f>
        <v>#REF!</v>
      </c>
      <c r="W30" t="e">
        <f>AND(Liste!#REF!,"AAAAAFY0/xY=")</f>
        <v>#REF!</v>
      </c>
      <c r="X30" t="e">
        <f>AND(Liste!#REF!,"AAAAAFY0/xc=")</f>
        <v>#REF!</v>
      </c>
      <c r="Y30" t="e">
        <f>AND(Liste!#REF!,"AAAAAFY0/xg=")</f>
        <v>#REF!</v>
      </c>
      <c r="Z30" t="e">
        <f>AND(Liste!#REF!,"AAAAAFY0/xk=")</f>
        <v>#REF!</v>
      </c>
      <c r="AA30" t="e">
        <f>AND(Liste!#REF!,"AAAAAFY0/xo=")</f>
        <v>#REF!</v>
      </c>
      <c r="AB30" t="e">
        <f>AND(Liste!#REF!,"AAAAAFY0/xs=")</f>
        <v>#REF!</v>
      </c>
      <c r="AC30" t="e">
        <f>AND(Liste!#REF!,"AAAAAFY0/xw=")</f>
        <v>#REF!</v>
      </c>
      <c r="AD30" t="e">
        <f>AND(Liste!#REF!,"AAAAAFY0/x0=")</f>
        <v>#REF!</v>
      </c>
      <c r="AE30" t="e">
        <f>AND(Liste!#REF!,"AAAAAFY0/x4=")</f>
        <v>#REF!</v>
      </c>
      <c r="AF30" t="e">
        <f>AND(Liste!#REF!,"AAAAAFY0/x8=")</f>
        <v>#REF!</v>
      </c>
      <c r="AG30" t="e">
        <f>AND(Liste!#REF!,"AAAAAFY0/yA=")</f>
        <v>#REF!</v>
      </c>
      <c r="AH30" t="e">
        <f>AND(Liste!#REF!,"AAAAAFY0/yE=")</f>
        <v>#REF!</v>
      </c>
      <c r="AI30" t="e">
        <f>AND(Liste!#REF!,"AAAAAFY0/yI=")</f>
        <v>#REF!</v>
      </c>
      <c r="AJ30" t="e">
        <f>AND(Liste!#REF!,"AAAAAFY0/yM=")</f>
        <v>#REF!</v>
      </c>
      <c r="AK30" t="e">
        <f>AND(Liste!#REF!,"AAAAAFY0/yQ=")</f>
        <v>#REF!</v>
      </c>
      <c r="AL30" t="e">
        <f>AND(Liste!#REF!,"AAAAAFY0/yU=")</f>
        <v>#REF!</v>
      </c>
      <c r="AM30" t="e">
        <f>AND(Liste!#REF!,"AAAAAFY0/yY=")</f>
        <v>#REF!</v>
      </c>
      <c r="AN30" t="e">
        <f>AND(Liste!#REF!,"AAAAAFY0/yc=")</f>
        <v>#REF!</v>
      </c>
      <c r="AO30" t="e">
        <f>AND(Liste!#REF!,"AAAAAFY0/yg=")</f>
        <v>#REF!</v>
      </c>
      <c r="AP30" t="e">
        <f>AND(Liste!#REF!,"AAAAAFY0/yk=")</f>
        <v>#REF!</v>
      </c>
      <c r="AQ30" t="e">
        <f>AND(Liste!#REF!,"AAAAAFY0/yo=")</f>
        <v>#REF!</v>
      </c>
      <c r="AR30" t="e">
        <f>AND(Liste!#REF!,"AAAAAFY0/ys=")</f>
        <v>#REF!</v>
      </c>
      <c r="AS30" t="e">
        <f>AND(Liste!#REF!,"AAAAAFY0/yw=")</f>
        <v>#REF!</v>
      </c>
      <c r="AT30" t="e">
        <f>AND(Liste!#REF!,"AAAAAFY0/y0=")</f>
        <v>#REF!</v>
      </c>
      <c r="AU30" t="e">
        <f>AND(Liste!#REF!,"AAAAAFY0/y4=")</f>
        <v>#REF!</v>
      </c>
      <c r="AV30" t="e">
        <f>IF(Liste!#REF!,"AAAAAFY0/y8=",0)</f>
        <v>#REF!</v>
      </c>
      <c r="AW30" t="e">
        <f>AND(Liste!#REF!,"AAAAAFY0/zA=")</f>
        <v>#REF!</v>
      </c>
      <c r="AX30" t="e">
        <f>AND(Liste!#REF!,"AAAAAFY0/zE=")</f>
        <v>#REF!</v>
      </c>
      <c r="AY30" t="e">
        <f>AND(Liste!#REF!,"AAAAAFY0/zI=")</f>
        <v>#REF!</v>
      </c>
      <c r="AZ30" t="e">
        <f>AND(Liste!#REF!,"AAAAAFY0/zM=")</f>
        <v>#REF!</v>
      </c>
      <c r="BA30" t="e">
        <f>AND(Liste!#REF!,"AAAAAFY0/zQ=")</f>
        <v>#REF!</v>
      </c>
      <c r="BB30" t="e">
        <f>AND(Liste!#REF!,"AAAAAFY0/zU=")</f>
        <v>#REF!</v>
      </c>
      <c r="BC30" t="e">
        <f>AND(Liste!#REF!,"AAAAAFY0/zY=")</f>
        <v>#REF!</v>
      </c>
      <c r="BD30" t="e">
        <f>AND(Liste!#REF!,"AAAAAFY0/zc=")</f>
        <v>#REF!</v>
      </c>
      <c r="BE30" t="e">
        <f>AND(Liste!#REF!,"AAAAAFY0/zg=")</f>
        <v>#REF!</v>
      </c>
      <c r="BF30" t="e">
        <f>AND(Liste!#REF!,"AAAAAFY0/zk=")</f>
        <v>#REF!</v>
      </c>
      <c r="BG30" t="e">
        <f>AND(Liste!#REF!,"AAAAAFY0/zo=")</f>
        <v>#REF!</v>
      </c>
      <c r="BH30" t="e">
        <f>AND(Liste!#REF!,"AAAAAFY0/zs=")</f>
        <v>#REF!</v>
      </c>
      <c r="BI30" t="e">
        <f>AND(Liste!#REF!,"AAAAAFY0/zw=")</f>
        <v>#REF!</v>
      </c>
      <c r="BJ30" t="e">
        <f>AND(Liste!#REF!,"AAAAAFY0/z0=")</f>
        <v>#REF!</v>
      </c>
      <c r="BK30" t="e">
        <f>AND(Liste!#REF!,"AAAAAFY0/z4=")</f>
        <v>#REF!</v>
      </c>
      <c r="BL30" t="e">
        <f>AND(Liste!#REF!,"AAAAAFY0/z8=")</f>
        <v>#REF!</v>
      </c>
      <c r="BM30" t="e">
        <f>AND(Liste!#REF!,"AAAAAFY0/0A=")</f>
        <v>#REF!</v>
      </c>
      <c r="BN30" t="e">
        <f>AND(Liste!#REF!,"AAAAAFY0/0E=")</f>
        <v>#REF!</v>
      </c>
      <c r="BO30" t="e">
        <f>AND(Liste!#REF!,"AAAAAFY0/0I=")</f>
        <v>#REF!</v>
      </c>
      <c r="BP30" t="e">
        <f>AND(Liste!#REF!,"AAAAAFY0/0M=")</f>
        <v>#REF!</v>
      </c>
      <c r="BQ30" t="e">
        <f>AND(Liste!#REF!,"AAAAAFY0/0Q=")</f>
        <v>#REF!</v>
      </c>
      <c r="BR30" t="e">
        <f>AND(Liste!#REF!,"AAAAAFY0/0U=")</f>
        <v>#REF!</v>
      </c>
      <c r="BS30" t="e">
        <f>AND(Liste!#REF!,"AAAAAFY0/0Y=")</f>
        <v>#REF!</v>
      </c>
      <c r="BT30" t="e">
        <f>AND(Liste!#REF!,"AAAAAFY0/0c=")</f>
        <v>#REF!</v>
      </c>
      <c r="BU30" t="e">
        <f>AND(Liste!#REF!,"AAAAAFY0/0g=")</f>
        <v>#REF!</v>
      </c>
      <c r="BV30" t="e">
        <f>AND(Liste!#REF!,"AAAAAFY0/0k=")</f>
        <v>#REF!</v>
      </c>
      <c r="BW30" t="e">
        <f>AND(Liste!#REF!,"AAAAAFY0/0o=")</f>
        <v>#REF!</v>
      </c>
      <c r="BX30" t="e">
        <f>AND(Liste!#REF!,"AAAAAFY0/0s=")</f>
        <v>#REF!</v>
      </c>
      <c r="BY30" t="e">
        <f>AND(Liste!#REF!,"AAAAAFY0/0w=")</f>
        <v>#REF!</v>
      </c>
      <c r="BZ30" t="e">
        <f>AND(Liste!#REF!,"AAAAAFY0/00=")</f>
        <v>#REF!</v>
      </c>
      <c r="CA30" t="e">
        <f>IF(Liste!#REF!,"AAAAAFY0/04=",0)</f>
        <v>#REF!</v>
      </c>
      <c r="CB30" t="e">
        <f>AND(Liste!#REF!,"AAAAAFY0/08=")</f>
        <v>#REF!</v>
      </c>
      <c r="CC30" t="e">
        <f>AND(Liste!#REF!,"AAAAAFY0/1A=")</f>
        <v>#REF!</v>
      </c>
      <c r="CD30" t="e">
        <f>AND(Liste!#REF!,"AAAAAFY0/1E=")</f>
        <v>#REF!</v>
      </c>
      <c r="CE30" t="e">
        <f>AND(Liste!#REF!,"AAAAAFY0/1I=")</f>
        <v>#REF!</v>
      </c>
      <c r="CF30" t="e">
        <f>AND(Liste!#REF!,"AAAAAFY0/1M=")</f>
        <v>#REF!</v>
      </c>
      <c r="CG30" t="e">
        <f>AND(Liste!#REF!,"AAAAAFY0/1Q=")</f>
        <v>#REF!</v>
      </c>
      <c r="CH30" t="e">
        <f>AND(Liste!#REF!,"AAAAAFY0/1U=")</f>
        <v>#REF!</v>
      </c>
      <c r="CI30" t="e">
        <f>AND(Liste!#REF!,"AAAAAFY0/1Y=")</f>
        <v>#REF!</v>
      </c>
      <c r="CJ30" t="e">
        <f>AND(Liste!#REF!,"AAAAAFY0/1c=")</f>
        <v>#REF!</v>
      </c>
      <c r="CK30" t="e">
        <f>AND(Liste!#REF!,"AAAAAFY0/1g=")</f>
        <v>#REF!</v>
      </c>
      <c r="CL30" t="e">
        <f>AND(Liste!#REF!,"AAAAAFY0/1k=")</f>
        <v>#REF!</v>
      </c>
      <c r="CM30" t="e">
        <f>AND(Liste!#REF!,"AAAAAFY0/1o=")</f>
        <v>#REF!</v>
      </c>
      <c r="CN30" t="e">
        <f>AND(Liste!#REF!,"AAAAAFY0/1s=")</f>
        <v>#REF!</v>
      </c>
      <c r="CO30" t="e">
        <f>AND(Liste!#REF!,"AAAAAFY0/1w=")</f>
        <v>#REF!</v>
      </c>
      <c r="CP30" t="e">
        <f>AND(Liste!#REF!,"AAAAAFY0/10=")</f>
        <v>#REF!</v>
      </c>
      <c r="CQ30" t="e">
        <f>AND(Liste!#REF!,"AAAAAFY0/14=")</f>
        <v>#REF!</v>
      </c>
      <c r="CR30" t="e">
        <f>AND(Liste!#REF!,"AAAAAFY0/18=")</f>
        <v>#REF!</v>
      </c>
      <c r="CS30" t="e">
        <f>AND(Liste!#REF!,"AAAAAFY0/2A=")</f>
        <v>#REF!</v>
      </c>
      <c r="CT30" t="e">
        <f>AND(Liste!#REF!,"AAAAAFY0/2E=")</f>
        <v>#REF!</v>
      </c>
      <c r="CU30" t="e">
        <f>AND(Liste!#REF!,"AAAAAFY0/2I=")</f>
        <v>#REF!</v>
      </c>
      <c r="CV30" t="e">
        <f>AND(Liste!#REF!,"AAAAAFY0/2M=")</f>
        <v>#REF!</v>
      </c>
      <c r="CW30" t="e">
        <f>AND(Liste!#REF!,"AAAAAFY0/2Q=")</f>
        <v>#REF!</v>
      </c>
      <c r="CX30" t="e">
        <f>AND(Liste!#REF!,"AAAAAFY0/2U=")</f>
        <v>#REF!</v>
      </c>
      <c r="CY30" t="e">
        <f>AND(Liste!#REF!,"AAAAAFY0/2Y=")</f>
        <v>#REF!</v>
      </c>
      <c r="CZ30" t="e">
        <f>AND(Liste!#REF!,"AAAAAFY0/2c=")</f>
        <v>#REF!</v>
      </c>
      <c r="DA30" t="e">
        <f>AND(Liste!#REF!,"AAAAAFY0/2g=")</f>
        <v>#REF!</v>
      </c>
      <c r="DB30" t="e">
        <f>AND(Liste!#REF!,"AAAAAFY0/2k=")</f>
        <v>#REF!</v>
      </c>
      <c r="DC30" t="e">
        <f>AND(Liste!#REF!,"AAAAAFY0/2o=")</f>
        <v>#REF!</v>
      </c>
      <c r="DD30" t="e">
        <f>AND(Liste!#REF!,"AAAAAFY0/2s=")</f>
        <v>#REF!</v>
      </c>
      <c r="DE30" t="e">
        <f>AND(Liste!#REF!,"AAAAAFY0/2w=")</f>
        <v>#REF!</v>
      </c>
      <c r="DF30" t="e">
        <f>IF(Liste!#REF!,"AAAAAFY0/20=",0)</f>
        <v>#REF!</v>
      </c>
      <c r="DG30" t="e">
        <f>AND(Liste!#REF!,"AAAAAFY0/24=")</f>
        <v>#REF!</v>
      </c>
      <c r="DH30" t="e">
        <f>AND(Liste!#REF!,"AAAAAFY0/28=")</f>
        <v>#REF!</v>
      </c>
      <c r="DI30" t="e">
        <f>AND(Liste!#REF!,"AAAAAFY0/3A=")</f>
        <v>#REF!</v>
      </c>
      <c r="DJ30" t="e">
        <f>AND(Liste!#REF!,"AAAAAFY0/3E=")</f>
        <v>#REF!</v>
      </c>
      <c r="DK30" t="e">
        <f>AND(Liste!#REF!,"AAAAAFY0/3I=")</f>
        <v>#REF!</v>
      </c>
      <c r="DL30" t="e">
        <f>AND(Liste!#REF!,"AAAAAFY0/3M=")</f>
        <v>#REF!</v>
      </c>
      <c r="DM30" t="e">
        <f>AND(Liste!#REF!,"AAAAAFY0/3Q=")</f>
        <v>#REF!</v>
      </c>
      <c r="DN30" t="e">
        <f>AND(Liste!#REF!,"AAAAAFY0/3U=")</f>
        <v>#REF!</v>
      </c>
      <c r="DO30" t="e">
        <f>AND(Liste!#REF!,"AAAAAFY0/3Y=")</f>
        <v>#REF!</v>
      </c>
      <c r="DP30" t="e">
        <f>AND(Liste!#REF!,"AAAAAFY0/3c=")</f>
        <v>#REF!</v>
      </c>
      <c r="DQ30" t="e">
        <f>AND(Liste!#REF!,"AAAAAFY0/3g=")</f>
        <v>#REF!</v>
      </c>
      <c r="DR30" t="e">
        <f>AND(Liste!#REF!,"AAAAAFY0/3k=")</f>
        <v>#REF!</v>
      </c>
      <c r="DS30" t="e">
        <f>AND(Liste!#REF!,"AAAAAFY0/3o=")</f>
        <v>#REF!</v>
      </c>
      <c r="DT30" t="e">
        <f>AND(Liste!#REF!,"AAAAAFY0/3s=")</f>
        <v>#REF!</v>
      </c>
      <c r="DU30" t="e">
        <f>AND(Liste!#REF!,"AAAAAFY0/3w=")</f>
        <v>#REF!</v>
      </c>
      <c r="DV30" t="e">
        <f>AND(Liste!#REF!,"AAAAAFY0/30=")</f>
        <v>#REF!</v>
      </c>
      <c r="DW30" t="e">
        <f>AND(Liste!#REF!,"AAAAAFY0/34=")</f>
        <v>#REF!</v>
      </c>
      <c r="DX30" t="e">
        <f>AND(Liste!#REF!,"AAAAAFY0/38=")</f>
        <v>#REF!</v>
      </c>
      <c r="DY30" t="e">
        <f>AND(Liste!#REF!,"AAAAAFY0/4A=")</f>
        <v>#REF!</v>
      </c>
      <c r="DZ30" t="e">
        <f>AND(Liste!#REF!,"AAAAAFY0/4E=")</f>
        <v>#REF!</v>
      </c>
      <c r="EA30" t="e">
        <f>AND(Liste!#REF!,"AAAAAFY0/4I=")</f>
        <v>#REF!</v>
      </c>
      <c r="EB30" t="e">
        <f>AND(Liste!#REF!,"AAAAAFY0/4M=")</f>
        <v>#REF!</v>
      </c>
      <c r="EC30" t="e">
        <f>AND(Liste!#REF!,"AAAAAFY0/4Q=")</f>
        <v>#REF!</v>
      </c>
      <c r="ED30" t="e">
        <f>AND(Liste!#REF!,"AAAAAFY0/4U=")</f>
        <v>#REF!</v>
      </c>
      <c r="EE30" t="e">
        <f>AND(Liste!#REF!,"AAAAAFY0/4Y=")</f>
        <v>#REF!</v>
      </c>
      <c r="EF30" t="e">
        <f>AND(Liste!#REF!,"AAAAAFY0/4c=")</f>
        <v>#REF!</v>
      </c>
      <c r="EG30" t="e">
        <f>AND(Liste!#REF!,"AAAAAFY0/4g=")</f>
        <v>#REF!</v>
      </c>
      <c r="EH30" t="e">
        <f>AND(Liste!#REF!,"AAAAAFY0/4k=")</f>
        <v>#REF!</v>
      </c>
      <c r="EI30" t="e">
        <f>AND(Liste!#REF!,"AAAAAFY0/4o=")</f>
        <v>#REF!</v>
      </c>
      <c r="EJ30" t="e">
        <f>AND(Liste!#REF!,"AAAAAFY0/4s=")</f>
        <v>#REF!</v>
      </c>
      <c r="EK30" t="e">
        <f>IF(Liste!#REF!,"AAAAAFY0/4w=",0)</f>
        <v>#REF!</v>
      </c>
      <c r="EL30" t="e">
        <f>AND(Liste!#REF!,"AAAAAFY0/40=")</f>
        <v>#REF!</v>
      </c>
      <c r="EM30" t="e">
        <f>AND(Liste!#REF!,"AAAAAFY0/44=")</f>
        <v>#REF!</v>
      </c>
      <c r="EN30" t="e">
        <f>AND(Liste!#REF!,"AAAAAFY0/48=")</f>
        <v>#REF!</v>
      </c>
      <c r="EO30" t="e">
        <f>AND(Liste!#REF!,"AAAAAFY0/5A=")</f>
        <v>#REF!</v>
      </c>
      <c r="EP30" t="e">
        <f>AND(Liste!#REF!,"AAAAAFY0/5E=")</f>
        <v>#REF!</v>
      </c>
      <c r="EQ30" t="e">
        <f>AND(Liste!#REF!,"AAAAAFY0/5I=")</f>
        <v>#REF!</v>
      </c>
      <c r="ER30" t="e">
        <f>AND(Liste!#REF!,"AAAAAFY0/5M=")</f>
        <v>#REF!</v>
      </c>
      <c r="ES30" t="e">
        <f>AND(Liste!#REF!,"AAAAAFY0/5Q=")</f>
        <v>#REF!</v>
      </c>
      <c r="ET30" t="e">
        <f>AND(Liste!#REF!,"AAAAAFY0/5U=")</f>
        <v>#REF!</v>
      </c>
      <c r="EU30" t="e">
        <f>AND(Liste!#REF!,"AAAAAFY0/5Y=")</f>
        <v>#REF!</v>
      </c>
      <c r="EV30" t="e">
        <f>AND(Liste!#REF!,"AAAAAFY0/5c=")</f>
        <v>#REF!</v>
      </c>
      <c r="EW30" t="e">
        <f>AND(Liste!#REF!,"AAAAAFY0/5g=")</f>
        <v>#REF!</v>
      </c>
      <c r="EX30" t="e">
        <f>AND(Liste!#REF!,"AAAAAFY0/5k=")</f>
        <v>#REF!</v>
      </c>
      <c r="EY30" t="e">
        <f>AND(Liste!#REF!,"AAAAAFY0/5o=")</f>
        <v>#REF!</v>
      </c>
      <c r="EZ30" t="e">
        <f>AND(Liste!#REF!,"AAAAAFY0/5s=")</f>
        <v>#REF!</v>
      </c>
      <c r="FA30" t="e">
        <f>AND(Liste!#REF!,"AAAAAFY0/5w=")</f>
        <v>#REF!</v>
      </c>
      <c r="FB30" t="e">
        <f>AND(Liste!#REF!,"AAAAAFY0/50=")</f>
        <v>#REF!</v>
      </c>
      <c r="FC30" t="e">
        <f>AND(Liste!#REF!,"AAAAAFY0/54=")</f>
        <v>#REF!</v>
      </c>
      <c r="FD30" t="e">
        <f>AND(Liste!#REF!,"AAAAAFY0/58=")</f>
        <v>#REF!</v>
      </c>
      <c r="FE30" t="e">
        <f>AND(Liste!#REF!,"AAAAAFY0/6A=")</f>
        <v>#REF!</v>
      </c>
      <c r="FF30" t="e">
        <f>AND(Liste!#REF!,"AAAAAFY0/6E=")</f>
        <v>#REF!</v>
      </c>
      <c r="FG30" t="e">
        <f>AND(Liste!#REF!,"AAAAAFY0/6I=")</f>
        <v>#REF!</v>
      </c>
      <c r="FH30" t="e">
        <f>AND(Liste!#REF!,"AAAAAFY0/6M=")</f>
        <v>#REF!</v>
      </c>
      <c r="FI30" t="e">
        <f>AND(Liste!#REF!,"AAAAAFY0/6Q=")</f>
        <v>#REF!</v>
      </c>
      <c r="FJ30" t="e">
        <f>AND(Liste!#REF!,"AAAAAFY0/6U=")</f>
        <v>#REF!</v>
      </c>
      <c r="FK30" t="e">
        <f>AND(Liste!#REF!,"AAAAAFY0/6Y=")</f>
        <v>#REF!</v>
      </c>
      <c r="FL30" t="e">
        <f>AND(Liste!#REF!,"AAAAAFY0/6c=")</f>
        <v>#REF!</v>
      </c>
      <c r="FM30" t="e">
        <f>AND(Liste!#REF!,"AAAAAFY0/6g=")</f>
        <v>#REF!</v>
      </c>
      <c r="FN30" t="e">
        <f>AND(Liste!#REF!,"AAAAAFY0/6k=")</f>
        <v>#REF!</v>
      </c>
      <c r="FO30" t="e">
        <f>AND(Liste!#REF!,"AAAAAFY0/6o=")</f>
        <v>#REF!</v>
      </c>
      <c r="FP30" t="e">
        <f>IF(Liste!#REF!,"AAAAAFY0/6s=",0)</f>
        <v>#REF!</v>
      </c>
      <c r="FQ30" t="e">
        <f>AND(Liste!#REF!,"AAAAAFY0/6w=")</f>
        <v>#REF!</v>
      </c>
      <c r="FR30" t="e">
        <f>AND(Liste!#REF!,"AAAAAFY0/60=")</f>
        <v>#REF!</v>
      </c>
      <c r="FS30" t="e">
        <f>AND(Liste!#REF!,"AAAAAFY0/64=")</f>
        <v>#REF!</v>
      </c>
      <c r="FT30" t="e">
        <f>AND(Liste!#REF!,"AAAAAFY0/68=")</f>
        <v>#REF!</v>
      </c>
      <c r="FU30" t="e">
        <f>AND(Liste!#REF!,"AAAAAFY0/7A=")</f>
        <v>#REF!</v>
      </c>
      <c r="FV30" t="e">
        <f>AND(Liste!#REF!,"AAAAAFY0/7E=")</f>
        <v>#REF!</v>
      </c>
      <c r="FW30" t="e">
        <f>AND(Liste!#REF!,"AAAAAFY0/7I=")</f>
        <v>#REF!</v>
      </c>
      <c r="FX30" t="e">
        <f>AND(Liste!#REF!,"AAAAAFY0/7M=")</f>
        <v>#REF!</v>
      </c>
      <c r="FY30" t="e">
        <f>AND(Liste!#REF!,"AAAAAFY0/7Q=")</f>
        <v>#REF!</v>
      </c>
      <c r="FZ30" t="e">
        <f>AND(Liste!#REF!,"AAAAAFY0/7U=")</f>
        <v>#REF!</v>
      </c>
      <c r="GA30" t="e">
        <f>AND(Liste!#REF!,"AAAAAFY0/7Y=")</f>
        <v>#REF!</v>
      </c>
      <c r="GB30" t="e">
        <f>AND(Liste!#REF!,"AAAAAFY0/7c=")</f>
        <v>#REF!</v>
      </c>
      <c r="GC30" t="e">
        <f>AND(Liste!#REF!,"AAAAAFY0/7g=")</f>
        <v>#REF!</v>
      </c>
      <c r="GD30" t="e">
        <f>AND(Liste!#REF!,"AAAAAFY0/7k=")</f>
        <v>#REF!</v>
      </c>
      <c r="GE30" t="e">
        <f>AND(Liste!#REF!,"AAAAAFY0/7o=")</f>
        <v>#REF!</v>
      </c>
      <c r="GF30" t="e">
        <f>AND(Liste!#REF!,"AAAAAFY0/7s=")</f>
        <v>#REF!</v>
      </c>
      <c r="GG30" t="e">
        <f>AND(Liste!#REF!,"AAAAAFY0/7w=")</f>
        <v>#REF!</v>
      </c>
      <c r="GH30" t="e">
        <f>AND(Liste!#REF!,"AAAAAFY0/70=")</f>
        <v>#REF!</v>
      </c>
      <c r="GI30" t="e">
        <f>AND(Liste!#REF!,"AAAAAFY0/74=")</f>
        <v>#REF!</v>
      </c>
      <c r="GJ30" t="e">
        <f>AND(Liste!#REF!,"AAAAAFY0/78=")</f>
        <v>#REF!</v>
      </c>
      <c r="GK30" t="e">
        <f>AND(Liste!#REF!,"AAAAAFY0/8A=")</f>
        <v>#REF!</v>
      </c>
      <c r="GL30" t="e">
        <f>AND(Liste!#REF!,"AAAAAFY0/8E=")</f>
        <v>#REF!</v>
      </c>
      <c r="GM30" t="e">
        <f>AND(Liste!#REF!,"AAAAAFY0/8I=")</f>
        <v>#REF!</v>
      </c>
      <c r="GN30" t="e">
        <f>AND(Liste!#REF!,"AAAAAFY0/8M=")</f>
        <v>#REF!</v>
      </c>
      <c r="GO30" t="e">
        <f>AND(Liste!#REF!,"AAAAAFY0/8Q=")</f>
        <v>#REF!</v>
      </c>
      <c r="GP30" t="e">
        <f>AND(Liste!#REF!,"AAAAAFY0/8U=")</f>
        <v>#REF!</v>
      </c>
      <c r="GQ30" t="e">
        <f>AND(Liste!#REF!,"AAAAAFY0/8Y=")</f>
        <v>#REF!</v>
      </c>
      <c r="GR30" t="e">
        <f>AND(Liste!#REF!,"AAAAAFY0/8c=")</f>
        <v>#REF!</v>
      </c>
      <c r="GS30" t="e">
        <f>AND(Liste!#REF!,"AAAAAFY0/8g=")</f>
        <v>#REF!</v>
      </c>
      <c r="GT30" t="e">
        <f>AND(Liste!#REF!,"AAAAAFY0/8k=")</f>
        <v>#REF!</v>
      </c>
      <c r="GU30" t="e">
        <f>IF(Liste!#REF!,"AAAAAFY0/8o=",0)</f>
        <v>#REF!</v>
      </c>
      <c r="GV30" t="e">
        <f>AND(Liste!#REF!,"AAAAAFY0/8s=")</f>
        <v>#REF!</v>
      </c>
      <c r="GW30" t="e">
        <f>AND(Liste!#REF!,"AAAAAFY0/8w=")</f>
        <v>#REF!</v>
      </c>
      <c r="GX30" t="e">
        <f>AND(Liste!#REF!,"AAAAAFY0/80=")</f>
        <v>#REF!</v>
      </c>
      <c r="GY30" t="e">
        <f>AND(Liste!#REF!,"AAAAAFY0/84=")</f>
        <v>#REF!</v>
      </c>
      <c r="GZ30" t="e">
        <f>AND(Liste!#REF!,"AAAAAFY0/88=")</f>
        <v>#REF!</v>
      </c>
      <c r="HA30" t="e">
        <f>AND(Liste!#REF!,"AAAAAFY0/9A=")</f>
        <v>#REF!</v>
      </c>
      <c r="HB30" t="e">
        <f>AND(Liste!#REF!,"AAAAAFY0/9E=")</f>
        <v>#REF!</v>
      </c>
      <c r="HC30" t="e">
        <f>AND(Liste!#REF!,"AAAAAFY0/9I=")</f>
        <v>#REF!</v>
      </c>
      <c r="HD30" t="e">
        <f>AND(Liste!#REF!,"AAAAAFY0/9M=")</f>
        <v>#REF!</v>
      </c>
      <c r="HE30" t="e">
        <f>AND(Liste!#REF!,"AAAAAFY0/9Q=")</f>
        <v>#REF!</v>
      </c>
      <c r="HF30" t="e">
        <f>AND(Liste!#REF!,"AAAAAFY0/9U=")</f>
        <v>#REF!</v>
      </c>
      <c r="HG30" t="e">
        <f>AND(Liste!#REF!,"AAAAAFY0/9Y=")</f>
        <v>#REF!</v>
      </c>
      <c r="HH30" t="e">
        <f>AND(Liste!#REF!,"AAAAAFY0/9c=")</f>
        <v>#REF!</v>
      </c>
      <c r="HI30" t="e">
        <f>AND(Liste!#REF!,"AAAAAFY0/9g=")</f>
        <v>#REF!</v>
      </c>
      <c r="HJ30" t="e">
        <f>AND(Liste!#REF!,"AAAAAFY0/9k=")</f>
        <v>#REF!</v>
      </c>
      <c r="HK30" t="e">
        <f>AND(Liste!#REF!,"AAAAAFY0/9o=")</f>
        <v>#REF!</v>
      </c>
      <c r="HL30" t="e">
        <f>AND(Liste!#REF!,"AAAAAFY0/9s=")</f>
        <v>#REF!</v>
      </c>
      <c r="HM30" t="e">
        <f>AND(Liste!#REF!,"AAAAAFY0/9w=")</f>
        <v>#REF!</v>
      </c>
      <c r="HN30" t="e">
        <f>AND(Liste!#REF!,"AAAAAFY0/90=")</f>
        <v>#REF!</v>
      </c>
      <c r="HO30" t="e">
        <f>AND(Liste!#REF!,"AAAAAFY0/94=")</f>
        <v>#REF!</v>
      </c>
      <c r="HP30" t="e">
        <f>AND(Liste!#REF!,"AAAAAFY0/98=")</f>
        <v>#REF!</v>
      </c>
      <c r="HQ30" t="e">
        <f>AND(Liste!#REF!,"AAAAAFY0/+A=")</f>
        <v>#REF!</v>
      </c>
      <c r="HR30" t="e">
        <f>AND(Liste!#REF!,"AAAAAFY0/+E=")</f>
        <v>#REF!</v>
      </c>
      <c r="HS30" t="e">
        <f>AND(Liste!#REF!,"AAAAAFY0/+I=")</f>
        <v>#REF!</v>
      </c>
      <c r="HT30" t="e">
        <f>AND(Liste!#REF!,"AAAAAFY0/+M=")</f>
        <v>#REF!</v>
      </c>
      <c r="HU30" t="e">
        <f>AND(Liste!#REF!,"AAAAAFY0/+Q=")</f>
        <v>#REF!</v>
      </c>
      <c r="HV30" t="e">
        <f>AND(Liste!#REF!,"AAAAAFY0/+U=")</f>
        <v>#REF!</v>
      </c>
      <c r="HW30" t="e">
        <f>AND(Liste!#REF!,"AAAAAFY0/+Y=")</f>
        <v>#REF!</v>
      </c>
      <c r="HX30" t="e">
        <f>AND(Liste!#REF!,"AAAAAFY0/+c=")</f>
        <v>#REF!</v>
      </c>
      <c r="HY30" t="e">
        <f>AND(Liste!#REF!,"AAAAAFY0/+g=")</f>
        <v>#REF!</v>
      </c>
      <c r="HZ30" t="e">
        <f>IF(Liste!#REF!,"AAAAAFY0/+k=",0)</f>
        <v>#REF!</v>
      </c>
      <c r="IA30" t="e">
        <f>AND(Liste!#REF!,"AAAAAFY0/+o=")</f>
        <v>#REF!</v>
      </c>
      <c r="IB30" t="e">
        <f>AND(Liste!#REF!,"AAAAAFY0/+s=")</f>
        <v>#REF!</v>
      </c>
      <c r="IC30" t="e">
        <f>AND(Liste!#REF!,"AAAAAFY0/+w=")</f>
        <v>#REF!</v>
      </c>
      <c r="ID30" t="e">
        <f>AND(Liste!#REF!,"AAAAAFY0/+0=")</f>
        <v>#REF!</v>
      </c>
      <c r="IE30" t="e">
        <f>AND(Liste!#REF!,"AAAAAFY0/+4=")</f>
        <v>#REF!</v>
      </c>
      <c r="IF30" t="e">
        <f>AND(Liste!#REF!,"AAAAAFY0/+8=")</f>
        <v>#REF!</v>
      </c>
      <c r="IG30" t="e">
        <f>AND(Liste!#REF!,"AAAAAFY0//A=")</f>
        <v>#REF!</v>
      </c>
      <c r="IH30" t="e">
        <f>AND(Liste!#REF!,"AAAAAFY0//E=")</f>
        <v>#REF!</v>
      </c>
      <c r="II30" t="e">
        <f>AND(Liste!#REF!,"AAAAAFY0//I=")</f>
        <v>#REF!</v>
      </c>
      <c r="IJ30" t="e">
        <f>AND(Liste!#REF!,"AAAAAFY0//M=")</f>
        <v>#REF!</v>
      </c>
      <c r="IK30" t="e">
        <f>AND(Liste!#REF!,"AAAAAFY0//Q=")</f>
        <v>#REF!</v>
      </c>
      <c r="IL30" t="e">
        <f>AND(Liste!#REF!,"AAAAAFY0//U=")</f>
        <v>#REF!</v>
      </c>
      <c r="IM30" t="e">
        <f>AND(Liste!#REF!,"AAAAAFY0//Y=")</f>
        <v>#REF!</v>
      </c>
      <c r="IN30" t="e">
        <f>AND(Liste!#REF!,"AAAAAFY0//c=")</f>
        <v>#REF!</v>
      </c>
      <c r="IO30" t="e">
        <f>AND(Liste!#REF!,"AAAAAFY0//g=")</f>
        <v>#REF!</v>
      </c>
      <c r="IP30" t="e">
        <f>AND(Liste!#REF!,"AAAAAFY0//k=")</f>
        <v>#REF!</v>
      </c>
      <c r="IQ30" t="e">
        <f>AND(Liste!#REF!,"AAAAAFY0//o=")</f>
        <v>#REF!</v>
      </c>
      <c r="IR30" t="e">
        <f>AND(Liste!#REF!,"AAAAAFY0//s=")</f>
        <v>#REF!</v>
      </c>
      <c r="IS30" t="e">
        <f>AND(Liste!#REF!,"AAAAAFY0//w=")</f>
        <v>#REF!</v>
      </c>
      <c r="IT30" t="e">
        <f>AND(Liste!#REF!,"AAAAAFY0//0=")</f>
        <v>#REF!</v>
      </c>
      <c r="IU30" t="e">
        <f>AND(Liste!#REF!,"AAAAAFY0//4=")</f>
        <v>#REF!</v>
      </c>
      <c r="IV30" t="e">
        <f>AND(Liste!#REF!,"AAAAAFY0//8=")</f>
        <v>#REF!</v>
      </c>
    </row>
    <row r="31" spans="1:256" x14ac:dyDescent="0.2">
      <c r="A31" t="e">
        <f>AND(Liste!#REF!,"AAAAAG9/jwA=")</f>
        <v>#REF!</v>
      </c>
      <c r="B31" t="e">
        <f>AND(Liste!#REF!,"AAAAAG9/jwE=")</f>
        <v>#REF!</v>
      </c>
      <c r="C31" t="e">
        <f>AND(Liste!#REF!,"AAAAAG9/jwI=")</f>
        <v>#REF!</v>
      </c>
      <c r="D31" t="e">
        <f>AND(Liste!#REF!,"AAAAAG9/jwM=")</f>
        <v>#REF!</v>
      </c>
      <c r="E31" t="e">
        <f>AND(Liste!#REF!,"AAAAAG9/jwQ=")</f>
        <v>#REF!</v>
      </c>
      <c r="F31" t="e">
        <f>AND(Liste!#REF!,"AAAAAG9/jwU=")</f>
        <v>#REF!</v>
      </c>
      <c r="G31" t="e">
        <f>AND(Liste!#REF!,"AAAAAG9/jwY=")</f>
        <v>#REF!</v>
      </c>
      <c r="H31" t="e">
        <f>AND(Liste!#REF!,"AAAAAG9/jwc=")</f>
        <v>#REF!</v>
      </c>
      <c r="I31" t="e">
        <f>IF(Liste!#REF!,"AAAAAG9/jwg=",0)</f>
        <v>#REF!</v>
      </c>
      <c r="J31" t="e">
        <f>AND(Liste!#REF!,"AAAAAG9/jwk=")</f>
        <v>#REF!</v>
      </c>
      <c r="K31" t="e">
        <f>AND(Liste!#REF!,"AAAAAG9/jwo=")</f>
        <v>#REF!</v>
      </c>
      <c r="L31" t="e">
        <f>AND(Liste!#REF!,"AAAAAG9/jws=")</f>
        <v>#REF!</v>
      </c>
      <c r="M31" t="e">
        <f>AND(Liste!#REF!,"AAAAAG9/jww=")</f>
        <v>#REF!</v>
      </c>
      <c r="N31" t="e">
        <f>AND(Liste!#REF!,"AAAAAG9/jw0=")</f>
        <v>#REF!</v>
      </c>
      <c r="O31" t="e">
        <f>AND(Liste!#REF!,"AAAAAG9/jw4=")</f>
        <v>#REF!</v>
      </c>
      <c r="P31" t="e">
        <f>AND(Liste!#REF!,"AAAAAG9/jw8=")</f>
        <v>#REF!</v>
      </c>
      <c r="Q31" t="e">
        <f>AND(Liste!#REF!,"AAAAAG9/jxA=")</f>
        <v>#REF!</v>
      </c>
      <c r="R31" t="e">
        <f>AND(Liste!#REF!,"AAAAAG9/jxE=")</f>
        <v>#REF!</v>
      </c>
      <c r="S31" t="e">
        <f>AND(Liste!#REF!,"AAAAAG9/jxI=")</f>
        <v>#REF!</v>
      </c>
      <c r="T31" t="e">
        <f>AND(Liste!#REF!,"AAAAAG9/jxM=")</f>
        <v>#REF!</v>
      </c>
      <c r="U31" t="e">
        <f>AND(Liste!#REF!,"AAAAAG9/jxQ=")</f>
        <v>#REF!</v>
      </c>
      <c r="V31" t="e">
        <f>AND(Liste!#REF!,"AAAAAG9/jxU=")</f>
        <v>#REF!</v>
      </c>
      <c r="W31" t="e">
        <f>AND(Liste!#REF!,"AAAAAG9/jxY=")</f>
        <v>#REF!</v>
      </c>
      <c r="X31" t="e">
        <f>AND(Liste!#REF!,"AAAAAG9/jxc=")</f>
        <v>#REF!</v>
      </c>
      <c r="Y31" t="e">
        <f>AND(Liste!#REF!,"AAAAAG9/jxg=")</f>
        <v>#REF!</v>
      </c>
      <c r="Z31" t="e">
        <f>AND(Liste!#REF!,"AAAAAG9/jxk=")</f>
        <v>#REF!</v>
      </c>
      <c r="AA31" t="e">
        <f>AND(Liste!#REF!,"AAAAAG9/jxo=")</f>
        <v>#REF!</v>
      </c>
      <c r="AB31" t="e">
        <f>AND(Liste!#REF!,"AAAAAG9/jxs=")</f>
        <v>#REF!</v>
      </c>
      <c r="AC31" t="e">
        <f>AND(Liste!#REF!,"AAAAAG9/jxw=")</f>
        <v>#REF!</v>
      </c>
      <c r="AD31" t="e">
        <f>AND(Liste!#REF!,"AAAAAG9/jx0=")</f>
        <v>#REF!</v>
      </c>
      <c r="AE31" t="e">
        <f>AND(Liste!#REF!,"AAAAAG9/jx4=")</f>
        <v>#REF!</v>
      </c>
      <c r="AF31" t="e">
        <f>AND(Liste!#REF!,"AAAAAG9/jx8=")</f>
        <v>#REF!</v>
      </c>
      <c r="AG31" t="e">
        <f>AND(Liste!#REF!,"AAAAAG9/jyA=")</f>
        <v>#REF!</v>
      </c>
      <c r="AH31" t="e">
        <f>AND(Liste!#REF!,"AAAAAG9/jyE=")</f>
        <v>#REF!</v>
      </c>
      <c r="AI31" t="e">
        <f>AND(Liste!#REF!,"AAAAAG9/jyI=")</f>
        <v>#REF!</v>
      </c>
      <c r="AJ31" t="e">
        <f>AND(Liste!#REF!,"AAAAAG9/jyM=")</f>
        <v>#REF!</v>
      </c>
      <c r="AK31" t="e">
        <f>AND(Liste!#REF!,"AAAAAG9/jyQ=")</f>
        <v>#REF!</v>
      </c>
      <c r="AL31" t="e">
        <f>AND(Liste!#REF!,"AAAAAG9/jyU=")</f>
        <v>#REF!</v>
      </c>
      <c r="AM31" t="e">
        <f>AND(Liste!#REF!,"AAAAAG9/jyY=")</f>
        <v>#REF!</v>
      </c>
      <c r="AN31" t="e">
        <f>IF(Liste!#REF!,"AAAAAG9/jyc=",0)</f>
        <v>#REF!</v>
      </c>
      <c r="AO31" t="e">
        <f>AND(Liste!#REF!,"AAAAAG9/jyg=")</f>
        <v>#REF!</v>
      </c>
      <c r="AP31" t="e">
        <f>AND(Liste!#REF!,"AAAAAG9/jyk=")</f>
        <v>#REF!</v>
      </c>
      <c r="AQ31" t="e">
        <f>AND(Liste!#REF!,"AAAAAG9/jyo=")</f>
        <v>#REF!</v>
      </c>
      <c r="AR31" t="e">
        <f>AND(Liste!#REF!,"AAAAAG9/jys=")</f>
        <v>#REF!</v>
      </c>
      <c r="AS31" t="e">
        <f>AND(Liste!#REF!,"AAAAAG9/jyw=")</f>
        <v>#REF!</v>
      </c>
      <c r="AT31" t="e">
        <f>AND(Liste!#REF!,"AAAAAG9/jy0=")</f>
        <v>#REF!</v>
      </c>
      <c r="AU31" t="e">
        <f>AND(Liste!#REF!,"AAAAAG9/jy4=")</f>
        <v>#REF!</v>
      </c>
      <c r="AV31" t="e">
        <f>AND(Liste!#REF!,"AAAAAG9/jy8=")</f>
        <v>#REF!</v>
      </c>
      <c r="AW31" t="e">
        <f>AND(Liste!#REF!,"AAAAAG9/jzA=")</f>
        <v>#REF!</v>
      </c>
      <c r="AX31" t="e">
        <f>AND(Liste!#REF!,"AAAAAG9/jzE=")</f>
        <v>#REF!</v>
      </c>
      <c r="AY31" t="e">
        <f>AND(Liste!#REF!,"AAAAAG9/jzI=")</f>
        <v>#REF!</v>
      </c>
      <c r="AZ31" t="e">
        <f>AND(Liste!#REF!,"AAAAAG9/jzM=")</f>
        <v>#REF!</v>
      </c>
      <c r="BA31" t="e">
        <f>AND(Liste!#REF!,"AAAAAG9/jzQ=")</f>
        <v>#REF!</v>
      </c>
      <c r="BB31" t="e">
        <f>AND(Liste!#REF!,"AAAAAG9/jzU=")</f>
        <v>#REF!</v>
      </c>
      <c r="BC31" t="e">
        <f>AND(Liste!#REF!,"AAAAAG9/jzY=")</f>
        <v>#REF!</v>
      </c>
      <c r="BD31" t="e">
        <f>AND(Liste!#REF!,"AAAAAG9/jzc=")</f>
        <v>#REF!</v>
      </c>
      <c r="BE31" t="e">
        <f>AND(Liste!#REF!,"AAAAAG9/jzg=")</f>
        <v>#REF!</v>
      </c>
      <c r="BF31" t="e">
        <f>AND(Liste!#REF!,"AAAAAG9/jzk=")</f>
        <v>#REF!</v>
      </c>
      <c r="BG31" t="e">
        <f>AND(Liste!#REF!,"AAAAAG9/jzo=")</f>
        <v>#REF!</v>
      </c>
      <c r="BH31" t="e">
        <f>AND(Liste!#REF!,"AAAAAG9/jzs=")</f>
        <v>#REF!</v>
      </c>
      <c r="BI31" t="e">
        <f>AND(Liste!#REF!,"AAAAAG9/jzw=")</f>
        <v>#REF!</v>
      </c>
      <c r="BJ31" t="e">
        <f>AND(Liste!#REF!,"AAAAAG9/jz0=")</f>
        <v>#REF!</v>
      </c>
      <c r="BK31" t="e">
        <f>AND(Liste!#REF!,"AAAAAG9/jz4=")</f>
        <v>#REF!</v>
      </c>
      <c r="BL31" t="e">
        <f>AND(Liste!#REF!,"AAAAAG9/jz8=")</f>
        <v>#REF!</v>
      </c>
      <c r="BM31" t="e">
        <f>AND(Liste!#REF!,"AAAAAG9/j0A=")</f>
        <v>#REF!</v>
      </c>
      <c r="BN31" t="e">
        <f>AND(Liste!#REF!,"AAAAAG9/j0E=")</f>
        <v>#REF!</v>
      </c>
      <c r="BO31" t="e">
        <f>AND(Liste!#REF!,"AAAAAG9/j0I=")</f>
        <v>#REF!</v>
      </c>
      <c r="BP31" t="e">
        <f>AND(Liste!#REF!,"AAAAAG9/j0M=")</f>
        <v>#REF!</v>
      </c>
      <c r="BQ31" t="e">
        <f>AND(Liste!#REF!,"AAAAAG9/j0Q=")</f>
        <v>#REF!</v>
      </c>
      <c r="BR31" t="e">
        <f>AND(Liste!#REF!,"AAAAAG9/j0U=")</f>
        <v>#REF!</v>
      </c>
      <c r="BS31" t="e">
        <f>IF(Liste!#REF!,"AAAAAG9/j0Y=",0)</f>
        <v>#REF!</v>
      </c>
      <c r="BT31" t="e">
        <f>AND(Liste!#REF!,"AAAAAG9/j0c=")</f>
        <v>#REF!</v>
      </c>
      <c r="BU31" t="e">
        <f>AND(Liste!#REF!,"AAAAAG9/j0g=")</f>
        <v>#REF!</v>
      </c>
      <c r="BV31" t="e">
        <f>AND(Liste!#REF!,"AAAAAG9/j0k=")</f>
        <v>#REF!</v>
      </c>
      <c r="BW31" t="e">
        <f>AND(Liste!#REF!,"AAAAAG9/j0o=")</f>
        <v>#REF!</v>
      </c>
      <c r="BX31" t="e">
        <f>AND(Liste!#REF!,"AAAAAG9/j0s=")</f>
        <v>#REF!</v>
      </c>
      <c r="BY31" t="e">
        <f>AND(Liste!#REF!,"AAAAAG9/j0w=")</f>
        <v>#REF!</v>
      </c>
      <c r="BZ31" t="e">
        <f>AND(Liste!#REF!,"AAAAAG9/j00=")</f>
        <v>#REF!</v>
      </c>
      <c r="CA31" t="e">
        <f>AND(Liste!#REF!,"AAAAAG9/j04=")</f>
        <v>#REF!</v>
      </c>
      <c r="CB31" t="e">
        <f>AND(Liste!#REF!,"AAAAAG9/j08=")</f>
        <v>#REF!</v>
      </c>
      <c r="CC31" t="e">
        <f>AND(Liste!#REF!,"AAAAAG9/j1A=")</f>
        <v>#REF!</v>
      </c>
      <c r="CD31" t="e">
        <f>AND(Liste!#REF!,"AAAAAG9/j1E=")</f>
        <v>#REF!</v>
      </c>
      <c r="CE31" t="e">
        <f>AND(Liste!#REF!,"AAAAAG9/j1I=")</f>
        <v>#REF!</v>
      </c>
      <c r="CF31" t="e">
        <f>AND(Liste!#REF!,"AAAAAG9/j1M=")</f>
        <v>#REF!</v>
      </c>
      <c r="CG31" t="e">
        <f>AND(Liste!#REF!,"AAAAAG9/j1Q=")</f>
        <v>#REF!</v>
      </c>
      <c r="CH31" t="e">
        <f>AND(Liste!#REF!,"AAAAAG9/j1U=")</f>
        <v>#REF!</v>
      </c>
      <c r="CI31" t="e">
        <f>AND(Liste!#REF!,"AAAAAG9/j1Y=")</f>
        <v>#REF!</v>
      </c>
      <c r="CJ31" t="e">
        <f>AND(Liste!#REF!,"AAAAAG9/j1c=")</f>
        <v>#REF!</v>
      </c>
      <c r="CK31" t="e">
        <f>AND(Liste!#REF!,"AAAAAG9/j1g=")</f>
        <v>#REF!</v>
      </c>
      <c r="CL31" t="e">
        <f>AND(Liste!#REF!,"AAAAAG9/j1k=")</f>
        <v>#REF!</v>
      </c>
      <c r="CM31" t="e">
        <f>AND(Liste!#REF!,"AAAAAG9/j1o=")</f>
        <v>#REF!</v>
      </c>
      <c r="CN31" t="e">
        <f>AND(Liste!#REF!,"AAAAAG9/j1s=")</f>
        <v>#REF!</v>
      </c>
      <c r="CO31" t="e">
        <f>AND(Liste!#REF!,"AAAAAG9/j1w=")</f>
        <v>#REF!</v>
      </c>
      <c r="CP31" t="e">
        <f>AND(Liste!#REF!,"AAAAAG9/j10=")</f>
        <v>#REF!</v>
      </c>
      <c r="CQ31" t="e">
        <f>AND(Liste!#REF!,"AAAAAG9/j14=")</f>
        <v>#REF!</v>
      </c>
      <c r="CR31" t="e">
        <f>AND(Liste!#REF!,"AAAAAG9/j18=")</f>
        <v>#REF!</v>
      </c>
      <c r="CS31" t="e">
        <f>AND(Liste!#REF!,"AAAAAG9/j2A=")</f>
        <v>#REF!</v>
      </c>
      <c r="CT31" t="e">
        <f>AND(Liste!#REF!,"AAAAAG9/j2E=")</f>
        <v>#REF!</v>
      </c>
      <c r="CU31" t="e">
        <f>AND(Liste!#REF!,"AAAAAG9/j2I=")</f>
        <v>#REF!</v>
      </c>
      <c r="CV31" t="e">
        <f>AND(Liste!#REF!,"AAAAAG9/j2M=")</f>
        <v>#REF!</v>
      </c>
      <c r="CW31" t="e">
        <f>AND(Liste!#REF!,"AAAAAG9/j2Q=")</f>
        <v>#REF!</v>
      </c>
      <c r="CX31">
        <f>IF(Liste!225:225,"AAAAAG9/j2U=",0)</f>
        <v>0</v>
      </c>
      <c r="CY31" t="e">
        <f>AND(Liste!#REF!,"AAAAAG9/j2Y=")</f>
        <v>#REF!</v>
      </c>
      <c r="CZ31" t="e">
        <f>AND(Liste!#REF!,"AAAAAG9/j2c=")</f>
        <v>#REF!</v>
      </c>
      <c r="DA31" t="e">
        <f>AND(Liste!#REF!,"AAAAAG9/j2g=")</f>
        <v>#REF!</v>
      </c>
      <c r="DB31" t="e">
        <f>AND(Liste!#REF!,"AAAAAG9/j2k=")</f>
        <v>#REF!</v>
      </c>
      <c r="DC31" t="e">
        <f>AND(Liste!F281,"AAAAAG9/j2o=")</f>
        <v>#VALUE!</v>
      </c>
      <c r="DD31" t="e">
        <f>AND(Liste!G281,"AAAAAG9/j2s=")</f>
        <v>#VALUE!</v>
      </c>
      <c r="DE31" t="e">
        <f>AND(Liste!H281,"AAAAAG9/j2w=")</f>
        <v>#VALUE!</v>
      </c>
      <c r="DF31" t="e">
        <f>AND(Liste!I281,"AAAAAG9/j20=")</f>
        <v>#VALUE!</v>
      </c>
      <c r="DG31" t="e">
        <f>AND(Liste!J281,"AAAAAG9/j24=")</f>
        <v>#VALUE!</v>
      </c>
      <c r="DH31" t="e">
        <f>AND(Liste!#REF!,"AAAAAG9/j28=")</f>
        <v>#REF!</v>
      </c>
      <c r="DI31" t="e">
        <f>AND(Liste!#REF!,"AAAAAG9/j3A=")</f>
        <v>#REF!</v>
      </c>
      <c r="DJ31" t="e">
        <f>AND(Liste!#REF!,"AAAAAG9/j3E=")</f>
        <v>#REF!</v>
      </c>
      <c r="DK31" t="e">
        <f>AND(Liste!#REF!,"AAAAAG9/j3I=")</f>
        <v>#REF!</v>
      </c>
      <c r="DL31" t="e">
        <f>AND(Liste!#REF!,"AAAAAG9/j3M=")</f>
        <v>#REF!</v>
      </c>
      <c r="DM31" t="e">
        <f>AND(Liste!#REF!,"AAAAAG9/j3Q=")</f>
        <v>#REF!</v>
      </c>
      <c r="DN31" t="e">
        <f>AND(Liste!#REF!,"AAAAAG9/j3U=")</f>
        <v>#REF!</v>
      </c>
      <c r="DO31" t="e">
        <f>AND(Liste!#REF!,"AAAAAG9/j3Y=")</f>
        <v>#REF!</v>
      </c>
      <c r="DP31" t="e">
        <f>AND(Liste!#REF!,"AAAAAG9/j3c=")</f>
        <v>#REF!</v>
      </c>
      <c r="DQ31" t="e">
        <f>AND(Liste!#REF!,"AAAAAG9/j3g=")</f>
        <v>#REF!</v>
      </c>
      <c r="DR31" t="e">
        <f>AND(Liste!#REF!,"AAAAAG9/j3k=")</f>
        <v>#REF!</v>
      </c>
      <c r="DS31" t="e">
        <f>AND(Liste!#REF!,"AAAAAG9/j3o=")</f>
        <v>#REF!</v>
      </c>
      <c r="DT31" t="e">
        <f>AND(Liste!#REF!,"AAAAAG9/j3s=")</f>
        <v>#REF!</v>
      </c>
      <c r="DU31" t="e">
        <f>AND(Liste!#REF!,"AAAAAG9/j3w=")</f>
        <v>#REF!</v>
      </c>
      <c r="DV31" t="e">
        <f>AND(Liste!#REF!,"AAAAAG9/j30=")</f>
        <v>#REF!</v>
      </c>
      <c r="DW31" t="e">
        <f>AND(Liste!#REF!,"AAAAAG9/j34=")</f>
        <v>#REF!</v>
      </c>
      <c r="DX31" t="e">
        <f>AND(Liste!#REF!,"AAAAAG9/j38=")</f>
        <v>#REF!</v>
      </c>
      <c r="DY31" t="e">
        <f>AND(Liste!#REF!,"AAAAAG9/j4A=")</f>
        <v>#REF!</v>
      </c>
      <c r="DZ31" t="e">
        <f>AND(Liste!#REF!,"AAAAAG9/j4E=")</f>
        <v>#REF!</v>
      </c>
      <c r="EA31" t="e">
        <f>AND(Liste!#REF!,"AAAAAG9/j4I=")</f>
        <v>#REF!</v>
      </c>
      <c r="EB31" t="e">
        <f>AND(Liste!#REF!,"AAAAAG9/j4M=")</f>
        <v>#REF!</v>
      </c>
      <c r="EC31">
        <f>IF(Liste!226:226,"AAAAAG9/j4Q=",0)</f>
        <v>0</v>
      </c>
      <c r="ED31" t="e">
        <f>AND(Liste!#REF!,"AAAAAG9/j4U=")</f>
        <v>#REF!</v>
      </c>
      <c r="EE31" t="e">
        <f>AND(Liste!#REF!,"AAAAAG9/j4Y=")</f>
        <v>#REF!</v>
      </c>
      <c r="EF31" t="e">
        <f>AND(Liste!#REF!,"AAAAAG9/j4c=")</f>
        <v>#REF!</v>
      </c>
      <c r="EG31" t="e">
        <f>AND(Liste!#REF!,"AAAAAG9/j4g=")</f>
        <v>#REF!</v>
      </c>
      <c r="EH31" t="e">
        <f>AND(Liste!F282,"AAAAAG9/j4k=")</f>
        <v>#VALUE!</v>
      </c>
      <c r="EI31" t="e">
        <f>AND(Liste!G282,"AAAAAG9/j4o=")</f>
        <v>#VALUE!</v>
      </c>
      <c r="EJ31" t="e">
        <f>AND(Liste!H282,"AAAAAG9/j4s=")</f>
        <v>#VALUE!</v>
      </c>
      <c r="EK31" t="e">
        <f>AND(Liste!I282,"AAAAAG9/j4w=")</f>
        <v>#VALUE!</v>
      </c>
      <c r="EL31" t="e">
        <f>AND(Liste!J282,"AAAAAG9/j40=")</f>
        <v>#VALUE!</v>
      </c>
      <c r="EM31" t="e">
        <f>AND(Liste!#REF!,"AAAAAG9/j44=")</f>
        <v>#REF!</v>
      </c>
      <c r="EN31" t="e">
        <f>AND(Liste!#REF!,"AAAAAG9/j48=")</f>
        <v>#REF!</v>
      </c>
      <c r="EO31" t="e">
        <f>AND(Liste!#REF!,"AAAAAG9/j5A=")</f>
        <v>#REF!</v>
      </c>
      <c r="EP31" t="e">
        <f>AND(Liste!#REF!,"AAAAAG9/j5E=")</f>
        <v>#REF!</v>
      </c>
      <c r="EQ31" t="e">
        <f>AND(Liste!#REF!,"AAAAAG9/j5I=")</f>
        <v>#REF!</v>
      </c>
      <c r="ER31" t="e">
        <f>AND(Liste!#REF!,"AAAAAG9/j5M=")</f>
        <v>#REF!</v>
      </c>
      <c r="ES31" t="e">
        <f>AND(Liste!#REF!,"AAAAAG9/j5Q=")</f>
        <v>#REF!</v>
      </c>
      <c r="ET31" t="e">
        <f>AND(Liste!#REF!,"AAAAAG9/j5U=")</f>
        <v>#REF!</v>
      </c>
      <c r="EU31" t="e">
        <f>AND(Liste!#REF!,"AAAAAG9/j5Y=")</f>
        <v>#REF!</v>
      </c>
      <c r="EV31" t="e">
        <f>AND(Liste!#REF!,"AAAAAG9/j5c=")</f>
        <v>#REF!</v>
      </c>
      <c r="EW31" t="e">
        <f>AND(Liste!#REF!,"AAAAAG9/j5g=")</f>
        <v>#REF!</v>
      </c>
      <c r="EX31" t="e">
        <f>AND(Liste!#REF!,"AAAAAG9/j5k=")</f>
        <v>#REF!</v>
      </c>
      <c r="EY31" t="e">
        <f>AND(Liste!#REF!,"AAAAAG9/j5o=")</f>
        <v>#REF!</v>
      </c>
      <c r="EZ31" t="e">
        <f>AND(Liste!#REF!,"AAAAAG9/j5s=")</f>
        <v>#REF!</v>
      </c>
      <c r="FA31" t="e">
        <f>AND(Liste!#REF!,"AAAAAG9/j5w=")</f>
        <v>#REF!</v>
      </c>
      <c r="FB31" t="e">
        <f>AND(Liste!#REF!,"AAAAAG9/j50=")</f>
        <v>#REF!</v>
      </c>
      <c r="FC31" t="e">
        <f>AND(Liste!#REF!,"AAAAAG9/j54=")</f>
        <v>#REF!</v>
      </c>
      <c r="FD31" t="e">
        <f>AND(Liste!#REF!,"AAAAAG9/j58=")</f>
        <v>#REF!</v>
      </c>
      <c r="FE31" t="e">
        <f>AND(Liste!#REF!,"AAAAAG9/j6A=")</f>
        <v>#REF!</v>
      </c>
      <c r="FF31" t="e">
        <f>AND(Liste!#REF!,"AAAAAG9/j6E=")</f>
        <v>#REF!</v>
      </c>
      <c r="FG31" t="e">
        <f>AND(Liste!#REF!,"AAAAAG9/j6I=")</f>
        <v>#REF!</v>
      </c>
      <c r="FH31">
        <f>IF(Liste!227:227,"AAAAAG9/j6M=",0)</f>
        <v>0</v>
      </c>
      <c r="FI31" t="e">
        <f>AND(Liste!#REF!,"AAAAAG9/j6Q=")</f>
        <v>#REF!</v>
      </c>
      <c r="FJ31" t="e">
        <f>AND(Liste!#REF!,"AAAAAG9/j6U=")</f>
        <v>#REF!</v>
      </c>
      <c r="FK31" t="e">
        <f>AND(Liste!#REF!,"AAAAAG9/j6Y=")</f>
        <v>#REF!</v>
      </c>
      <c r="FL31" t="e">
        <f>AND(Liste!#REF!,"AAAAAG9/j6c=")</f>
        <v>#REF!</v>
      </c>
      <c r="FM31" t="e">
        <f>AND(Liste!F283,"AAAAAG9/j6g=")</f>
        <v>#VALUE!</v>
      </c>
      <c r="FN31" t="e">
        <f>AND(Liste!G283,"AAAAAG9/j6k=")</f>
        <v>#VALUE!</v>
      </c>
      <c r="FO31" t="e">
        <f>AND(Liste!H283,"AAAAAG9/j6o=")</f>
        <v>#VALUE!</v>
      </c>
      <c r="FP31" t="e">
        <f>AND(Liste!I283,"AAAAAG9/j6s=")</f>
        <v>#VALUE!</v>
      </c>
      <c r="FQ31" t="e">
        <f>AND(Liste!J283,"AAAAAG9/j6w=")</f>
        <v>#VALUE!</v>
      </c>
      <c r="FR31" t="e">
        <f>AND(Liste!#REF!,"AAAAAG9/j60=")</f>
        <v>#REF!</v>
      </c>
      <c r="FS31" t="e">
        <f>AND(Liste!#REF!,"AAAAAG9/j64=")</f>
        <v>#REF!</v>
      </c>
      <c r="FT31" t="e">
        <f>AND(Liste!#REF!,"AAAAAG9/j68=")</f>
        <v>#REF!</v>
      </c>
      <c r="FU31" t="e">
        <f>AND(Liste!#REF!,"AAAAAG9/j7A=")</f>
        <v>#REF!</v>
      </c>
      <c r="FV31" t="e">
        <f>AND(Liste!#REF!,"AAAAAG9/j7E=")</f>
        <v>#REF!</v>
      </c>
      <c r="FW31" t="e">
        <f>AND(Liste!#REF!,"AAAAAG9/j7I=")</f>
        <v>#REF!</v>
      </c>
      <c r="FX31" t="e">
        <f>AND(Liste!#REF!,"AAAAAG9/j7M=")</f>
        <v>#REF!</v>
      </c>
      <c r="FY31" t="e">
        <f>AND(Liste!#REF!,"AAAAAG9/j7Q=")</f>
        <v>#REF!</v>
      </c>
      <c r="FZ31" t="e">
        <f>AND(Liste!#REF!,"AAAAAG9/j7U=")</f>
        <v>#REF!</v>
      </c>
      <c r="GA31" t="e">
        <f>AND(Liste!#REF!,"AAAAAG9/j7Y=")</f>
        <v>#REF!</v>
      </c>
      <c r="GB31" t="e">
        <f>AND(Liste!#REF!,"AAAAAG9/j7c=")</f>
        <v>#REF!</v>
      </c>
      <c r="GC31" t="e">
        <f>AND(Liste!#REF!,"AAAAAG9/j7g=")</f>
        <v>#REF!</v>
      </c>
      <c r="GD31" t="e">
        <f>AND(Liste!#REF!,"AAAAAG9/j7k=")</f>
        <v>#REF!</v>
      </c>
      <c r="GE31" t="e">
        <f>AND(Liste!#REF!,"AAAAAG9/j7o=")</f>
        <v>#REF!</v>
      </c>
      <c r="GF31" t="e">
        <f>AND(Liste!#REF!,"AAAAAG9/j7s=")</f>
        <v>#REF!</v>
      </c>
      <c r="GG31" t="e">
        <f>AND(Liste!#REF!,"AAAAAG9/j7w=")</f>
        <v>#REF!</v>
      </c>
      <c r="GH31" t="e">
        <f>AND(Liste!#REF!,"AAAAAG9/j70=")</f>
        <v>#REF!</v>
      </c>
      <c r="GI31" t="e">
        <f>AND(Liste!#REF!,"AAAAAG9/j74=")</f>
        <v>#REF!</v>
      </c>
      <c r="GJ31" t="e">
        <f>AND(Liste!#REF!,"AAAAAG9/j78=")</f>
        <v>#REF!</v>
      </c>
      <c r="GK31" t="e">
        <f>AND(Liste!#REF!,"AAAAAG9/j8A=")</f>
        <v>#REF!</v>
      </c>
      <c r="GL31" t="e">
        <f>AND(Liste!#REF!,"AAAAAG9/j8E=")</f>
        <v>#REF!</v>
      </c>
      <c r="GM31">
        <f>IF(Liste!228:228,"AAAAAG9/j8I=",0)</f>
        <v>0</v>
      </c>
      <c r="GN31" t="e">
        <f>AND(Liste!#REF!,"AAAAAG9/j8M=")</f>
        <v>#REF!</v>
      </c>
      <c r="GO31" t="e">
        <f>AND(Liste!#REF!,"AAAAAG9/j8Q=")</f>
        <v>#REF!</v>
      </c>
      <c r="GP31" t="e">
        <f>AND(Liste!#REF!,"AAAAAG9/j8U=")</f>
        <v>#REF!</v>
      </c>
      <c r="GQ31" t="e">
        <f>AND(Liste!#REF!,"AAAAAG9/j8Y=")</f>
        <v>#REF!</v>
      </c>
      <c r="GR31" t="e">
        <f>AND(Liste!F284,"AAAAAG9/j8c=")</f>
        <v>#VALUE!</v>
      </c>
      <c r="GS31" t="e">
        <f>AND(Liste!G284,"AAAAAG9/j8g=")</f>
        <v>#VALUE!</v>
      </c>
      <c r="GT31" t="e">
        <f>AND(Liste!H284,"AAAAAG9/j8k=")</f>
        <v>#VALUE!</v>
      </c>
      <c r="GU31" t="e">
        <f>AND(Liste!I284,"AAAAAG9/j8o=")</f>
        <v>#VALUE!</v>
      </c>
      <c r="GV31" t="e">
        <f>AND(Liste!J284,"AAAAAG9/j8s=")</f>
        <v>#VALUE!</v>
      </c>
      <c r="GW31" t="e">
        <f>AND(Liste!#REF!,"AAAAAG9/j8w=")</f>
        <v>#REF!</v>
      </c>
      <c r="GX31" t="e">
        <f>AND(Liste!#REF!,"AAAAAG9/j80=")</f>
        <v>#REF!</v>
      </c>
      <c r="GY31" t="e">
        <f>AND(Liste!#REF!,"AAAAAG9/j84=")</f>
        <v>#REF!</v>
      </c>
      <c r="GZ31" t="e">
        <f>AND(Liste!#REF!,"AAAAAG9/j88=")</f>
        <v>#REF!</v>
      </c>
      <c r="HA31" t="e">
        <f>AND(Liste!#REF!,"AAAAAG9/j9A=")</f>
        <v>#REF!</v>
      </c>
      <c r="HB31" t="e">
        <f>AND(Liste!#REF!,"AAAAAG9/j9E=")</f>
        <v>#REF!</v>
      </c>
      <c r="HC31" t="e">
        <f>AND(Liste!#REF!,"AAAAAG9/j9I=")</f>
        <v>#REF!</v>
      </c>
      <c r="HD31" t="e">
        <f>AND(Liste!#REF!,"AAAAAG9/j9M=")</f>
        <v>#REF!</v>
      </c>
      <c r="HE31" t="e">
        <f>AND(Liste!#REF!,"AAAAAG9/j9Q=")</f>
        <v>#REF!</v>
      </c>
      <c r="HF31" t="e">
        <f>AND(Liste!#REF!,"AAAAAG9/j9U=")</f>
        <v>#REF!</v>
      </c>
      <c r="HG31" t="e">
        <f>AND(Liste!#REF!,"AAAAAG9/j9Y=")</f>
        <v>#REF!</v>
      </c>
      <c r="HH31" t="e">
        <f>AND(Liste!#REF!,"AAAAAG9/j9c=")</f>
        <v>#REF!</v>
      </c>
      <c r="HI31" t="e">
        <f>AND(Liste!#REF!,"AAAAAG9/j9g=")</f>
        <v>#REF!</v>
      </c>
      <c r="HJ31" t="e">
        <f>AND(Liste!#REF!,"AAAAAG9/j9k=")</f>
        <v>#REF!</v>
      </c>
      <c r="HK31" t="e">
        <f>AND(Liste!#REF!,"AAAAAG9/j9o=")</f>
        <v>#REF!</v>
      </c>
      <c r="HL31" t="e">
        <f>AND(Liste!#REF!,"AAAAAG9/j9s=")</f>
        <v>#REF!</v>
      </c>
      <c r="HM31" t="e">
        <f>AND(Liste!#REF!,"AAAAAG9/j9w=")</f>
        <v>#REF!</v>
      </c>
      <c r="HN31" t="e">
        <f>AND(Liste!#REF!,"AAAAAG9/j90=")</f>
        <v>#REF!</v>
      </c>
      <c r="HO31" t="e">
        <f>AND(Liste!#REF!,"AAAAAG9/j94=")</f>
        <v>#REF!</v>
      </c>
      <c r="HP31" t="e">
        <f>AND(Liste!#REF!,"AAAAAG9/j98=")</f>
        <v>#REF!</v>
      </c>
      <c r="HQ31" t="e">
        <f>AND(Liste!#REF!,"AAAAAG9/j+A=")</f>
        <v>#REF!</v>
      </c>
      <c r="HR31">
        <f>IF(Liste!229:229,"AAAAAG9/j+E=",0)</f>
        <v>0</v>
      </c>
      <c r="HS31" t="e">
        <f>AND(Liste!#REF!,"AAAAAG9/j+I=")</f>
        <v>#REF!</v>
      </c>
      <c r="HT31" t="e">
        <f>AND(Liste!#REF!,"AAAAAG9/j+M=")</f>
        <v>#REF!</v>
      </c>
      <c r="HU31" t="e">
        <f>AND(Liste!#REF!,"AAAAAG9/j+Q=")</f>
        <v>#REF!</v>
      </c>
      <c r="HV31" t="e">
        <f>AND(Liste!#REF!,"AAAAAG9/j+U=")</f>
        <v>#REF!</v>
      </c>
      <c r="HW31" t="e">
        <f>AND(Liste!F285,"AAAAAG9/j+Y=")</f>
        <v>#VALUE!</v>
      </c>
      <c r="HX31" t="e">
        <f>AND(Liste!G285,"AAAAAG9/j+c=")</f>
        <v>#VALUE!</v>
      </c>
      <c r="HY31" t="e">
        <f>AND(Liste!H285,"AAAAAG9/j+g=")</f>
        <v>#VALUE!</v>
      </c>
      <c r="HZ31" t="e">
        <f>AND(Liste!I285,"AAAAAG9/j+k=")</f>
        <v>#VALUE!</v>
      </c>
      <c r="IA31" t="e">
        <f>AND(Liste!J285,"AAAAAG9/j+o=")</f>
        <v>#VALUE!</v>
      </c>
      <c r="IB31" t="e">
        <f>AND(Liste!#REF!,"AAAAAG9/j+s=")</f>
        <v>#REF!</v>
      </c>
      <c r="IC31" t="e">
        <f>AND(Liste!#REF!,"AAAAAG9/j+w=")</f>
        <v>#REF!</v>
      </c>
      <c r="ID31" t="e">
        <f>AND(Liste!#REF!,"AAAAAG9/j+0=")</f>
        <v>#REF!</v>
      </c>
      <c r="IE31" t="e">
        <f>AND(Liste!#REF!,"AAAAAG9/j+4=")</f>
        <v>#REF!</v>
      </c>
      <c r="IF31" t="e">
        <f>AND(Liste!#REF!,"AAAAAG9/j+8=")</f>
        <v>#REF!</v>
      </c>
      <c r="IG31" t="e">
        <f>AND(Liste!#REF!,"AAAAAG9/j/A=")</f>
        <v>#REF!</v>
      </c>
      <c r="IH31" t="e">
        <f>AND(Liste!#REF!,"AAAAAG9/j/E=")</f>
        <v>#REF!</v>
      </c>
      <c r="II31" t="e">
        <f>AND(Liste!#REF!,"AAAAAG9/j/I=")</f>
        <v>#REF!</v>
      </c>
      <c r="IJ31" t="e">
        <f>AND(Liste!#REF!,"AAAAAG9/j/M=")</f>
        <v>#REF!</v>
      </c>
      <c r="IK31" t="e">
        <f>AND(Liste!#REF!,"AAAAAG9/j/Q=")</f>
        <v>#REF!</v>
      </c>
      <c r="IL31" t="e">
        <f>AND(Liste!#REF!,"AAAAAG9/j/U=")</f>
        <v>#REF!</v>
      </c>
      <c r="IM31" t="e">
        <f>AND(Liste!#REF!,"AAAAAG9/j/Y=")</f>
        <v>#REF!</v>
      </c>
      <c r="IN31" t="e">
        <f>AND(Liste!#REF!,"AAAAAG9/j/c=")</f>
        <v>#REF!</v>
      </c>
      <c r="IO31" t="e">
        <f>AND(Liste!#REF!,"AAAAAG9/j/g=")</f>
        <v>#REF!</v>
      </c>
      <c r="IP31" t="e">
        <f>AND(Liste!#REF!,"AAAAAG9/j/k=")</f>
        <v>#REF!</v>
      </c>
      <c r="IQ31" t="e">
        <f>AND(Liste!#REF!,"AAAAAG9/j/o=")</f>
        <v>#REF!</v>
      </c>
      <c r="IR31" t="e">
        <f>AND(Liste!#REF!,"AAAAAG9/j/s=")</f>
        <v>#REF!</v>
      </c>
      <c r="IS31" t="e">
        <f>AND(Liste!#REF!,"AAAAAG9/j/w=")</f>
        <v>#REF!</v>
      </c>
      <c r="IT31" t="e">
        <f>AND(Liste!#REF!,"AAAAAG9/j/0=")</f>
        <v>#REF!</v>
      </c>
      <c r="IU31" t="e">
        <f>AND(Liste!#REF!,"AAAAAG9/j/4=")</f>
        <v>#REF!</v>
      </c>
      <c r="IV31" t="e">
        <f>AND(Liste!#REF!,"AAAAAG9/j/8=")</f>
        <v>#REF!</v>
      </c>
    </row>
    <row r="32" spans="1:256" x14ac:dyDescent="0.2">
      <c r="A32" t="str">
        <f>IF(Liste!230:230,"AAAAAE3X/wA=",0)</f>
        <v>AAAAAE3X/wA=</v>
      </c>
      <c r="B32" t="e">
        <f>AND(Liste!#REF!,"AAAAAE3X/wE=")</f>
        <v>#REF!</v>
      </c>
      <c r="C32" t="e">
        <f>AND(Liste!#REF!,"AAAAAE3X/wI=")</f>
        <v>#REF!</v>
      </c>
      <c r="D32" t="e">
        <f>AND(Liste!#REF!,"AAAAAE3X/wM=")</f>
        <v>#REF!</v>
      </c>
      <c r="E32" t="e">
        <f>AND(Liste!#REF!,"AAAAAE3X/wQ=")</f>
        <v>#REF!</v>
      </c>
      <c r="F32" t="e">
        <f>AND(Liste!F286,"AAAAAE3X/wU=")</f>
        <v>#VALUE!</v>
      </c>
      <c r="G32" t="e">
        <f>AND(Liste!G286,"AAAAAE3X/wY=")</f>
        <v>#VALUE!</v>
      </c>
      <c r="H32" t="e">
        <f>AND(Liste!H286,"AAAAAE3X/wc=")</f>
        <v>#VALUE!</v>
      </c>
      <c r="I32" t="e">
        <f>AND(Liste!I286,"AAAAAE3X/wg=")</f>
        <v>#VALUE!</v>
      </c>
      <c r="J32" t="e">
        <f>AND(Liste!J286,"AAAAAE3X/wk=")</f>
        <v>#VALUE!</v>
      </c>
      <c r="K32" t="e">
        <f>AND(Liste!#REF!,"AAAAAE3X/wo=")</f>
        <v>#REF!</v>
      </c>
      <c r="L32" t="e">
        <f>AND(Liste!#REF!,"AAAAAE3X/ws=")</f>
        <v>#REF!</v>
      </c>
      <c r="M32" t="e">
        <f>AND(Liste!#REF!,"AAAAAE3X/ww=")</f>
        <v>#REF!</v>
      </c>
      <c r="N32" t="e">
        <f>AND(Liste!#REF!,"AAAAAE3X/w0=")</f>
        <v>#REF!</v>
      </c>
      <c r="O32" t="e">
        <f>AND(Liste!#REF!,"AAAAAE3X/w4=")</f>
        <v>#REF!</v>
      </c>
      <c r="P32" t="e">
        <f>AND(Liste!#REF!,"AAAAAE3X/w8=")</f>
        <v>#REF!</v>
      </c>
      <c r="Q32" t="e">
        <f>AND(Liste!#REF!,"AAAAAE3X/xA=")</f>
        <v>#REF!</v>
      </c>
      <c r="R32" t="e">
        <f>AND(Liste!#REF!,"AAAAAE3X/xE=")</f>
        <v>#REF!</v>
      </c>
      <c r="S32" t="e">
        <f>AND(Liste!#REF!,"AAAAAE3X/xI=")</f>
        <v>#REF!</v>
      </c>
      <c r="T32" t="e">
        <f>AND(Liste!#REF!,"AAAAAE3X/xM=")</f>
        <v>#REF!</v>
      </c>
      <c r="U32" t="e">
        <f>AND(Liste!#REF!,"AAAAAE3X/xQ=")</f>
        <v>#REF!</v>
      </c>
      <c r="V32" t="e">
        <f>AND(Liste!#REF!,"AAAAAE3X/xU=")</f>
        <v>#REF!</v>
      </c>
      <c r="W32" t="e">
        <f>AND(Liste!#REF!,"AAAAAE3X/xY=")</f>
        <v>#REF!</v>
      </c>
      <c r="X32" t="e">
        <f>AND(Liste!#REF!,"AAAAAE3X/xc=")</f>
        <v>#REF!</v>
      </c>
      <c r="Y32" t="e">
        <f>AND(Liste!#REF!,"AAAAAE3X/xg=")</f>
        <v>#REF!</v>
      </c>
      <c r="Z32" t="e">
        <f>AND(Liste!#REF!,"AAAAAE3X/xk=")</f>
        <v>#REF!</v>
      </c>
      <c r="AA32" t="e">
        <f>AND(Liste!#REF!,"AAAAAE3X/xo=")</f>
        <v>#REF!</v>
      </c>
      <c r="AB32" t="e">
        <f>AND(Liste!#REF!,"AAAAAE3X/xs=")</f>
        <v>#REF!</v>
      </c>
      <c r="AC32" t="e">
        <f>AND(Liste!#REF!,"AAAAAE3X/xw=")</f>
        <v>#REF!</v>
      </c>
      <c r="AD32" t="e">
        <f>AND(Liste!#REF!,"AAAAAE3X/x0=")</f>
        <v>#REF!</v>
      </c>
      <c r="AE32" t="e">
        <f>AND(Liste!#REF!,"AAAAAE3X/x4=")</f>
        <v>#REF!</v>
      </c>
      <c r="AF32">
        <f>IF(Liste!231:231,"AAAAAE3X/x8=",0)</f>
        <v>0</v>
      </c>
      <c r="AG32" t="e">
        <f>AND(Liste!#REF!,"AAAAAE3X/yA=")</f>
        <v>#REF!</v>
      </c>
      <c r="AH32" t="e">
        <f>AND(Liste!#REF!,"AAAAAE3X/yE=")</f>
        <v>#REF!</v>
      </c>
      <c r="AI32" t="e">
        <f>AND(Liste!#REF!,"AAAAAE3X/yI=")</f>
        <v>#REF!</v>
      </c>
      <c r="AJ32" t="e">
        <f>AND(Liste!#REF!,"AAAAAE3X/yM=")</f>
        <v>#REF!</v>
      </c>
      <c r="AK32" t="e">
        <f>AND(Liste!F287,"AAAAAE3X/yQ=")</f>
        <v>#VALUE!</v>
      </c>
      <c r="AL32" t="e">
        <f>AND(Liste!G287,"AAAAAE3X/yU=")</f>
        <v>#VALUE!</v>
      </c>
      <c r="AM32" t="e">
        <f>AND(Liste!H287,"AAAAAE3X/yY=")</f>
        <v>#VALUE!</v>
      </c>
      <c r="AN32" t="e">
        <f>AND(Liste!I287,"AAAAAE3X/yc=")</f>
        <v>#VALUE!</v>
      </c>
      <c r="AO32" t="e">
        <f>AND(Liste!J287,"AAAAAE3X/yg=")</f>
        <v>#VALUE!</v>
      </c>
      <c r="AP32" t="e">
        <f>AND(Liste!#REF!,"AAAAAE3X/yk=")</f>
        <v>#REF!</v>
      </c>
      <c r="AQ32" t="e">
        <f>AND(Liste!#REF!,"AAAAAE3X/yo=")</f>
        <v>#REF!</v>
      </c>
      <c r="AR32" t="e">
        <f>AND(Liste!#REF!,"AAAAAE3X/ys=")</f>
        <v>#REF!</v>
      </c>
      <c r="AS32" t="e">
        <f>AND(Liste!#REF!,"AAAAAE3X/yw=")</f>
        <v>#REF!</v>
      </c>
      <c r="AT32" t="e">
        <f>AND(Liste!#REF!,"AAAAAE3X/y0=")</f>
        <v>#REF!</v>
      </c>
      <c r="AU32" t="e">
        <f>AND(Liste!#REF!,"AAAAAE3X/y4=")</f>
        <v>#REF!</v>
      </c>
      <c r="AV32" t="e">
        <f>AND(Liste!#REF!,"AAAAAE3X/y8=")</f>
        <v>#REF!</v>
      </c>
      <c r="AW32" t="e">
        <f>AND(Liste!#REF!,"AAAAAE3X/zA=")</f>
        <v>#REF!</v>
      </c>
      <c r="AX32" t="e">
        <f>AND(Liste!#REF!,"AAAAAE3X/zE=")</f>
        <v>#REF!</v>
      </c>
      <c r="AY32" t="e">
        <f>AND(Liste!#REF!,"AAAAAE3X/zI=")</f>
        <v>#REF!</v>
      </c>
      <c r="AZ32" t="e">
        <f>AND(Liste!#REF!,"AAAAAE3X/zM=")</f>
        <v>#REF!</v>
      </c>
      <c r="BA32" t="e">
        <f>AND(Liste!#REF!,"AAAAAE3X/zQ=")</f>
        <v>#REF!</v>
      </c>
      <c r="BB32" t="e">
        <f>AND(Liste!#REF!,"AAAAAE3X/zU=")</f>
        <v>#REF!</v>
      </c>
      <c r="BC32" t="e">
        <f>AND(Liste!#REF!,"AAAAAE3X/zY=")</f>
        <v>#REF!</v>
      </c>
      <c r="BD32" t="e">
        <f>AND(Liste!#REF!,"AAAAAE3X/zc=")</f>
        <v>#REF!</v>
      </c>
      <c r="BE32" t="e">
        <f>AND(Liste!#REF!,"AAAAAE3X/zg=")</f>
        <v>#REF!</v>
      </c>
      <c r="BF32" t="e">
        <f>AND(Liste!#REF!,"AAAAAE3X/zk=")</f>
        <v>#REF!</v>
      </c>
      <c r="BG32" t="e">
        <f>AND(Liste!#REF!,"AAAAAE3X/zo=")</f>
        <v>#REF!</v>
      </c>
      <c r="BH32" t="e">
        <f>AND(Liste!#REF!,"AAAAAE3X/zs=")</f>
        <v>#REF!</v>
      </c>
      <c r="BI32" t="e">
        <f>AND(Liste!#REF!,"AAAAAE3X/zw=")</f>
        <v>#REF!</v>
      </c>
      <c r="BJ32" t="e">
        <f>AND(Liste!#REF!,"AAAAAE3X/z0=")</f>
        <v>#REF!</v>
      </c>
      <c r="BK32">
        <f>IF(Liste!232:232,"AAAAAE3X/z4=",0)</f>
        <v>0</v>
      </c>
      <c r="BL32" t="e">
        <f>AND(Liste!#REF!,"AAAAAE3X/z8=")</f>
        <v>#REF!</v>
      </c>
      <c r="BM32" t="e">
        <f>AND(Liste!#REF!,"AAAAAE3X/0A=")</f>
        <v>#REF!</v>
      </c>
      <c r="BN32" t="e">
        <f>AND(Liste!#REF!,"AAAAAE3X/0E=")</f>
        <v>#REF!</v>
      </c>
      <c r="BO32" t="e">
        <f>AND(Liste!#REF!,"AAAAAE3X/0I=")</f>
        <v>#REF!</v>
      </c>
      <c r="BP32" t="e">
        <f>AND(Liste!F288,"AAAAAE3X/0M=")</f>
        <v>#VALUE!</v>
      </c>
      <c r="BQ32" t="e">
        <f>AND(Liste!G288,"AAAAAE3X/0Q=")</f>
        <v>#VALUE!</v>
      </c>
      <c r="BR32" t="e">
        <f>AND(Liste!H288,"AAAAAE3X/0U=")</f>
        <v>#VALUE!</v>
      </c>
      <c r="BS32" t="e">
        <f>AND(Liste!I288,"AAAAAE3X/0Y=")</f>
        <v>#VALUE!</v>
      </c>
      <c r="BT32" t="e">
        <f>AND(Liste!J288,"AAAAAE3X/0c=")</f>
        <v>#VALUE!</v>
      </c>
      <c r="BU32" t="e">
        <f>AND(Liste!#REF!,"AAAAAE3X/0g=")</f>
        <v>#REF!</v>
      </c>
      <c r="BV32" t="e">
        <f>AND(Liste!#REF!,"AAAAAE3X/0k=")</f>
        <v>#REF!</v>
      </c>
      <c r="BW32" t="e">
        <f>AND(Liste!#REF!,"AAAAAE3X/0o=")</f>
        <v>#REF!</v>
      </c>
      <c r="BX32" t="e">
        <f>AND(Liste!#REF!,"AAAAAE3X/0s=")</f>
        <v>#REF!</v>
      </c>
      <c r="BY32" t="e">
        <f>AND(Liste!#REF!,"AAAAAE3X/0w=")</f>
        <v>#REF!</v>
      </c>
      <c r="BZ32" t="e">
        <f>AND(Liste!#REF!,"AAAAAE3X/00=")</f>
        <v>#REF!</v>
      </c>
      <c r="CA32" t="e">
        <f>AND(Liste!#REF!,"AAAAAE3X/04=")</f>
        <v>#REF!</v>
      </c>
      <c r="CB32" t="e">
        <f>AND(Liste!#REF!,"AAAAAE3X/08=")</f>
        <v>#REF!</v>
      </c>
      <c r="CC32" t="e">
        <f>AND(Liste!#REF!,"AAAAAE3X/1A=")</f>
        <v>#REF!</v>
      </c>
      <c r="CD32" t="e">
        <f>AND(Liste!#REF!,"AAAAAE3X/1E=")</f>
        <v>#REF!</v>
      </c>
      <c r="CE32" t="e">
        <f>AND(Liste!#REF!,"AAAAAE3X/1I=")</f>
        <v>#REF!</v>
      </c>
      <c r="CF32" t="e">
        <f>AND(Liste!#REF!,"AAAAAE3X/1M=")</f>
        <v>#REF!</v>
      </c>
      <c r="CG32" t="e">
        <f>AND(Liste!#REF!,"AAAAAE3X/1Q=")</f>
        <v>#REF!</v>
      </c>
      <c r="CH32" t="e">
        <f>AND(Liste!#REF!,"AAAAAE3X/1U=")</f>
        <v>#REF!</v>
      </c>
      <c r="CI32" t="e">
        <f>AND(Liste!#REF!,"AAAAAE3X/1Y=")</f>
        <v>#REF!</v>
      </c>
      <c r="CJ32" t="e">
        <f>AND(Liste!#REF!,"AAAAAE3X/1c=")</f>
        <v>#REF!</v>
      </c>
      <c r="CK32" t="e">
        <f>AND(Liste!#REF!,"AAAAAE3X/1g=")</f>
        <v>#REF!</v>
      </c>
      <c r="CL32" t="e">
        <f>AND(Liste!#REF!,"AAAAAE3X/1k=")</f>
        <v>#REF!</v>
      </c>
      <c r="CM32" t="e">
        <f>AND(Liste!#REF!,"AAAAAE3X/1o=")</f>
        <v>#REF!</v>
      </c>
      <c r="CN32" t="e">
        <f>AND(Liste!#REF!,"AAAAAE3X/1s=")</f>
        <v>#REF!</v>
      </c>
      <c r="CO32" t="e">
        <f>AND(Liste!#REF!,"AAAAAE3X/1w=")</f>
        <v>#REF!</v>
      </c>
      <c r="CP32">
        <f>IF(Liste!243:243,"AAAAAE3X/10=",0)</f>
        <v>0</v>
      </c>
      <c r="CQ32" t="e">
        <f>AND(Liste!#REF!,"AAAAAE3X/14=")</f>
        <v>#REF!</v>
      </c>
      <c r="CR32" t="e">
        <f>AND(Liste!#REF!,"AAAAAE3X/18=")</f>
        <v>#REF!</v>
      </c>
      <c r="CS32" t="e">
        <f>AND(Liste!#REF!,"AAAAAE3X/2A=")</f>
        <v>#REF!</v>
      </c>
      <c r="CT32" t="e">
        <f>AND(Liste!#REF!,"AAAAAE3X/2E=")</f>
        <v>#REF!</v>
      </c>
      <c r="CU32" t="e">
        <f>AND(Liste!F289,"AAAAAE3X/2I=")</f>
        <v>#VALUE!</v>
      </c>
      <c r="CV32" t="e">
        <f>AND(Liste!G289,"AAAAAE3X/2M=")</f>
        <v>#VALUE!</v>
      </c>
      <c r="CW32" t="e">
        <f>AND(Liste!H289,"AAAAAE3X/2Q=")</f>
        <v>#VALUE!</v>
      </c>
      <c r="CX32" t="e">
        <f>AND(Liste!I289,"AAAAAE3X/2U=")</f>
        <v>#VALUE!</v>
      </c>
      <c r="CY32" t="e">
        <f>AND(Liste!J289,"AAAAAE3X/2Y=")</f>
        <v>#VALUE!</v>
      </c>
      <c r="CZ32" t="e">
        <f>AND(Liste!#REF!,"AAAAAE3X/2c=")</f>
        <v>#REF!</v>
      </c>
      <c r="DA32" t="e">
        <f>AND(Liste!#REF!,"AAAAAE3X/2g=")</f>
        <v>#REF!</v>
      </c>
      <c r="DB32" t="e">
        <f>AND(Liste!#REF!,"AAAAAE3X/2k=")</f>
        <v>#REF!</v>
      </c>
      <c r="DC32" t="e">
        <f>AND(Liste!#REF!,"AAAAAE3X/2o=")</f>
        <v>#REF!</v>
      </c>
      <c r="DD32" t="e">
        <f>AND(Liste!#REF!,"AAAAAE3X/2s=")</f>
        <v>#REF!</v>
      </c>
      <c r="DE32" t="e">
        <f>AND(Liste!#REF!,"AAAAAE3X/2w=")</f>
        <v>#REF!</v>
      </c>
      <c r="DF32" t="e">
        <f>AND(Liste!#REF!,"AAAAAE3X/20=")</f>
        <v>#REF!</v>
      </c>
      <c r="DG32" t="e">
        <f>AND(Liste!#REF!,"AAAAAE3X/24=")</f>
        <v>#REF!</v>
      </c>
      <c r="DH32" t="e">
        <f>AND(Liste!#REF!,"AAAAAE3X/28=")</f>
        <v>#REF!</v>
      </c>
      <c r="DI32" t="e">
        <f>AND(Liste!#REF!,"AAAAAE3X/3A=")</f>
        <v>#REF!</v>
      </c>
      <c r="DJ32" t="e">
        <f>AND(Liste!#REF!,"AAAAAE3X/3E=")</f>
        <v>#REF!</v>
      </c>
      <c r="DK32" t="e">
        <f>AND(Liste!#REF!,"AAAAAE3X/3I=")</f>
        <v>#REF!</v>
      </c>
      <c r="DL32" t="e">
        <f>AND(Liste!#REF!,"AAAAAE3X/3M=")</f>
        <v>#REF!</v>
      </c>
      <c r="DM32" t="e">
        <f>AND(Liste!#REF!,"AAAAAE3X/3Q=")</f>
        <v>#REF!</v>
      </c>
      <c r="DN32" t="e">
        <f>AND(Liste!#REF!,"AAAAAE3X/3U=")</f>
        <v>#REF!</v>
      </c>
      <c r="DO32" t="e">
        <f>AND(Liste!#REF!,"AAAAAE3X/3Y=")</f>
        <v>#REF!</v>
      </c>
      <c r="DP32" t="e">
        <f>AND(Liste!#REF!,"AAAAAE3X/3c=")</f>
        <v>#REF!</v>
      </c>
      <c r="DQ32" t="e">
        <f>AND(Liste!#REF!,"AAAAAE3X/3g=")</f>
        <v>#REF!</v>
      </c>
      <c r="DR32" t="e">
        <f>AND(Liste!#REF!,"AAAAAE3X/3k=")</f>
        <v>#REF!</v>
      </c>
      <c r="DS32" t="e">
        <f>AND(Liste!#REF!,"AAAAAE3X/3o=")</f>
        <v>#REF!</v>
      </c>
      <c r="DT32" t="e">
        <f>AND(Liste!#REF!,"AAAAAE3X/3s=")</f>
        <v>#REF!</v>
      </c>
      <c r="DU32">
        <f>IF(Liste!244:244,"AAAAAE3X/3w=",0)</f>
        <v>0</v>
      </c>
      <c r="DV32" t="e">
        <f>AND(Liste!#REF!,"AAAAAE3X/30=")</f>
        <v>#REF!</v>
      </c>
      <c r="DW32" t="e">
        <f>AND(Liste!#REF!,"AAAAAE3X/34=")</f>
        <v>#REF!</v>
      </c>
      <c r="DX32" t="e">
        <f>AND(Liste!#REF!,"AAAAAE3X/38=")</f>
        <v>#REF!</v>
      </c>
      <c r="DY32" t="e">
        <f>AND(Liste!#REF!,"AAAAAE3X/4A=")</f>
        <v>#REF!</v>
      </c>
      <c r="DZ32" t="e">
        <f>AND(Liste!F300,"AAAAAE3X/4E=")</f>
        <v>#VALUE!</v>
      </c>
      <c r="EA32" t="e">
        <f>AND(Liste!G300,"AAAAAE3X/4I=")</f>
        <v>#VALUE!</v>
      </c>
      <c r="EB32" t="e">
        <f>AND(Liste!H300,"AAAAAE3X/4M=")</f>
        <v>#VALUE!</v>
      </c>
      <c r="EC32" t="e">
        <f>AND(Liste!I300,"AAAAAE3X/4Q=")</f>
        <v>#VALUE!</v>
      </c>
      <c r="ED32" t="e">
        <f>AND(Liste!J300,"AAAAAE3X/4U=")</f>
        <v>#VALUE!</v>
      </c>
      <c r="EE32" t="e">
        <f>AND(Liste!#REF!,"AAAAAE3X/4Y=")</f>
        <v>#REF!</v>
      </c>
      <c r="EF32" t="e">
        <f>AND(Liste!#REF!,"AAAAAE3X/4c=")</f>
        <v>#REF!</v>
      </c>
      <c r="EG32" t="e">
        <f>AND(Liste!#REF!,"AAAAAE3X/4g=")</f>
        <v>#REF!</v>
      </c>
      <c r="EH32" t="e">
        <f>AND(Liste!#REF!,"AAAAAE3X/4k=")</f>
        <v>#REF!</v>
      </c>
      <c r="EI32" t="e">
        <f>AND(Liste!#REF!,"AAAAAE3X/4o=")</f>
        <v>#REF!</v>
      </c>
      <c r="EJ32" t="e">
        <f>AND(Liste!#REF!,"AAAAAE3X/4s=")</f>
        <v>#REF!</v>
      </c>
      <c r="EK32" t="e">
        <f>AND(Liste!#REF!,"AAAAAE3X/4w=")</f>
        <v>#REF!</v>
      </c>
      <c r="EL32" t="e">
        <f>AND(Liste!#REF!,"AAAAAE3X/40=")</f>
        <v>#REF!</v>
      </c>
      <c r="EM32" t="e">
        <f>AND(Liste!#REF!,"AAAAAE3X/44=")</f>
        <v>#REF!</v>
      </c>
      <c r="EN32" t="e">
        <f>AND(Liste!#REF!,"AAAAAE3X/48=")</f>
        <v>#REF!</v>
      </c>
      <c r="EO32" t="e">
        <f>AND(Liste!#REF!,"AAAAAE3X/5A=")</f>
        <v>#REF!</v>
      </c>
      <c r="EP32" t="e">
        <f>AND(Liste!#REF!,"AAAAAE3X/5E=")</f>
        <v>#REF!</v>
      </c>
      <c r="EQ32" t="e">
        <f>AND(Liste!#REF!,"AAAAAE3X/5I=")</f>
        <v>#REF!</v>
      </c>
      <c r="ER32" t="e">
        <f>AND(Liste!#REF!,"AAAAAE3X/5M=")</f>
        <v>#REF!</v>
      </c>
      <c r="ES32" t="e">
        <f>AND(Liste!#REF!,"AAAAAE3X/5Q=")</f>
        <v>#REF!</v>
      </c>
      <c r="ET32" t="e">
        <f>AND(Liste!#REF!,"AAAAAE3X/5U=")</f>
        <v>#REF!</v>
      </c>
      <c r="EU32" t="e">
        <f>AND(Liste!#REF!,"AAAAAE3X/5Y=")</f>
        <v>#REF!</v>
      </c>
      <c r="EV32" t="e">
        <f>AND(Liste!#REF!,"AAAAAE3X/5c=")</f>
        <v>#REF!</v>
      </c>
      <c r="EW32" t="e">
        <f>AND(Liste!#REF!,"AAAAAE3X/5g=")</f>
        <v>#REF!</v>
      </c>
      <c r="EX32" t="e">
        <f>AND(Liste!#REF!,"AAAAAE3X/5k=")</f>
        <v>#REF!</v>
      </c>
      <c r="EY32" t="e">
        <f>AND(Liste!#REF!,"AAAAAE3X/5o=")</f>
        <v>#REF!</v>
      </c>
      <c r="EZ32">
        <f>IF(Liste!245:245,"AAAAAE3X/5s=",0)</f>
        <v>0</v>
      </c>
      <c r="FA32" t="e">
        <f>AND(Liste!#REF!,"AAAAAE3X/5w=")</f>
        <v>#REF!</v>
      </c>
      <c r="FB32" t="e">
        <f>AND(Liste!#REF!,"AAAAAE3X/50=")</f>
        <v>#REF!</v>
      </c>
      <c r="FC32" t="e">
        <f>AND(Liste!#REF!,"AAAAAE3X/54=")</f>
        <v>#REF!</v>
      </c>
      <c r="FD32" t="e">
        <f>AND(Liste!#REF!,"AAAAAE3X/58=")</f>
        <v>#REF!</v>
      </c>
      <c r="FE32" t="e">
        <f>AND(Liste!F301,"AAAAAE3X/6A=")</f>
        <v>#VALUE!</v>
      </c>
      <c r="FF32" t="e">
        <f>AND(Liste!G301,"AAAAAE3X/6E=")</f>
        <v>#VALUE!</v>
      </c>
      <c r="FG32" t="e">
        <f>AND(Liste!H301,"AAAAAE3X/6I=")</f>
        <v>#VALUE!</v>
      </c>
      <c r="FH32" t="e">
        <f>AND(Liste!I301,"AAAAAE3X/6M=")</f>
        <v>#VALUE!</v>
      </c>
      <c r="FI32" t="e">
        <f>AND(Liste!J301,"AAAAAE3X/6Q=")</f>
        <v>#VALUE!</v>
      </c>
      <c r="FJ32" t="e">
        <f>AND(Liste!#REF!,"AAAAAE3X/6U=")</f>
        <v>#REF!</v>
      </c>
      <c r="FK32" t="e">
        <f>AND(Liste!#REF!,"AAAAAE3X/6Y=")</f>
        <v>#REF!</v>
      </c>
      <c r="FL32" t="e">
        <f>AND(Liste!#REF!,"AAAAAE3X/6c=")</f>
        <v>#REF!</v>
      </c>
      <c r="FM32" t="e">
        <f>AND(Liste!#REF!,"AAAAAE3X/6g=")</f>
        <v>#REF!</v>
      </c>
      <c r="FN32" t="e">
        <f>AND(Liste!#REF!,"AAAAAE3X/6k=")</f>
        <v>#REF!</v>
      </c>
      <c r="FO32" t="e">
        <f>AND(Liste!#REF!,"AAAAAE3X/6o=")</f>
        <v>#REF!</v>
      </c>
      <c r="FP32" t="e">
        <f>AND(Liste!#REF!,"AAAAAE3X/6s=")</f>
        <v>#REF!</v>
      </c>
      <c r="FQ32" t="e">
        <f>AND(Liste!#REF!,"AAAAAE3X/6w=")</f>
        <v>#REF!</v>
      </c>
      <c r="FR32" t="e">
        <f>AND(Liste!#REF!,"AAAAAE3X/60=")</f>
        <v>#REF!</v>
      </c>
      <c r="FS32" t="e">
        <f>AND(Liste!#REF!,"AAAAAE3X/64=")</f>
        <v>#REF!</v>
      </c>
      <c r="FT32" t="e">
        <f>AND(Liste!#REF!,"AAAAAE3X/68=")</f>
        <v>#REF!</v>
      </c>
      <c r="FU32" t="e">
        <f>AND(Liste!#REF!,"AAAAAE3X/7A=")</f>
        <v>#REF!</v>
      </c>
      <c r="FV32" t="e">
        <f>AND(Liste!#REF!,"AAAAAE3X/7E=")</f>
        <v>#REF!</v>
      </c>
      <c r="FW32" t="e">
        <f>AND(Liste!#REF!,"AAAAAE3X/7I=")</f>
        <v>#REF!</v>
      </c>
      <c r="FX32" t="e">
        <f>AND(Liste!#REF!,"AAAAAE3X/7M=")</f>
        <v>#REF!</v>
      </c>
      <c r="FY32" t="e">
        <f>AND(Liste!#REF!,"AAAAAE3X/7Q=")</f>
        <v>#REF!</v>
      </c>
      <c r="FZ32" t="e">
        <f>AND(Liste!#REF!,"AAAAAE3X/7U=")</f>
        <v>#REF!</v>
      </c>
      <c r="GA32" t="e">
        <f>AND(Liste!#REF!,"AAAAAE3X/7Y=")</f>
        <v>#REF!</v>
      </c>
      <c r="GB32" t="e">
        <f>AND(Liste!#REF!,"AAAAAE3X/7c=")</f>
        <v>#REF!</v>
      </c>
      <c r="GC32" t="e">
        <f>AND(Liste!#REF!,"AAAAAE3X/7g=")</f>
        <v>#REF!</v>
      </c>
      <c r="GD32" t="e">
        <f>AND(Liste!#REF!,"AAAAAE3X/7k=")</f>
        <v>#REF!</v>
      </c>
      <c r="GE32">
        <f>IF(Liste!246:246,"AAAAAE3X/7o=",0)</f>
        <v>0</v>
      </c>
      <c r="GF32" t="e">
        <f>AND(Liste!#REF!,"AAAAAE3X/7s=")</f>
        <v>#REF!</v>
      </c>
      <c r="GG32" t="e">
        <f>AND(Liste!#REF!,"AAAAAE3X/7w=")</f>
        <v>#REF!</v>
      </c>
      <c r="GH32" t="e">
        <f>AND(Liste!#REF!,"AAAAAE3X/70=")</f>
        <v>#REF!</v>
      </c>
      <c r="GI32" t="e">
        <f>AND(Liste!#REF!,"AAAAAE3X/74=")</f>
        <v>#REF!</v>
      </c>
      <c r="GJ32" t="e">
        <f>AND(Liste!F302,"AAAAAE3X/78=")</f>
        <v>#VALUE!</v>
      </c>
      <c r="GK32" t="e">
        <f>AND(Liste!G302,"AAAAAE3X/8A=")</f>
        <v>#VALUE!</v>
      </c>
      <c r="GL32" t="e">
        <f>AND(Liste!H302,"AAAAAE3X/8E=")</f>
        <v>#VALUE!</v>
      </c>
      <c r="GM32" t="e">
        <f>AND(Liste!I302,"AAAAAE3X/8I=")</f>
        <v>#VALUE!</v>
      </c>
      <c r="GN32" t="e">
        <f>AND(Liste!J302,"AAAAAE3X/8M=")</f>
        <v>#VALUE!</v>
      </c>
      <c r="GO32" t="e">
        <f>AND(Liste!#REF!,"AAAAAE3X/8Q=")</f>
        <v>#REF!</v>
      </c>
      <c r="GP32" t="e">
        <f>AND(Liste!#REF!,"AAAAAE3X/8U=")</f>
        <v>#REF!</v>
      </c>
      <c r="GQ32" t="e">
        <f>AND(Liste!#REF!,"AAAAAE3X/8Y=")</f>
        <v>#REF!</v>
      </c>
      <c r="GR32" t="e">
        <f>AND(Liste!#REF!,"AAAAAE3X/8c=")</f>
        <v>#REF!</v>
      </c>
      <c r="GS32" t="e">
        <f>AND(Liste!#REF!,"AAAAAE3X/8g=")</f>
        <v>#REF!</v>
      </c>
      <c r="GT32" t="e">
        <f>AND(Liste!#REF!,"AAAAAE3X/8k=")</f>
        <v>#REF!</v>
      </c>
      <c r="GU32" t="e">
        <f>AND(Liste!#REF!,"AAAAAE3X/8o=")</f>
        <v>#REF!</v>
      </c>
      <c r="GV32" t="e">
        <f>AND(Liste!#REF!,"AAAAAE3X/8s=")</f>
        <v>#REF!</v>
      </c>
      <c r="GW32" t="e">
        <f>AND(Liste!#REF!,"AAAAAE3X/8w=")</f>
        <v>#REF!</v>
      </c>
      <c r="GX32" t="e">
        <f>AND(Liste!#REF!,"AAAAAE3X/80=")</f>
        <v>#REF!</v>
      </c>
      <c r="GY32" t="e">
        <f>AND(Liste!#REF!,"AAAAAE3X/84=")</f>
        <v>#REF!</v>
      </c>
      <c r="GZ32" t="e">
        <f>AND(Liste!#REF!,"AAAAAE3X/88=")</f>
        <v>#REF!</v>
      </c>
      <c r="HA32" t="e">
        <f>AND(Liste!#REF!,"AAAAAE3X/9A=")</f>
        <v>#REF!</v>
      </c>
      <c r="HB32" t="e">
        <f>AND(Liste!#REF!,"AAAAAE3X/9E=")</f>
        <v>#REF!</v>
      </c>
      <c r="HC32" t="e">
        <f>AND(Liste!#REF!,"AAAAAE3X/9I=")</f>
        <v>#REF!</v>
      </c>
      <c r="HD32" t="e">
        <f>AND(Liste!#REF!,"AAAAAE3X/9M=")</f>
        <v>#REF!</v>
      </c>
      <c r="HE32" t="e">
        <f>AND(Liste!#REF!,"AAAAAE3X/9Q=")</f>
        <v>#REF!</v>
      </c>
      <c r="HF32" t="e">
        <f>AND(Liste!#REF!,"AAAAAE3X/9U=")</f>
        <v>#REF!</v>
      </c>
      <c r="HG32" t="e">
        <f>AND(Liste!#REF!,"AAAAAE3X/9Y=")</f>
        <v>#REF!</v>
      </c>
      <c r="HH32" t="e">
        <f>AND(Liste!#REF!,"AAAAAE3X/9c=")</f>
        <v>#REF!</v>
      </c>
      <c r="HI32" t="e">
        <f>AND(Liste!#REF!,"AAAAAE3X/9g=")</f>
        <v>#REF!</v>
      </c>
      <c r="HJ32">
        <f>IF(Liste!247:247,"AAAAAE3X/9k=",0)</f>
        <v>0</v>
      </c>
      <c r="HK32" t="e">
        <f>AND(Liste!#REF!,"AAAAAE3X/9o=")</f>
        <v>#REF!</v>
      </c>
      <c r="HL32" t="e">
        <f>AND(Liste!#REF!,"AAAAAE3X/9s=")</f>
        <v>#REF!</v>
      </c>
      <c r="HM32" t="e">
        <f>AND(Liste!#REF!,"AAAAAE3X/9w=")</f>
        <v>#REF!</v>
      </c>
      <c r="HN32" t="e">
        <f>AND(Liste!#REF!,"AAAAAE3X/90=")</f>
        <v>#REF!</v>
      </c>
      <c r="HO32" t="e">
        <f>AND(Liste!F303,"AAAAAE3X/94=")</f>
        <v>#VALUE!</v>
      </c>
      <c r="HP32" t="e">
        <f>AND(Liste!G303,"AAAAAE3X/98=")</f>
        <v>#VALUE!</v>
      </c>
      <c r="HQ32" t="e">
        <f>AND(Liste!H303,"AAAAAE3X/+A=")</f>
        <v>#VALUE!</v>
      </c>
      <c r="HR32" t="e">
        <f>AND(Liste!I303,"AAAAAE3X/+E=")</f>
        <v>#VALUE!</v>
      </c>
      <c r="HS32" t="e">
        <f>AND(Liste!J303,"AAAAAE3X/+I=")</f>
        <v>#VALUE!</v>
      </c>
      <c r="HT32" t="e">
        <f>AND(Liste!#REF!,"AAAAAE3X/+M=")</f>
        <v>#REF!</v>
      </c>
      <c r="HU32" t="e">
        <f>AND(Liste!#REF!,"AAAAAE3X/+Q=")</f>
        <v>#REF!</v>
      </c>
      <c r="HV32" t="e">
        <f>AND(Liste!#REF!,"AAAAAE3X/+U=")</f>
        <v>#REF!</v>
      </c>
      <c r="HW32" t="e">
        <f>AND(Liste!#REF!,"AAAAAE3X/+Y=")</f>
        <v>#REF!</v>
      </c>
      <c r="HX32" t="e">
        <f>AND(Liste!#REF!,"AAAAAE3X/+c=")</f>
        <v>#REF!</v>
      </c>
      <c r="HY32" t="e">
        <f>AND(Liste!#REF!,"AAAAAE3X/+g=")</f>
        <v>#REF!</v>
      </c>
      <c r="HZ32" t="e">
        <f>AND(Liste!#REF!,"AAAAAE3X/+k=")</f>
        <v>#REF!</v>
      </c>
      <c r="IA32" t="e">
        <f>AND(Liste!#REF!,"AAAAAE3X/+o=")</f>
        <v>#REF!</v>
      </c>
      <c r="IB32" t="e">
        <f>AND(Liste!#REF!,"AAAAAE3X/+s=")</f>
        <v>#REF!</v>
      </c>
      <c r="IC32" t="e">
        <f>AND(Liste!#REF!,"AAAAAE3X/+w=")</f>
        <v>#REF!</v>
      </c>
      <c r="ID32" t="e">
        <f>AND(Liste!#REF!,"AAAAAE3X/+0=")</f>
        <v>#REF!</v>
      </c>
      <c r="IE32" t="e">
        <f>AND(Liste!#REF!,"AAAAAE3X/+4=")</f>
        <v>#REF!</v>
      </c>
      <c r="IF32" t="e">
        <f>AND(Liste!#REF!,"AAAAAE3X/+8=")</f>
        <v>#REF!</v>
      </c>
      <c r="IG32" t="e">
        <f>AND(Liste!#REF!,"AAAAAE3X//A=")</f>
        <v>#REF!</v>
      </c>
      <c r="IH32" t="e">
        <f>AND(Liste!#REF!,"AAAAAE3X//E=")</f>
        <v>#REF!</v>
      </c>
      <c r="II32" t="e">
        <f>AND(Liste!#REF!,"AAAAAE3X//I=")</f>
        <v>#REF!</v>
      </c>
      <c r="IJ32" t="e">
        <f>AND(Liste!#REF!,"AAAAAE3X//M=")</f>
        <v>#REF!</v>
      </c>
      <c r="IK32" t="e">
        <f>AND(Liste!#REF!,"AAAAAE3X//Q=")</f>
        <v>#REF!</v>
      </c>
      <c r="IL32" t="e">
        <f>AND(Liste!#REF!,"AAAAAE3X//U=")</f>
        <v>#REF!</v>
      </c>
      <c r="IM32" t="e">
        <f>AND(Liste!#REF!,"AAAAAE3X//Y=")</f>
        <v>#REF!</v>
      </c>
      <c r="IN32" t="e">
        <f>AND(Liste!#REF!,"AAAAAE3X//c=")</f>
        <v>#REF!</v>
      </c>
      <c r="IO32">
        <f>IF(Liste!248:248,"AAAAAE3X//g=",0)</f>
        <v>0</v>
      </c>
      <c r="IP32" t="e">
        <f>AND(Liste!#REF!,"AAAAAE3X//k=")</f>
        <v>#REF!</v>
      </c>
      <c r="IQ32" t="e">
        <f>AND(Liste!#REF!,"AAAAAE3X//o=")</f>
        <v>#REF!</v>
      </c>
      <c r="IR32" t="e">
        <f>AND(Liste!#REF!,"AAAAAE3X//s=")</f>
        <v>#REF!</v>
      </c>
      <c r="IS32" t="e">
        <f>AND(Liste!#REF!,"AAAAAE3X//w=")</f>
        <v>#REF!</v>
      </c>
      <c r="IT32" t="e">
        <f>AND(Liste!F304,"AAAAAE3X//0=")</f>
        <v>#VALUE!</v>
      </c>
      <c r="IU32" t="e">
        <f>AND(Liste!G304,"AAAAAE3X//4=")</f>
        <v>#VALUE!</v>
      </c>
      <c r="IV32" t="e">
        <f>AND(Liste!H304,"AAAAAE3X//8=")</f>
        <v>#VALUE!</v>
      </c>
    </row>
    <row r="33" spans="1:256" x14ac:dyDescent="0.2">
      <c r="A33" t="e">
        <f>AND(Liste!I304,"AAAAAE67ZwA=")</f>
        <v>#VALUE!</v>
      </c>
      <c r="B33" t="e">
        <f>AND(Liste!J304,"AAAAAE67ZwE=")</f>
        <v>#VALUE!</v>
      </c>
      <c r="C33" t="e">
        <f>AND(Liste!#REF!,"AAAAAE67ZwI=")</f>
        <v>#REF!</v>
      </c>
      <c r="D33" t="e">
        <f>AND(Liste!#REF!,"AAAAAE67ZwM=")</f>
        <v>#REF!</v>
      </c>
      <c r="E33" t="e">
        <f>AND(Liste!#REF!,"AAAAAE67ZwQ=")</f>
        <v>#REF!</v>
      </c>
      <c r="F33" t="e">
        <f>AND(Liste!#REF!,"AAAAAE67ZwU=")</f>
        <v>#REF!</v>
      </c>
      <c r="G33" t="e">
        <f>AND(Liste!#REF!,"AAAAAE67ZwY=")</f>
        <v>#REF!</v>
      </c>
      <c r="H33" t="e">
        <f>AND(Liste!#REF!,"AAAAAE67Zwc=")</f>
        <v>#REF!</v>
      </c>
      <c r="I33" t="e">
        <f>AND(Liste!#REF!,"AAAAAE67Zwg=")</f>
        <v>#REF!</v>
      </c>
      <c r="J33" t="e">
        <f>AND(Liste!#REF!,"AAAAAE67Zwk=")</f>
        <v>#REF!</v>
      </c>
      <c r="K33" t="e">
        <f>AND(Liste!#REF!,"AAAAAE67Zwo=")</f>
        <v>#REF!</v>
      </c>
      <c r="L33" t="e">
        <f>AND(Liste!#REF!,"AAAAAE67Zws=")</f>
        <v>#REF!</v>
      </c>
      <c r="M33" t="e">
        <f>AND(Liste!#REF!,"AAAAAE67Zww=")</f>
        <v>#REF!</v>
      </c>
      <c r="N33" t="e">
        <f>AND(Liste!#REF!,"AAAAAE67Zw0=")</f>
        <v>#REF!</v>
      </c>
      <c r="O33" t="e">
        <f>AND(Liste!#REF!,"AAAAAE67Zw4=")</f>
        <v>#REF!</v>
      </c>
      <c r="P33" t="e">
        <f>AND(Liste!#REF!,"AAAAAE67Zw8=")</f>
        <v>#REF!</v>
      </c>
      <c r="Q33" t="e">
        <f>AND(Liste!#REF!,"AAAAAE67ZxA=")</f>
        <v>#REF!</v>
      </c>
      <c r="R33" t="e">
        <f>AND(Liste!#REF!,"AAAAAE67ZxE=")</f>
        <v>#REF!</v>
      </c>
      <c r="S33" t="e">
        <f>AND(Liste!#REF!,"AAAAAE67ZxI=")</f>
        <v>#REF!</v>
      </c>
      <c r="T33" t="e">
        <f>AND(Liste!#REF!,"AAAAAE67ZxM=")</f>
        <v>#REF!</v>
      </c>
      <c r="U33" t="e">
        <f>AND(Liste!#REF!,"AAAAAE67ZxQ=")</f>
        <v>#REF!</v>
      </c>
      <c r="V33" t="e">
        <f>AND(Liste!#REF!,"AAAAAE67ZxU=")</f>
        <v>#REF!</v>
      </c>
      <c r="W33" t="e">
        <f>AND(Liste!#REF!,"AAAAAE67ZxY=")</f>
        <v>#REF!</v>
      </c>
      <c r="X33">
        <f>IF(Liste!249:249,"AAAAAE67Zxc=",0)</f>
        <v>0</v>
      </c>
      <c r="Y33" t="e">
        <f>AND(Liste!#REF!,"AAAAAE67Zxg=")</f>
        <v>#REF!</v>
      </c>
      <c r="Z33" t="e">
        <f>AND(Liste!#REF!,"AAAAAE67Zxk=")</f>
        <v>#REF!</v>
      </c>
      <c r="AA33" t="e">
        <f>AND(Liste!#REF!,"AAAAAE67Zxo=")</f>
        <v>#REF!</v>
      </c>
      <c r="AB33" t="e">
        <f>AND(Liste!#REF!,"AAAAAE67Zxs=")</f>
        <v>#REF!</v>
      </c>
      <c r="AC33" t="e">
        <f>AND(Liste!F305,"AAAAAE67Zxw=")</f>
        <v>#VALUE!</v>
      </c>
      <c r="AD33" t="e">
        <f>AND(Liste!G305,"AAAAAE67Zx0=")</f>
        <v>#VALUE!</v>
      </c>
      <c r="AE33" t="e">
        <f>AND(Liste!H305,"AAAAAE67Zx4=")</f>
        <v>#VALUE!</v>
      </c>
      <c r="AF33" t="e">
        <f>AND(Liste!I305,"AAAAAE67Zx8=")</f>
        <v>#VALUE!</v>
      </c>
      <c r="AG33" t="e">
        <f>AND(Liste!J305,"AAAAAE67ZyA=")</f>
        <v>#VALUE!</v>
      </c>
      <c r="AH33" t="e">
        <f>AND(Liste!#REF!,"AAAAAE67ZyE=")</f>
        <v>#REF!</v>
      </c>
      <c r="AI33" t="e">
        <f>AND(Liste!#REF!,"AAAAAE67ZyI=")</f>
        <v>#REF!</v>
      </c>
      <c r="AJ33" t="e">
        <f>AND(Liste!#REF!,"AAAAAE67ZyM=")</f>
        <v>#REF!</v>
      </c>
      <c r="AK33" t="e">
        <f>AND(Liste!#REF!,"AAAAAE67ZyQ=")</f>
        <v>#REF!</v>
      </c>
      <c r="AL33" t="e">
        <f>AND(Liste!#REF!,"AAAAAE67ZyU=")</f>
        <v>#REF!</v>
      </c>
      <c r="AM33" t="e">
        <f>AND(Liste!#REF!,"AAAAAE67ZyY=")</f>
        <v>#REF!</v>
      </c>
      <c r="AN33" t="e">
        <f>AND(Liste!#REF!,"AAAAAE67Zyc=")</f>
        <v>#REF!</v>
      </c>
      <c r="AO33" t="e">
        <f>AND(Liste!#REF!,"AAAAAE67Zyg=")</f>
        <v>#REF!</v>
      </c>
      <c r="AP33" t="e">
        <f>AND(Liste!#REF!,"AAAAAE67Zyk=")</f>
        <v>#REF!</v>
      </c>
      <c r="AQ33" t="e">
        <f>AND(Liste!#REF!,"AAAAAE67Zyo=")</f>
        <v>#REF!</v>
      </c>
      <c r="AR33" t="e">
        <f>AND(Liste!#REF!,"AAAAAE67Zys=")</f>
        <v>#REF!</v>
      </c>
      <c r="AS33" t="e">
        <f>AND(Liste!#REF!,"AAAAAE67Zyw=")</f>
        <v>#REF!</v>
      </c>
      <c r="AT33" t="e">
        <f>AND(Liste!#REF!,"AAAAAE67Zy0=")</f>
        <v>#REF!</v>
      </c>
      <c r="AU33" t="e">
        <f>AND(Liste!#REF!,"AAAAAE67Zy4=")</f>
        <v>#REF!</v>
      </c>
      <c r="AV33" t="e">
        <f>AND(Liste!#REF!,"AAAAAE67Zy8=")</f>
        <v>#REF!</v>
      </c>
      <c r="AW33" t="e">
        <f>AND(Liste!#REF!,"AAAAAE67ZzA=")</f>
        <v>#REF!</v>
      </c>
      <c r="AX33" t="e">
        <f>AND(Liste!#REF!,"AAAAAE67ZzE=")</f>
        <v>#REF!</v>
      </c>
      <c r="AY33" t="e">
        <f>AND(Liste!#REF!,"AAAAAE67ZzI=")</f>
        <v>#REF!</v>
      </c>
      <c r="AZ33" t="e">
        <f>AND(Liste!#REF!,"AAAAAE67ZzM=")</f>
        <v>#REF!</v>
      </c>
      <c r="BA33" t="e">
        <f>AND(Liste!#REF!,"AAAAAE67ZzQ=")</f>
        <v>#REF!</v>
      </c>
      <c r="BB33" t="e">
        <f>AND(Liste!#REF!,"AAAAAE67ZzU=")</f>
        <v>#REF!</v>
      </c>
      <c r="BC33">
        <f>IF(Liste!250:250,"AAAAAE67ZzY=",0)</f>
        <v>0</v>
      </c>
      <c r="BD33" t="e">
        <f>AND(Liste!#REF!,"AAAAAE67Zzc=")</f>
        <v>#REF!</v>
      </c>
      <c r="BE33" t="e">
        <f>AND(Liste!#REF!,"AAAAAE67Zzg=")</f>
        <v>#REF!</v>
      </c>
      <c r="BF33" t="e">
        <f>AND(Liste!#REF!,"AAAAAE67Zzk=")</f>
        <v>#REF!</v>
      </c>
      <c r="BG33" t="e">
        <f>AND(Liste!#REF!,"AAAAAE67Zzo=")</f>
        <v>#REF!</v>
      </c>
      <c r="BH33" t="e">
        <f>AND(Liste!F306,"AAAAAE67Zzs=")</f>
        <v>#VALUE!</v>
      </c>
      <c r="BI33" t="e">
        <f>AND(Liste!G306,"AAAAAE67Zzw=")</f>
        <v>#VALUE!</v>
      </c>
      <c r="BJ33" t="e">
        <f>AND(Liste!H306,"AAAAAE67Zz0=")</f>
        <v>#VALUE!</v>
      </c>
      <c r="BK33" t="e">
        <f>AND(Liste!I306,"AAAAAE67Zz4=")</f>
        <v>#VALUE!</v>
      </c>
      <c r="BL33" t="e">
        <f>AND(Liste!J306,"AAAAAE67Zz8=")</f>
        <v>#VALUE!</v>
      </c>
      <c r="BM33" t="e">
        <f>AND(Liste!#REF!,"AAAAAE67Z0A=")</f>
        <v>#REF!</v>
      </c>
      <c r="BN33" t="e">
        <f>AND(Liste!#REF!,"AAAAAE67Z0E=")</f>
        <v>#REF!</v>
      </c>
      <c r="BO33" t="e">
        <f>AND(Liste!#REF!,"AAAAAE67Z0I=")</f>
        <v>#REF!</v>
      </c>
      <c r="BP33" t="e">
        <f>AND(Liste!#REF!,"AAAAAE67Z0M=")</f>
        <v>#REF!</v>
      </c>
      <c r="BQ33" t="e">
        <f>AND(Liste!#REF!,"AAAAAE67Z0Q=")</f>
        <v>#REF!</v>
      </c>
      <c r="BR33" t="e">
        <f>AND(Liste!#REF!,"AAAAAE67Z0U=")</f>
        <v>#REF!</v>
      </c>
      <c r="BS33" t="e">
        <f>AND(Liste!#REF!,"AAAAAE67Z0Y=")</f>
        <v>#REF!</v>
      </c>
      <c r="BT33" t="e">
        <f>AND(Liste!#REF!,"AAAAAE67Z0c=")</f>
        <v>#REF!</v>
      </c>
      <c r="BU33" t="e">
        <f>AND(Liste!#REF!,"AAAAAE67Z0g=")</f>
        <v>#REF!</v>
      </c>
      <c r="BV33" t="e">
        <f>AND(Liste!#REF!,"AAAAAE67Z0k=")</f>
        <v>#REF!</v>
      </c>
      <c r="BW33" t="e">
        <f>AND(Liste!#REF!,"AAAAAE67Z0o=")</f>
        <v>#REF!</v>
      </c>
      <c r="BX33" t="e">
        <f>AND(Liste!#REF!,"AAAAAE67Z0s=")</f>
        <v>#REF!</v>
      </c>
      <c r="BY33" t="e">
        <f>AND(Liste!#REF!,"AAAAAE67Z0w=")</f>
        <v>#REF!</v>
      </c>
      <c r="BZ33" t="e">
        <f>AND(Liste!#REF!,"AAAAAE67Z00=")</f>
        <v>#REF!</v>
      </c>
      <c r="CA33" t="e">
        <f>AND(Liste!#REF!,"AAAAAE67Z04=")</f>
        <v>#REF!</v>
      </c>
      <c r="CB33" t="e">
        <f>AND(Liste!#REF!,"AAAAAE67Z08=")</f>
        <v>#REF!</v>
      </c>
      <c r="CC33" t="e">
        <f>AND(Liste!#REF!,"AAAAAE67Z1A=")</f>
        <v>#REF!</v>
      </c>
      <c r="CD33" t="e">
        <f>AND(Liste!#REF!,"AAAAAE67Z1E=")</f>
        <v>#REF!</v>
      </c>
      <c r="CE33" t="e">
        <f>AND(Liste!#REF!,"AAAAAE67Z1I=")</f>
        <v>#REF!</v>
      </c>
      <c r="CF33" t="e">
        <f>AND(Liste!#REF!,"AAAAAE67Z1M=")</f>
        <v>#REF!</v>
      </c>
      <c r="CG33" t="e">
        <f>AND(Liste!#REF!,"AAAAAE67Z1Q=")</f>
        <v>#REF!</v>
      </c>
      <c r="CH33" t="e">
        <f>IF(Liste!#REF!,"AAAAAE67Z1U=",0)</f>
        <v>#REF!</v>
      </c>
      <c r="CI33" t="e">
        <f>AND(Liste!#REF!,"AAAAAE67Z1Y=")</f>
        <v>#REF!</v>
      </c>
      <c r="CJ33" t="e">
        <f>AND(Liste!#REF!,"AAAAAE67Z1c=")</f>
        <v>#REF!</v>
      </c>
      <c r="CK33" t="e">
        <f>AND(Liste!#REF!,"AAAAAE67Z1g=")</f>
        <v>#REF!</v>
      </c>
      <c r="CL33" t="e">
        <f>AND(Liste!#REF!,"AAAAAE67Z1k=")</f>
        <v>#REF!</v>
      </c>
      <c r="CM33" t="e">
        <f>AND(Liste!#REF!,"AAAAAE67Z1o=")</f>
        <v>#REF!</v>
      </c>
      <c r="CN33" t="e">
        <f>AND(Liste!#REF!,"AAAAAE67Z1s=")</f>
        <v>#REF!</v>
      </c>
      <c r="CO33" t="e">
        <f>AND(Liste!#REF!,"AAAAAE67Z1w=")</f>
        <v>#REF!</v>
      </c>
      <c r="CP33" t="e">
        <f>AND(Liste!#REF!,"AAAAAE67Z10=")</f>
        <v>#REF!</v>
      </c>
      <c r="CQ33" t="e">
        <f>AND(Liste!#REF!,"AAAAAE67Z14=")</f>
        <v>#REF!</v>
      </c>
      <c r="CR33" t="e">
        <f>AND(Liste!#REF!,"AAAAAE67Z18=")</f>
        <v>#REF!</v>
      </c>
      <c r="CS33" t="e">
        <f>AND(Liste!#REF!,"AAAAAE67Z2A=")</f>
        <v>#REF!</v>
      </c>
      <c r="CT33" t="e">
        <f>AND(Liste!#REF!,"AAAAAE67Z2E=")</f>
        <v>#REF!</v>
      </c>
      <c r="CU33" t="e">
        <f>AND(Liste!#REF!,"AAAAAE67Z2I=")</f>
        <v>#REF!</v>
      </c>
      <c r="CV33" t="e">
        <f>AND(Liste!#REF!,"AAAAAE67Z2M=")</f>
        <v>#REF!</v>
      </c>
      <c r="CW33" t="e">
        <f>AND(Liste!#REF!,"AAAAAE67Z2Q=")</f>
        <v>#REF!</v>
      </c>
      <c r="CX33" t="e">
        <f>AND(Liste!#REF!,"AAAAAE67Z2U=")</f>
        <v>#REF!</v>
      </c>
      <c r="CY33" t="e">
        <f>AND(Liste!#REF!,"AAAAAE67Z2Y=")</f>
        <v>#REF!</v>
      </c>
      <c r="CZ33" t="e">
        <f>AND(Liste!#REF!,"AAAAAE67Z2c=")</f>
        <v>#REF!</v>
      </c>
      <c r="DA33" t="e">
        <f>AND(Liste!#REF!,"AAAAAE67Z2g=")</f>
        <v>#REF!</v>
      </c>
      <c r="DB33" t="e">
        <f>AND(Liste!#REF!,"AAAAAE67Z2k=")</f>
        <v>#REF!</v>
      </c>
      <c r="DC33" t="e">
        <f>AND(Liste!#REF!,"AAAAAE67Z2o=")</f>
        <v>#REF!</v>
      </c>
      <c r="DD33" t="e">
        <f>AND(Liste!#REF!,"AAAAAE67Z2s=")</f>
        <v>#REF!</v>
      </c>
      <c r="DE33" t="e">
        <f>AND(Liste!#REF!,"AAAAAE67Z2w=")</f>
        <v>#REF!</v>
      </c>
      <c r="DF33" t="e">
        <f>AND(Liste!#REF!,"AAAAAE67Z20=")</f>
        <v>#REF!</v>
      </c>
      <c r="DG33" t="e">
        <f>AND(Liste!#REF!,"AAAAAE67Z24=")</f>
        <v>#REF!</v>
      </c>
      <c r="DH33" t="e">
        <f>AND(Liste!#REF!,"AAAAAE67Z28=")</f>
        <v>#REF!</v>
      </c>
      <c r="DI33" t="e">
        <f>AND(Liste!#REF!,"AAAAAE67Z3A=")</f>
        <v>#REF!</v>
      </c>
      <c r="DJ33" t="e">
        <f>AND(Liste!#REF!,"AAAAAE67Z3E=")</f>
        <v>#REF!</v>
      </c>
      <c r="DK33" t="e">
        <f>AND(Liste!#REF!,"AAAAAE67Z3I=")</f>
        <v>#REF!</v>
      </c>
      <c r="DL33" t="e">
        <f>AND(Liste!#REF!,"AAAAAE67Z3M=")</f>
        <v>#REF!</v>
      </c>
      <c r="DM33" t="e">
        <f>IF(Liste!#REF!,"AAAAAE67Z3Q=",0)</f>
        <v>#REF!</v>
      </c>
      <c r="DN33" t="e">
        <f>AND(Liste!#REF!,"AAAAAE67Z3U=")</f>
        <v>#REF!</v>
      </c>
      <c r="DO33" t="e">
        <f>AND(Liste!#REF!,"AAAAAE67Z3Y=")</f>
        <v>#REF!</v>
      </c>
      <c r="DP33" t="e">
        <f>AND(Liste!#REF!,"AAAAAE67Z3c=")</f>
        <v>#REF!</v>
      </c>
      <c r="DQ33" t="e">
        <f>AND(Liste!#REF!,"AAAAAE67Z3g=")</f>
        <v>#REF!</v>
      </c>
      <c r="DR33" t="e">
        <f>AND(Liste!#REF!,"AAAAAE67Z3k=")</f>
        <v>#REF!</v>
      </c>
      <c r="DS33" t="e">
        <f>AND(Liste!#REF!,"AAAAAE67Z3o=")</f>
        <v>#REF!</v>
      </c>
      <c r="DT33" t="e">
        <f>AND(Liste!#REF!,"AAAAAE67Z3s=")</f>
        <v>#REF!</v>
      </c>
      <c r="DU33" t="e">
        <f>AND(Liste!#REF!,"AAAAAE67Z3w=")</f>
        <v>#REF!</v>
      </c>
      <c r="DV33" t="e">
        <f>AND(Liste!#REF!,"AAAAAE67Z30=")</f>
        <v>#REF!</v>
      </c>
      <c r="DW33" t="e">
        <f>AND(Liste!#REF!,"AAAAAE67Z34=")</f>
        <v>#REF!</v>
      </c>
      <c r="DX33" t="e">
        <f>AND(Liste!#REF!,"AAAAAE67Z38=")</f>
        <v>#REF!</v>
      </c>
      <c r="DY33" t="e">
        <f>AND(Liste!#REF!,"AAAAAE67Z4A=")</f>
        <v>#REF!</v>
      </c>
      <c r="DZ33" t="e">
        <f>AND(Liste!#REF!,"AAAAAE67Z4E=")</f>
        <v>#REF!</v>
      </c>
      <c r="EA33" t="e">
        <f>AND(Liste!#REF!,"AAAAAE67Z4I=")</f>
        <v>#REF!</v>
      </c>
      <c r="EB33" t="e">
        <f>AND(Liste!#REF!,"AAAAAE67Z4M=")</f>
        <v>#REF!</v>
      </c>
      <c r="EC33" t="e">
        <f>AND(Liste!#REF!,"AAAAAE67Z4Q=")</f>
        <v>#REF!</v>
      </c>
      <c r="ED33" t="e">
        <f>AND(Liste!#REF!,"AAAAAE67Z4U=")</f>
        <v>#REF!</v>
      </c>
      <c r="EE33" t="e">
        <f>AND(Liste!#REF!,"AAAAAE67Z4Y=")</f>
        <v>#REF!</v>
      </c>
      <c r="EF33" t="e">
        <f>AND(Liste!#REF!,"AAAAAE67Z4c=")</f>
        <v>#REF!</v>
      </c>
      <c r="EG33" t="e">
        <f>AND(Liste!#REF!,"AAAAAE67Z4g=")</f>
        <v>#REF!</v>
      </c>
      <c r="EH33" t="e">
        <f>AND(Liste!#REF!,"AAAAAE67Z4k=")</f>
        <v>#REF!</v>
      </c>
      <c r="EI33" t="e">
        <f>AND(Liste!#REF!,"AAAAAE67Z4o=")</f>
        <v>#REF!</v>
      </c>
      <c r="EJ33" t="e">
        <f>AND(Liste!#REF!,"AAAAAE67Z4s=")</f>
        <v>#REF!</v>
      </c>
      <c r="EK33" t="e">
        <f>AND(Liste!#REF!,"AAAAAE67Z4w=")</f>
        <v>#REF!</v>
      </c>
      <c r="EL33" t="e">
        <f>AND(Liste!#REF!,"AAAAAE67Z40=")</f>
        <v>#REF!</v>
      </c>
      <c r="EM33" t="e">
        <f>AND(Liste!#REF!,"AAAAAE67Z44=")</f>
        <v>#REF!</v>
      </c>
      <c r="EN33" t="e">
        <f>AND(Liste!#REF!,"AAAAAE67Z48=")</f>
        <v>#REF!</v>
      </c>
      <c r="EO33" t="e">
        <f>AND(Liste!#REF!,"AAAAAE67Z5A=")</f>
        <v>#REF!</v>
      </c>
      <c r="EP33" t="e">
        <f>AND(Liste!#REF!,"AAAAAE67Z5E=")</f>
        <v>#REF!</v>
      </c>
      <c r="EQ33" t="e">
        <f>AND(Liste!#REF!,"AAAAAE67Z5I=")</f>
        <v>#REF!</v>
      </c>
      <c r="ER33" t="e">
        <f>IF(Liste!#REF!,"AAAAAE67Z5M=",0)</f>
        <v>#REF!</v>
      </c>
      <c r="ES33" t="e">
        <f>AND(Liste!#REF!,"AAAAAE67Z5Q=")</f>
        <v>#REF!</v>
      </c>
      <c r="ET33" t="e">
        <f>AND(Liste!#REF!,"AAAAAE67Z5U=")</f>
        <v>#REF!</v>
      </c>
      <c r="EU33" t="e">
        <f>AND(Liste!#REF!,"AAAAAE67Z5Y=")</f>
        <v>#REF!</v>
      </c>
      <c r="EV33" t="e">
        <f>AND(Liste!#REF!,"AAAAAE67Z5c=")</f>
        <v>#REF!</v>
      </c>
      <c r="EW33" t="e">
        <f>AND(Liste!#REF!,"AAAAAE67Z5g=")</f>
        <v>#REF!</v>
      </c>
      <c r="EX33" t="e">
        <f>AND(Liste!#REF!,"AAAAAE67Z5k=")</f>
        <v>#REF!</v>
      </c>
      <c r="EY33" t="e">
        <f>AND(Liste!#REF!,"AAAAAE67Z5o=")</f>
        <v>#REF!</v>
      </c>
      <c r="EZ33" t="e">
        <f>AND(Liste!#REF!,"AAAAAE67Z5s=")</f>
        <v>#REF!</v>
      </c>
      <c r="FA33" t="e">
        <f>AND(Liste!#REF!,"AAAAAE67Z5w=")</f>
        <v>#REF!</v>
      </c>
      <c r="FB33" t="e">
        <f>AND(Liste!#REF!,"AAAAAE67Z50=")</f>
        <v>#REF!</v>
      </c>
      <c r="FC33" t="e">
        <f>AND(Liste!#REF!,"AAAAAE67Z54=")</f>
        <v>#REF!</v>
      </c>
      <c r="FD33" t="e">
        <f>AND(Liste!#REF!,"AAAAAE67Z58=")</f>
        <v>#REF!</v>
      </c>
      <c r="FE33" t="e">
        <f>AND(Liste!#REF!,"AAAAAE67Z6A=")</f>
        <v>#REF!</v>
      </c>
      <c r="FF33" t="e">
        <f>AND(Liste!#REF!,"AAAAAE67Z6E=")</f>
        <v>#REF!</v>
      </c>
      <c r="FG33" t="e">
        <f>AND(Liste!#REF!,"AAAAAE67Z6I=")</f>
        <v>#REF!</v>
      </c>
      <c r="FH33" t="e">
        <f>AND(Liste!#REF!,"AAAAAE67Z6M=")</f>
        <v>#REF!</v>
      </c>
      <c r="FI33" t="e">
        <f>AND(Liste!#REF!,"AAAAAE67Z6Q=")</f>
        <v>#REF!</v>
      </c>
      <c r="FJ33" t="e">
        <f>AND(Liste!#REF!,"AAAAAE67Z6U=")</f>
        <v>#REF!</v>
      </c>
      <c r="FK33" t="e">
        <f>AND(Liste!#REF!,"AAAAAE67Z6Y=")</f>
        <v>#REF!</v>
      </c>
      <c r="FL33" t="e">
        <f>AND(Liste!#REF!,"AAAAAE67Z6c=")</f>
        <v>#REF!</v>
      </c>
      <c r="FM33" t="e">
        <f>AND(Liste!#REF!,"AAAAAE67Z6g=")</f>
        <v>#REF!</v>
      </c>
      <c r="FN33" t="e">
        <f>AND(Liste!#REF!,"AAAAAE67Z6k=")</f>
        <v>#REF!</v>
      </c>
      <c r="FO33" t="e">
        <f>AND(Liste!#REF!,"AAAAAE67Z6o=")</f>
        <v>#REF!</v>
      </c>
      <c r="FP33" t="e">
        <f>AND(Liste!#REF!,"AAAAAE67Z6s=")</f>
        <v>#REF!</v>
      </c>
      <c r="FQ33" t="e">
        <f>AND(Liste!#REF!,"AAAAAE67Z6w=")</f>
        <v>#REF!</v>
      </c>
      <c r="FR33" t="e">
        <f>AND(Liste!#REF!,"AAAAAE67Z60=")</f>
        <v>#REF!</v>
      </c>
      <c r="FS33" t="e">
        <f>AND(Liste!#REF!,"AAAAAE67Z64=")</f>
        <v>#REF!</v>
      </c>
      <c r="FT33" t="e">
        <f>AND(Liste!#REF!,"AAAAAE67Z68=")</f>
        <v>#REF!</v>
      </c>
      <c r="FU33" t="e">
        <f>AND(Liste!#REF!,"AAAAAE67Z7A=")</f>
        <v>#REF!</v>
      </c>
      <c r="FV33" t="e">
        <f>AND(Liste!#REF!,"AAAAAE67Z7E=")</f>
        <v>#REF!</v>
      </c>
      <c r="FW33" t="e">
        <f>IF(Liste!#REF!,"AAAAAE67Z7I=",0)</f>
        <v>#REF!</v>
      </c>
      <c r="FX33" t="e">
        <f>AND(Liste!#REF!,"AAAAAE67Z7M=")</f>
        <v>#REF!</v>
      </c>
      <c r="FY33" t="e">
        <f>AND(Liste!#REF!,"AAAAAE67Z7Q=")</f>
        <v>#REF!</v>
      </c>
      <c r="FZ33" t="e">
        <f>AND(Liste!#REF!,"AAAAAE67Z7U=")</f>
        <v>#REF!</v>
      </c>
      <c r="GA33" t="e">
        <f>AND(Liste!#REF!,"AAAAAE67Z7Y=")</f>
        <v>#REF!</v>
      </c>
      <c r="GB33" t="e">
        <f>AND(Liste!#REF!,"AAAAAE67Z7c=")</f>
        <v>#REF!</v>
      </c>
      <c r="GC33" t="e">
        <f>AND(Liste!#REF!,"AAAAAE67Z7g=")</f>
        <v>#REF!</v>
      </c>
      <c r="GD33" t="e">
        <f>AND(Liste!#REF!,"AAAAAE67Z7k=")</f>
        <v>#REF!</v>
      </c>
      <c r="GE33" t="e">
        <f>AND(Liste!#REF!,"AAAAAE67Z7o=")</f>
        <v>#REF!</v>
      </c>
      <c r="GF33" t="e">
        <f>AND(Liste!#REF!,"AAAAAE67Z7s=")</f>
        <v>#REF!</v>
      </c>
      <c r="GG33" t="e">
        <f>AND(Liste!#REF!,"AAAAAE67Z7w=")</f>
        <v>#REF!</v>
      </c>
      <c r="GH33" t="e">
        <f>AND(Liste!#REF!,"AAAAAE67Z70=")</f>
        <v>#REF!</v>
      </c>
      <c r="GI33" t="e">
        <f>AND(Liste!#REF!,"AAAAAE67Z74=")</f>
        <v>#REF!</v>
      </c>
      <c r="GJ33" t="e">
        <f>AND(Liste!#REF!,"AAAAAE67Z78=")</f>
        <v>#REF!</v>
      </c>
      <c r="GK33" t="e">
        <f>AND(Liste!#REF!,"AAAAAE67Z8A=")</f>
        <v>#REF!</v>
      </c>
      <c r="GL33" t="e">
        <f>AND(Liste!#REF!,"AAAAAE67Z8E=")</f>
        <v>#REF!</v>
      </c>
      <c r="GM33" t="e">
        <f>AND(Liste!#REF!,"AAAAAE67Z8I=")</f>
        <v>#REF!</v>
      </c>
      <c r="GN33" t="e">
        <f>AND(Liste!#REF!,"AAAAAE67Z8M=")</f>
        <v>#REF!</v>
      </c>
      <c r="GO33" t="e">
        <f>AND(Liste!#REF!,"AAAAAE67Z8Q=")</f>
        <v>#REF!</v>
      </c>
      <c r="GP33" t="e">
        <f>AND(Liste!#REF!,"AAAAAE67Z8U=")</f>
        <v>#REF!</v>
      </c>
      <c r="GQ33" t="e">
        <f>AND(Liste!#REF!,"AAAAAE67Z8Y=")</f>
        <v>#REF!</v>
      </c>
      <c r="GR33" t="e">
        <f>AND(Liste!#REF!,"AAAAAE67Z8c=")</f>
        <v>#REF!</v>
      </c>
      <c r="GS33" t="e">
        <f>AND(Liste!#REF!,"AAAAAE67Z8g=")</f>
        <v>#REF!</v>
      </c>
      <c r="GT33" t="e">
        <f>AND(Liste!#REF!,"AAAAAE67Z8k=")</f>
        <v>#REF!</v>
      </c>
      <c r="GU33" t="e">
        <f>AND(Liste!#REF!,"AAAAAE67Z8o=")</f>
        <v>#REF!</v>
      </c>
      <c r="GV33" t="e">
        <f>AND(Liste!#REF!,"AAAAAE67Z8s=")</f>
        <v>#REF!</v>
      </c>
      <c r="GW33" t="e">
        <f>AND(Liste!#REF!,"AAAAAE67Z8w=")</f>
        <v>#REF!</v>
      </c>
      <c r="GX33" t="e">
        <f>AND(Liste!#REF!,"AAAAAE67Z80=")</f>
        <v>#REF!</v>
      </c>
      <c r="GY33" t="e">
        <f>AND(Liste!#REF!,"AAAAAE67Z84=")</f>
        <v>#REF!</v>
      </c>
      <c r="GZ33" t="e">
        <f>AND(Liste!#REF!,"AAAAAE67Z88=")</f>
        <v>#REF!</v>
      </c>
      <c r="HA33" t="e">
        <f>AND(Liste!#REF!,"AAAAAE67Z9A=")</f>
        <v>#REF!</v>
      </c>
      <c r="HB33" t="e">
        <f>IF(Liste!#REF!,"AAAAAE67Z9E=",0)</f>
        <v>#REF!</v>
      </c>
      <c r="HC33" t="e">
        <f>AND(Liste!#REF!,"AAAAAE67Z9I=")</f>
        <v>#REF!</v>
      </c>
      <c r="HD33" t="e">
        <f>AND(Liste!#REF!,"AAAAAE67Z9M=")</f>
        <v>#REF!</v>
      </c>
      <c r="HE33" t="e">
        <f>AND(Liste!#REF!,"AAAAAE67Z9Q=")</f>
        <v>#REF!</v>
      </c>
      <c r="HF33" t="e">
        <f>AND(Liste!#REF!,"AAAAAE67Z9U=")</f>
        <v>#REF!</v>
      </c>
      <c r="HG33" t="e">
        <f>AND(Liste!#REF!,"AAAAAE67Z9Y=")</f>
        <v>#REF!</v>
      </c>
      <c r="HH33" t="e">
        <f>AND(Liste!#REF!,"AAAAAE67Z9c=")</f>
        <v>#REF!</v>
      </c>
      <c r="HI33" t="e">
        <f>AND(Liste!#REF!,"AAAAAE67Z9g=")</f>
        <v>#REF!</v>
      </c>
      <c r="HJ33" t="e">
        <f>AND(Liste!#REF!,"AAAAAE67Z9k=")</f>
        <v>#REF!</v>
      </c>
      <c r="HK33" t="e">
        <f>AND(Liste!#REF!,"AAAAAE67Z9o=")</f>
        <v>#REF!</v>
      </c>
      <c r="HL33" t="e">
        <f>AND(Liste!#REF!,"AAAAAE67Z9s=")</f>
        <v>#REF!</v>
      </c>
      <c r="HM33" t="e">
        <f>AND(Liste!#REF!,"AAAAAE67Z9w=")</f>
        <v>#REF!</v>
      </c>
      <c r="HN33" t="e">
        <f>AND(Liste!#REF!,"AAAAAE67Z90=")</f>
        <v>#REF!</v>
      </c>
      <c r="HO33" t="e">
        <f>AND(Liste!#REF!,"AAAAAE67Z94=")</f>
        <v>#REF!</v>
      </c>
      <c r="HP33" t="e">
        <f>AND(Liste!#REF!,"AAAAAE67Z98=")</f>
        <v>#REF!</v>
      </c>
      <c r="HQ33" t="e">
        <f>AND(Liste!#REF!,"AAAAAE67Z+A=")</f>
        <v>#REF!</v>
      </c>
      <c r="HR33" t="e">
        <f>AND(Liste!#REF!,"AAAAAE67Z+E=")</f>
        <v>#REF!</v>
      </c>
      <c r="HS33" t="e">
        <f>AND(Liste!#REF!,"AAAAAE67Z+I=")</f>
        <v>#REF!</v>
      </c>
      <c r="HT33" t="e">
        <f>AND(Liste!#REF!,"AAAAAE67Z+M=")</f>
        <v>#REF!</v>
      </c>
      <c r="HU33" t="e">
        <f>AND(Liste!#REF!,"AAAAAE67Z+Q=")</f>
        <v>#REF!</v>
      </c>
      <c r="HV33" t="e">
        <f>AND(Liste!#REF!,"AAAAAE67Z+U=")</f>
        <v>#REF!</v>
      </c>
      <c r="HW33" t="e">
        <f>AND(Liste!#REF!,"AAAAAE67Z+Y=")</f>
        <v>#REF!</v>
      </c>
      <c r="HX33" t="e">
        <f>AND(Liste!#REF!,"AAAAAE67Z+c=")</f>
        <v>#REF!</v>
      </c>
      <c r="HY33" t="e">
        <f>AND(Liste!#REF!,"AAAAAE67Z+g=")</f>
        <v>#REF!</v>
      </c>
      <c r="HZ33" t="e">
        <f>AND(Liste!#REF!,"AAAAAE67Z+k=")</f>
        <v>#REF!</v>
      </c>
      <c r="IA33" t="e">
        <f>AND(Liste!#REF!,"AAAAAE67Z+o=")</f>
        <v>#REF!</v>
      </c>
      <c r="IB33" t="e">
        <f>AND(Liste!#REF!,"AAAAAE67Z+s=")</f>
        <v>#REF!</v>
      </c>
      <c r="IC33" t="e">
        <f>AND(Liste!#REF!,"AAAAAE67Z+w=")</f>
        <v>#REF!</v>
      </c>
      <c r="ID33" t="e">
        <f>AND(Liste!#REF!,"AAAAAE67Z+0=")</f>
        <v>#REF!</v>
      </c>
      <c r="IE33" t="e">
        <f>AND(Liste!#REF!,"AAAAAE67Z+4=")</f>
        <v>#REF!</v>
      </c>
      <c r="IF33" t="e">
        <f>AND(Liste!#REF!,"AAAAAE67Z+8=")</f>
        <v>#REF!</v>
      </c>
      <c r="IG33" t="e">
        <f>IF(Liste!#REF!,"AAAAAE67Z/A=",0)</f>
        <v>#REF!</v>
      </c>
      <c r="IH33" t="e">
        <f>AND(Liste!#REF!,"AAAAAE67Z/E=")</f>
        <v>#REF!</v>
      </c>
      <c r="II33" t="e">
        <f>AND(Liste!#REF!,"AAAAAE67Z/I=")</f>
        <v>#REF!</v>
      </c>
      <c r="IJ33" t="e">
        <f>AND(Liste!#REF!,"AAAAAE67Z/M=")</f>
        <v>#REF!</v>
      </c>
      <c r="IK33" t="e">
        <f>AND(Liste!#REF!,"AAAAAE67Z/Q=")</f>
        <v>#REF!</v>
      </c>
      <c r="IL33" t="e">
        <f>AND(Liste!#REF!,"AAAAAE67Z/U=")</f>
        <v>#REF!</v>
      </c>
      <c r="IM33" t="e">
        <f>AND(Liste!#REF!,"AAAAAE67Z/Y=")</f>
        <v>#REF!</v>
      </c>
      <c r="IN33" t="e">
        <f>AND(Liste!#REF!,"AAAAAE67Z/c=")</f>
        <v>#REF!</v>
      </c>
      <c r="IO33" t="e">
        <f>AND(Liste!#REF!,"AAAAAE67Z/g=")</f>
        <v>#REF!</v>
      </c>
      <c r="IP33" t="e">
        <f>AND(Liste!#REF!,"AAAAAE67Z/k=")</f>
        <v>#REF!</v>
      </c>
      <c r="IQ33" t="e">
        <f>AND(Liste!#REF!,"AAAAAE67Z/o=")</f>
        <v>#REF!</v>
      </c>
      <c r="IR33" t="e">
        <f>AND(Liste!#REF!,"AAAAAE67Z/s=")</f>
        <v>#REF!</v>
      </c>
      <c r="IS33" t="e">
        <f>AND(Liste!#REF!,"AAAAAE67Z/w=")</f>
        <v>#REF!</v>
      </c>
      <c r="IT33" t="e">
        <f>AND(Liste!#REF!,"AAAAAE67Z/0=")</f>
        <v>#REF!</v>
      </c>
      <c r="IU33" t="e">
        <f>AND(Liste!#REF!,"AAAAAE67Z/4=")</f>
        <v>#REF!</v>
      </c>
      <c r="IV33" t="e">
        <f>AND(Liste!#REF!,"AAAAAE67Z/8=")</f>
        <v>#REF!</v>
      </c>
    </row>
    <row r="34" spans="1:256" x14ac:dyDescent="0.2">
      <c r="A34" t="e">
        <f>AND(Liste!#REF!,"AAAAAF8+HwA=")</f>
        <v>#REF!</v>
      </c>
      <c r="B34" t="e">
        <f>AND(Liste!#REF!,"AAAAAF8+HwE=")</f>
        <v>#REF!</v>
      </c>
      <c r="C34" t="e">
        <f>AND(Liste!#REF!,"AAAAAF8+HwI=")</f>
        <v>#REF!</v>
      </c>
      <c r="D34" t="e">
        <f>AND(Liste!#REF!,"AAAAAF8+HwM=")</f>
        <v>#REF!</v>
      </c>
      <c r="E34" t="e">
        <f>AND(Liste!#REF!,"AAAAAF8+HwQ=")</f>
        <v>#REF!</v>
      </c>
      <c r="F34" t="e">
        <f>AND(Liste!#REF!,"AAAAAF8+HwU=")</f>
        <v>#REF!</v>
      </c>
      <c r="G34" t="e">
        <f>AND(Liste!#REF!,"AAAAAF8+HwY=")</f>
        <v>#REF!</v>
      </c>
      <c r="H34" t="e">
        <f>AND(Liste!#REF!,"AAAAAF8+Hwc=")</f>
        <v>#REF!</v>
      </c>
      <c r="I34" t="e">
        <f>AND(Liste!#REF!,"AAAAAF8+Hwg=")</f>
        <v>#REF!</v>
      </c>
      <c r="J34" t="e">
        <f>AND(Liste!#REF!,"AAAAAF8+Hwk=")</f>
        <v>#REF!</v>
      </c>
      <c r="K34" t="e">
        <f>AND(Liste!#REF!,"AAAAAF8+Hwo=")</f>
        <v>#REF!</v>
      </c>
      <c r="L34" t="e">
        <f>AND(Liste!#REF!,"AAAAAF8+Hws=")</f>
        <v>#REF!</v>
      </c>
      <c r="M34" t="e">
        <f>AND(Liste!#REF!,"AAAAAF8+Hww=")</f>
        <v>#REF!</v>
      </c>
      <c r="N34" t="e">
        <f>AND(Liste!#REF!,"AAAAAF8+Hw0=")</f>
        <v>#REF!</v>
      </c>
      <c r="O34" t="e">
        <f>AND(Liste!#REF!,"AAAAAF8+Hw4=")</f>
        <v>#REF!</v>
      </c>
      <c r="P34" t="e">
        <f>IF(Liste!#REF!,"AAAAAF8+Hw8=",0)</f>
        <v>#REF!</v>
      </c>
      <c r="Q34" t="e">
        <f>AND(Liste!#REF!,"AAAAAF8+HxA=")</f>
        <v>#REF!</v>
      </c>
      <c r="R34" t="e">
        <f>AND(Liste!#REF!,"AAAAAF8+HxE=")</f>
        <v>#REF!</v>
      </c>
      <c r="S34" t="e">
        <f>AND(Liste!#REF!,"AAAAAF8+HxI=")</f>
        <v>#REF!</v>
      </c>
      <c r="T34" t="e">
        <f>AND(Liste!#REF!,"AAAAAF8+HxM=")</f>
        <v>#REF!</v>
      </c>
      <c r="U34" t="e">
        <f>AND(Liste!#REF!,"AAAAAF8+HxQ=")</f>
        <v>#REF!</v>
      </c>
      <c r="V34" t="e">
        <f>AND(Liste!#REF!,"AAAAAF8+HxU=")</f>
        <v>#REF!</v>
      </c>
      <c r="W34" t="e">
        <f>AND(Liste!#REF!,"AAAAAF8+HxY=")</f>
        <v>#REF!</v>
      </c>
      <c r="X34" t="e">
        <f>AND(Liste!#REF!,"AAAAAF8+Hxc=")</f>
        <v>#REF!</v>
      </c>
      <c r="Y34" t="e">
        <f>AND(Liste!#REF!,"AAAAAF8+Hxg=")</f>
        <v>#REF!</v>
      </c>
      <c r="Z34" t="e">
        <f>AND(Liste!#REF!,"AAAAAF8+Hxk=")</f>
        <v>#REF!</v>
      </c>
      <c r="AA34" t="e">
        <f>AND(Liste!#REF!,"AAAAAF8+Hxo=")</f>
        <v>#REF!</v>
      </c>
      <c r="AB34" t="e">
        <f>AND(Liste!#REF!,"AAAAAF8+Hxs=")</f>
        <v>#REF!</v>
      </c>
      <c r="AC34" t="e">
        <f>AND(Liste!#REF!,"AAAAAF8+Hxw=")</f>
        <v>#REF!</v>
      </c>
      <c r="AD34" t="e">
        <f>AND(Liste!#REF!,"AAAAAF8+Hx0=")</f>
        <v>#REF!</v>
      </c>
      <c r="AE34" t="e">
        <f>AND(Liste!#REF!,"AAAAAF8+Hx4=")</f>
        <v>#REF!</v>
      </c>
      <c r="AF34" t="e">
        <f>AND(Liste!#REF!,"AAAAAF8+Hx8=")</f>
        <v>#REF!</v>
      </c>
      <c r="AG34" t="e">
        <f>AND(Liste!#REF!,"AAAAAF8+HyA=")</f>
        <v>#REF!</v>
      </c>
      <c r="AH34" t="e">
        <f>AND(Liste!#REF!,"AAAAAF8+HyE=")</f>
        <v>#REF!</v>
      </c>
      <c r="AI34" t="e">
        <f>AND(Liste!#REF!,"AAAAAF8+HyI=")</f>
        <v>#REF!</v>
      </c>
      <c r="AJ34" t="e">
        <f>AND(Liste!#REF!,"AAAAAF8+HyM=")</f>
        <v>#REF!</v>
      </c>
      <c r="AK34" t="e">
        <f>AND(Liste!#REF!,"AAAAAF8+HyQ=")</f>
        <v>#REF!</v>
      </c>
      <c r="AL34" t="e">
        <f>AND(Liste!#REF!,"AAAAAF8+HyU=")</f>
        <v>#REF!</v>
      </c>
      <c r="AM34" t="e">
        <f>AND(Liste!#REF!,"AAAAAF8+HyY=")</f>
        <v>#REF!</v>
      </c>
      <c r="AN34" t="e">
        <f>AND(Liste!#REF!,"AAAAAF8+Hyc=")</f>
        <v>#REF!</v>
      </c>
      <c r="AO34" t="e">
        <f>AND(Liste!#REF!,"AAAAAF8+Hyg=")</f>
        <v>#REF!</v>
      </c>
      <c r="AP34" t="e">
        <f>AND(Liste!#REF!,"AAAAAF8+Hyk=")</f>
        <v>#REF!</v>
      </c>
      <c r="AQ34" t="e">
        <f>AND(Liste!#REF!,"AAAAAF8+Hyo=")</f>
        <v>#REF!</v>
      </c>
      <c r="AR34" t="e">
        <f>AND(Liste!#REF!,"AAAAAF8+Hys=")</f>
        <v>#REF!</v>
      </c>
      <c r="AS34" t="e">
        <f>AND(Liste!#REF!,"AAAAAF8+Hyw=")</f>
        <v>#REF!</v>
      </c>
      <c r="AT34" t="e">
        <f>AND(Liste!#REF!,"AAAAAF8+Hy0=")</f>
        <v>#REF!</v>
      </c>
      <c r="AU34" t="e">
        <f>IF(Liste!#REF!,"AAAAAF8+Hy4=",0)</f>
        <v>#REF!</v>
      </c>
      <c r="AV34" t="e">
        <f>AND(Liste!#REF!,"AAAAAF8+Hy8=")</f>
        <v>#REF!</v>
      </c>
      <c r="AW34" t="e">
        <f>AND(Liste!#REF!,"AAAAAF8+HzA=")</f>
        <v>#REF!</v>
      </c>
      <c r="AX34" t="e">
        <f>AND(Liste!#REF!,"AAAAAF8+HzE=")</f>
        <v>#REF!</v>
      </c>
      <c r="AY34" t="e">
        <f>AND(Liste!#REF!,"AAAAAF8+HzI=")</f>
        <v>#REF!</v>
      </c>
      <c r="AZ34" t="e">
        <f>AND(Liste!#REF!,"AAAAAF8+HzM=")</f>
        <v>#REF!</v>
      </c>
      <c r="BA34" t="e">
        <f>AND(Liste!#REF!,"AAAAAF8+HzQ=")</f>
        <v>#REF!</v>
      </c>
      <c r="BB34" t="e">
        <f>AND(Liste!#REF!,"AAAAAF8+HzU=")</f>
        <v>#REF!</v>
      </c>
      <c r="BC34" t="e">
        <f>AND(Liste!#REF!,"AAAAAF8+HzY=")</f>
        <v>#REF!</v>
      </c>
      <c r="BD34" t="e">
        <f>AND(Liste!#REF!,"AAAAAF8+Hzc=")</f>
        <v>#REF!</v>
      </c>
      <c r="BE34" t="e">
        <f>AND(Liste!#REF!,"AAAAAF8+Hzg=")</f>
        <v>#REF!</v>
      </c>
      <c r="BF34" t="e">
        <f>AND(Liste!#REF!,"AAAAAF8+Hzk=")</f>
        <v>#REF!</v>
      </c>
      <c r="BG34" t="e">
        <f>AND(Liste!#REF!,"AAAAAF8+Hzo=")</f>
        <v>#REF!</v>
      </c>
      <c r="BH34" t="e">
        <f>AND(Liste!#REF!,"AAAAAF8+Hzs=")</f>
        <v>#REF!</v>
      </c>
      <c r="BI34" t="e">
        <f>AND(Liste!#REF!,"AAAAAF8+Hzw=")</f>
        <v>#REF!</v>
      </c>
      <c r="BJ34" t="e">
        <f>AND(Liste!#REF!,"AAAAAF8+Hz0=")</f>
        <v>#REF!</v>
      </c>
      <c r="BK34" t="e">
        <f>AND(Liste!#REF!,"AAAAAF8+Hz4=")</f>
        <v>#REF!</v>
      </c>
      <c r="BL34" t="e">
        <f>AND(Liste!#REF!,"AAAAAF8+Hz8=")</f>
        <v>#REF!</v>
      </c>
      <c r="BM34" t="e">
        <f>AND(Liste!#REF!,"AAAAAF8+H0A=")</f>
        <v>#REF!</v>
      </c>
      <c r="BN34" t="e">
        <f>AND(Liste!#REF!,"AAAAAF8+H0E=")</f>
        <v>#REF!</v>
      </c>
      <c r="BO34" t="e">
        <f>AND(Liste!#REF!,"AAAAAF8+H0I=")</f>
        <v>#REF!</v>
      </c>
      <c r="BP34" t="e">
        <f>AND(Liste!#REF!,"AAAAAF8+H0M=")</f>
        <v>#REF!</v>
      </c>
      <c r="BQ34" t="e">
        <f>AND(Liste!#REF!,"AAAAAF8+H0Q=")</f>
        <v>#REF!</v>
      </c>
      <c r="BR34" t="e">
        <f>AND(Liste!#REF!,"AAAAAF8+H0U=")</f>
        <v>#REF!</v>
      </c>
      <c r="BS34" t="e">
        <f>AND(Liste!#REF!,"AAAAAF8+H0Y=")</f>
        <v>#REF!</v>
      </c>
      <c r="BT34" t="e">
        <f>AND(Liste!#REF!,"AAAAAF8+H0c=")</f>
        <v>#REF!</v>
      </c>
      <c r="BU34" t="e">
        <f>AND(Liste!#REF!,"AAAAAF8+H0g=")</f>
        <v>#REF!</v>
      </c>
      <c r="BV34" t="e">
        <f>AND(Liste!#REF!,"AAAAAF8+H0k=")</f>
        <v>#REF!</v>
      </c>
      <c r="BW34" t="e">
        <f>AND(Liste!#REF!,"AAAAAF8+H0o=")</f>
        <v>#REF!</v>
      </c>
      <c r="BX34" t="e">
        <f>AND(Liste!#REF!,"AAAAAF8+H0s=")</f>
        <v>#REF!</v>
      </c>
      <c r="BY34" t="e">
        <f>AND(Liste!#REF!,"AAAAAF8+H0w=")</f>
        <v>#REF!</v>
      </c>
      <c r="BZ34" t="e">
        <f>IF(Liste!#REF!,"AAAAAF8+H00=",0)</f>
        <v>#REF!</v>
      </c>
      <c r="CA34" t="e">
        <f>AND(Liste!#REF!,"AAAAAF8+H04=")</f>
        <v>#REF!</v>
      </c>
      <c r="CB34" t="e">
        <f>AND(Liste!#REF!,"AAAAAF8+H08=")</f>
        <v>#REF!</v>
      </c>
      <c r="CC34" t="e">
        <f>AND(Liste!#REF!,"AAAAAF8+H1A=")</f>
        <v>#REF!</v>
      </c>
      <c r="CD34" t="e">
        <f>AND(Liste!#REF!,"AAAAAF8+H1E=")</f>
        <v>#REF!</v>
      </c>
      <c r="CE34" t="e">
        <f>AND(Liste!#REF!,"AAAAAF8+H1I=")</f>
        <v>#REF!</v>
      </c>
      <c r="CF34" t="e">
        <f>AND(Liste!#REF!,"AAAAAF8+H1M=")</f>
        <v>#REF!</v>
      </c>
      <c r="CG34" t="e">
        <f>AND(Liste!#REF!,"AAAAAF8+H1Q=")</f>
        <v>#REF!</v>
      </c>
      <c r="CH34" t="e">
        <f>AND(Liste!#REF!,"AAAAAF8+H1U=")</f>
        <v>#REF!</v>
      </c>
      <c r="CI34" t="e">
        <f>AND(Liste!#REF!,"AAAAAF8+H1Y=")</f>
        <v>#REF!</v>
      </c>
      <c r="CJ34" t="e">
        <f>AND(Liste!#REF!,"AAAAAF8+H1c=")</f>
        <v>#REF!</v>
      </c>
      <c r="CK34" t="e">
        <f>AND(Liste!#REF!,"AAAAAF8+H1g=")</f>
        <v>#REF!</v>
      </c>
      <c r="CL34" t="e">
        <f>AND(Liste!#REF!,"AAAAAF8+H1k=")</f>
        <v>#REF!</v>
      </c>
      <c r="CM34" t="e">
        <f>AND(Liste!#REF!,"AAAAAF8+H1o=")</f>
        <v>#REF!</v>
      </c>
      <c r="CN34" t="e">
        <f>AND(Liste!#REF!,"AAAAAF8+H1s=")</f>
        <v>#REF!</v>
      </c>
      <c r="CO34" t="e">
        <f>AND(Liste!#REF!,"AAAAAF8+H1w=")</f>
        <v>#REF!</v>
      </c>
      <c r="CP34" t="e">
        <f>AND(Liste!#REF!,"AAAAAF8+H10=")</f>
        <v>#REF!</v>
      </c>
      <c r="CQ34" t="e">
        <f>AND(Liste!#REF!,"AAAAAF8+H14=")</f>
        <v>#REF!</v>
      </c>
      <c r="CR34" t="e">
        <f>AND(Liste!#REF!,"AAAAAF8+H18=")</f>
        <v>#REF!</v>
      </c>
      <c r="CS34" t="e">
        <f>AND(Liste!#REF!,"AAAAAF8+H2A=")</f>
        <v>#REF!</v>
      </c>
      <c r="CT34" t="e">
        <f>AND(Liste!#REF!,"AAAAAF8+H2E=")</f>
        <v>#REF!</v>
      </c>
      <c r="CU34" t="e">
        <f>AND(Liste!#REF!,"AAAAAF8+H2I=")</f>
        <v>#REF!</v>
      </c>
      <c r="CV34" t="e">
        <f>AND(Liste!#REF!,"AAAAAF8+H2M=")</f>
        <v>#REF!</v>
      </c>
      <c r="CW34" t="e">
        <f>AND(Liste!#REF!,"AAAAAF8+H2Q=")</f>
        <v>#REF!</v>
      </c>
      <c r="CX34" t="e">
        <f>AND(Liste!#REF!,"AAAAAF8+H2U=")</f>
        <v>#REF!</v>
      </c>
      <c r="CY34" t="e">
        <f>AND(Liste!#REF!,"AAAAAF8+H2Y=")</f>
        <v>#REF!</v>
      </c>
      <c r="CZ34" t="e">
        <f>AND(Liste!#REF!,"AAAAAF8+H2c=")</f>
        <v>#REF!</v>
      </c>
      <c r="DA34" t="e">
        <f>AND(Liste!#REF!,"AAAAAF8+H2g=")</f>
        <v>#REF!</v>
      </c>
      <c r="DB34" t="e">
        <f>AND(Liste!#REF!,"AAAAAF8+H2k=")</f>
        <v>#REF!</v>
      </c>
      <c r="DC34" t="e">
        <f>AND(Liste!#REF!,"AAAAAF8+H2o=")</f>
        <v>#REF!</v>
      </c>
      <c r="DD34" t="e">
        <f>AND(Liste!#REF!,"AAAAAF8+H2s=")</f>
        <v>#REF!</v>
      </c>
      <c r="DE34" t="e">
        <f>IF(Liste!#REF!,"AAAAAF8+H2w=",0)</f>
        <v>#REF!</v>
      </c>
      <c r="DF34" t="e">
        <f>AND(Liste!#REF!,"AAAAAF8+H20=")</f>
        <v>#REF!</v>
      </c>
      <c r="DG34" t="e">
        <f>AND(Liste!#REF!,"AAAAAF8+H24=")</f>
        <v>#REF!</v>
      </c>
      <c r="DH34" t="e">
        <f>AND(Liste!#REF!,"AAAAAF8+H28=")</f>
        <v>#REF!</v>
      </c>
      <c r="DI34" t="e">
        <f>AND(Liste!#REF!,"AAAAAF8+H3A=")</f>
        <v>#REF!</v>
      </c>
      <c r="DJ34" t="e">
        <f>AND(Liste!#REF!,"AAAAAF8+H3E=")</f>
        <v>#REF!</v>
      </c>
      <c r="DK34" t="e">
        <f>AND(Liste!#REF!,"AAAAAF8+H3I=")</f>
        <v>#REF!</v>
      </c>
      <c r="DL34" t="e">
        <f>AND(Liste!#REF!,"AAAAAF8+H3M=")</f>
        <v>#REF!</v>
      </c>
      <c r="DM34" t="e">
        <f>AND(Liste!#REF!,"AAAAAF8+H3Q=")</f>
        <v>#REF!</v>
      </c>
      <c r="DN34" t="e">
        <f>AND(Liste!#REF!,"AAAAAF8+H3U=")</f>
        <v>#REF!</v>
      </c>
      <c r="DO34" t="e">
        <f>AND(Liste!#REF!,"AAAAAF8+H3Y=")</f>
        <v>#REF!</v>
      </c>
      <c r="DP34" t="e">
        <f>AND(Liste!#REF!,"AAAAAF8+H3c=")</f>
        <v>#REF!</v>
      </c>
      <c r="DQ34" t="e">
        <f>AND(Liste!#REF!,"AAAAAF8+H3g=")</f>
        <v>#REF!</v>
      </c>
      <c r="DR34" t="e">
        <f>AND(Liste!#REF!,"AAAAAF8+H3k=")</f>
        <v>#REF!</v>
      </c>
      <c r="DS34" t="e">
        <f>AND(Liste!#REF!,"AAAAAF8+H3o=")</f>
        <v>#REF!</v>
      </c>
      <c r="DT34" t="e">
        <f>AND(Liste!#REF!,"AAAAAF8+H3s=")</f>
        <v>#REF!</v>
      </c>
      <c r="DU34" t="e">
        <f>AND(Liste!#REF!,"AAAAAF8+H3w=")</f>
        <v>#REF!</v>
      </c>
      <c r="DV34" t="e">
        <f>AND(Liste!#REF!,"AAAAAF8+H30=")</f>
        <v>#REF!</v>
      </c>
      <c r="DW34" t="e">
        <f>AND(Liste!#REF!,"AAAAAF8+H34=")</f>
        <v>#REF!</v>
      </c>
      <c r="DX34" t="e">
        <f>AND(Liste!#REF!,"AAAAAF8+H38=")</f>
        <v>#REF!</v>
      </c>
      <c r="DY34" t="e">
        <f>AND(Liste!#REF!,"AAAAAF8+H4A=")</f>
        <v>#REF!</v>
      </c>
      <c r="DZ34" t="e">
        <f>AND(Liste!#REF!,"AAAAAF8+H4E=")</f>
        <v>#REF!</v>
      </c>
      <c r="EA34" t="e">
        <f>AND(Liste!#REF!,"AAAAAF8+H4I=")</f>
        <v>#REF!</v>
      </c>
      <c r="EB34" t="e">
        <f>AND(Liste!#REF!,"AAAAAF8+H4M=")</f>
        <v>#REF!</v>
      </c>
      <c r="EC34" t="e">
        <f>AND(Liste!#REF!,"AAAAAF8+H4Q=")</f>
        <v>#REF!</v>
      </c>
      <c r="ED34" t="e">
        <f>AND(Liste!#REF!,"AAAAAF8+H4U=")</f>
        <v>#REF!</v>
      </c>
      <c r="EE34" t="e">
        <f>AND(Liste!#REF!,"AAAAAF8+H4Y=")</f>
        <v>#REF!</v>
      </c>
      <c r="EF34" t="e">
        <f>AND(Liste!#REF!,"AAAAAF8+H4c=")</f>
        <v>#REF!</v>
      </c>
      <c r="EG34" t="e">
        <f>AND(Liste!#REF!,"AAAAAF8+H4g=")</f>
        <v>#REF!</v>
      </c>
      <c r="EH34" t="e">
        <f>AND(Liste!#REF!,"AAAAAF8+H4k=")</f>
        <v>#REF!</v>
      </c>
      <c r="EI34" t="e">
        <f>AND(Liste!#REF!,"AAAAAF8+H4o=")</f>
        <v>#REF!</v>
      </c>
      <c r="EJ34" t="e">
        <f>IF(Liste!#REF!,"AAAAAF8+H4s=",0)</f>
        <v>#REF!</v>
      </c>
      <c r="EK34" t="e">
        <f>AND(Liste!#REF!,"AAAAAF8+H4w=")</f>
        <v>#REF!</v>
      </c>
      <c r="EL34" t="e">
        <f>AND(Liste!#REF!,"AAAAAF8+H40=")</f>
        <v>#REF!</v>
      </c>
      <c r="EM34" t="e">
        <f>AND(Liste!#REF!,"AAAAAF8+H44=")</f>
        <v>#REF!</v>
      </c>
      <c r="EN34" t="e">
        <f>AND(Liste!#REF!,"AAAAAF8+H48=")</f>
        <v>#REF!</v>
      </c>
      <c r="EO34" t="e">
        <f>AND(Liste!#REF!,"AAAAAF8+H5A=")</f>
        <v>#REF!</v>
      </c>
      <c r="EP34" t="e">
        <f>AND(Liste!#REF!,"AAAAAF8+H5E=")</f>
        <v>#REF!</v>
      </c>
      <c r="EQ34" t="e">
        <f>AND(Liste!#REF!,"AAAAAF8+H5I=")</f>
        <v>#REF!</v>
      </c>
      <c r="ER34" t="e">
        <f>AND(Liste!#REF!,"AAAAAF8+H5M=")</f>
        <v>#REF!</v>
      </c>
      <c r="ES34" t="e">
        <f>AND(Liste!#REF!,"AAAAAF8+H5Q=")</f>
        <v>#REF!</v>
      </c>
      <c r="ET34" t="e">
        <f>AND(Liste!#REF!,"AAAAAF8+H5U=")</f>
        <v>#REF!</v>
      </c>
      <c r="EU34" t="e">
        <f>AND(Liste!#REF!,"AAAAAF8+H5Y=")</f>
        <v>#REF!</v>
      </c>
      <c r="EV34" t="e">
        <f>AND(Liste!#REF!,"AAAAAF8+H5c=")</f>
        <v>#REF!</v>
      </c>
      <c r="EW34" t="e">
        <f>AND(Liste!#REF!,"AAAAAF8+H5g=")</f>
        <v>#REF!</v>
      </c>
      <c r="EX34" t="e">
        <f>AND(Liste!#REF!,"AAAAAF8+H5k=")</f>
        <v>#REF!</v>
      </c>
      <c r="EY34" t="e">
        <f>AND(Liste!#REF!,"AAAAAF8+H5o=")</f>
        <v>#REF!</v>
      </c>
      <c r="EZ34" t="e">
        <f>AND(Liste!#REF!,"AAAAAF8+H5s=")</f>
        <v>#REF!</v>
      </c>
      <c r="FA34" t="e">
        <f>AND(Liste!#REF!,"AAAAAF8+H5w=")</f>
        <v>#REF!</v>
      </c>
      <c r="FB34" t="e">
        <f>AND(Liste!#REF!,"AAAAAF8+H50=")</f>
        <v>#REF!</v>
      </c>
      <c r="FC34" t="e">
        <f>AND(Liste!#REF!,"AAAAAF8+H54=")</f>
        <v>#REF!</v>
      </c>
      <c r="FD34" t="e">
        <f>AND(Liste!#REF!,"AAAAAF8+H58=")</f>
        <v>#REF!</v>
      </c>
      <c r="FE34" t="e">
        <f>AND(Liste!#REF!,"AAAAAF8+H6A=")</f>
        <v>#REF!</v>
      </c>
      <c r="FF34" t="e">
        <f>AND(Liste!#REF!,"AAAAAF8+H6E=")</f>
        <v>#REF!</v>
      </c>
      <c r="FG34" t="e">
        <f>AND(Liste!#REF!,"AAAAAF8+H6I=")</f>
        <v>#REF!</v>
      </c>
      <c r="FH34" t="e">
        <f>AND(Liste!#REF!,"AAAAAF8+H6M=")</f>
        <v>#REF!</v>
      </c>
      <c r="FI34" t="e">
        <f>AND(Liste!#REF!,"AAAAAF8+H6Q=")</f>
        <v>#REF!</v>
      </c>
      <c r="FJ34" t="e">
        <f>AND(Liste!#REF!,"AAAAAF8+H6U=")</f>
        <v>#REF!</v>
      </c>
      <c r="FK34" t="e">
        <f>AND(Liste!#REF!,"AAAAAF8+H6Y=")</f>
        <v>#REF!</v>
      </c>
      <c r="FL34" t="e">
        <f>AND(Liste!#REF!,"AAAAAF8+H6c=")</f>
        <v>#REF!</v>
      </c>
      <c r="FM34" t="e">
        <f>AND(Liste!#REF!,"AAAAAF8+H6g=")</f>
        <v>#REF!</v>
      </c>
      <c r="FN34" t="e">
        <f>AND(Liste!#REF!,"AAAAAF8+H6k=")</f>
        <v>#REF!</v>
      </c>
      <c r="FO34" t="e">
        <f>IF(Liste!#REF!,"AAAAAF8+H6o=",0)</f>
        <v>#REF!</v>
      </c>
      <c r="FP34" t="e">
        <f>AND(Liste!#REF!,"AAAAAF8+H6s=")</f>
        <v>#REF!</v>
      </c>
      <c r="FQ34" t="e">
        <f>AND(Liste!#REF!,"AAAAAF8+H6w=")</f>
        <v>#REF!</v>
      </c>
      <c r="FR34" t="e">
        <f>AND(Liste!#REF!,"AAAAAF8+H60=")</f>
        <v>#REF!</v>
      </c>
      <c r="FS34" t="e">
        <f>AND(Liste!#REF!,"AAAAAF8+H64=")</f>
        <v>#REF!</v>
      </c>
      <c r="FT34" t="e">
        <f>AND(Liste!#REF!,"AAAAAF8+H68=")</f>
        <v>#REF!</v>
      </c>
      <c r="FU34" t="e">
        <f>AND(Liste!#REF!,"AAAAAF8+H7A=")</f>
        <v>#REF!</v>
      </c>
      <c r="FV34" t="e">
        <f>AND(Liste!#REF!,"AAAAAF8+H7E=")</f>
        <v>#REF!</v>
      </c>
      <c r="FW34" t="e">
        <f>AND(Liste!#REF!,"AAAAAF8+H7I=")</f>
        <v>#REF!</v>
      </c>
      <c r="FX34" t="e">
        <f>AND(Liste!#REF!,"AAAAAF8+H7M=")</f>
        <v>#REF!</v>
      </c>
      <c r="FY34" t="e">
        <f>AND(Liste!#REF!,"AAAAAF8+H7Q=")</f>
        <v>#REF!</v>
      </c>
      <c r="FZ34" t="e">
        <f>AND(Liste!#REF!,"AAAAAF8+H7U=")</f>
        <v>#REF!</v>
      </c>
      <c r="GA34" t="e">
        <f>AND(Liste!#REF!,"AAAAAF8+H7Y=")</f>
        <v>#REF!</v>
      </c>
      <c r="GB34" t="e">
        <f>AND(Liste!#REF!,"AAAAAF8+H7c=")</f>
        <v>#REF!</v>
      </c>
      <c r="GC34" t="e">
        <f>AND(Liste!#REF!,"AAAAAF8+H7g=")</f>
        <v>#REF!</v>
      </c>
      <c r="GD34" t="e">
        <f>AND(Liste!#REF!,"AAAAAF8+H7k=")</f>
        <v>#REF!</v>
      </c>
      <c r="GE34" t="e">
        <f>AND(Liste!#REF!,"AAAAAF8+H7o=")</f>
        <v>#REF!</v>
      </c>
      <c r="GF34" t="e">
        <f>AND(Liste!#REF!,"AAAAAF8+H7s=")</f>
        <v>#REF!</v>
      </c>
      <c r="GG34" t="e">
        <f>AND(Liste!#REF!,"AAAAAF8+H7w=")</f>
        <v>#REF!</v>
      </c>
      <c r="GH34" t="e">
        <f>AND(Liste!#REF!,"AAAAAF8+H70=")</f>
        <v>#REF!</v>
      </c>
      <c r="GI34" t="e">
        <f>AND(Liste!#REF!,"AAAAAF8+H74=")</f>
        <v>#REF!</v>
      </c>
      <c r="GJ34" t="e">
        <f>AND(Liste!#REF!,"AAAAAF8+H78=")</f>
        <v>#REF!</v>
      </c>
      <c r="GK34" t="e">
        <f>AND(Liste!#REF!,"AAAAAF8+H8A=")</f>
        <v>#REF!</v>
      </c>
      <c r="GL34" t="e">
        <f>AND(Liste!#REF!,"AAAAAF8+H8E=")</f>
        <v>#REF!</v>
      </c>
      <c r="GM34" t="e">
        <f>AND(Liste!#REF!,"AAAAAF8+H8I=")</f>
        <v>#REF!</v>
      </c>
      <c r="GN34" t="e">
        <f>AND(Liste!#REF!,"AAAAAF8+H8M=")</f>
        <v>#REF!</v>
      </c>
      <c r="GO34" t="e">
        <f>AND(Liste!#REF!,"AAAAAF8+H8Q=")</f>
        <v>#REF!</v>
      </c>
      <c r="GP34" t="e">
        <f>AND(Liste!#REF!,"AAAAAF8+H8U=")</f>
        <v>#REF!</v>
      </c>
      <c r="GQ34" t="e">
        <f>AND(Liste!#REF!,"AAAAAF8+H8Y=")</f>
        <v>#REF!</v>
      </c>
      <c r="GR34" t="e">
        <f>AND(Liste!#REF!,"AAAAAF8+H8c=")</f>
        <v>#REF!</v>
      </c>
      <c r="GS34" t="e">
        <f>AND(Liste!#REF!,"AAAAAF8+H8g=")</f>
        <v>#REF!</v>
      </c>
      <c r="GT34" t="e">
        <f>IF(Liste!#REF!,"AAAAAF8+H8k=",0)</f>
        <v>#REF!</v>
      </c>
      <c r="GU34" t="e">
        <f>AND(Liste!#REF!,"AAAAAF8+H8o=")</f>
        <v>#REF!</v>
      </c>
      <c r="GV34" t="e">
        <f>AND(Liste!#REF!,"AAAAAF8+H8s=")</f>
        <v>#REF!</v>
      </c>
      <c r="GW34" t="e">
        <f>AND(Liste!#REF!,"AAAAAF8+H8w=")</f>
        <v>#REF!</v>
      </c>
      <c r="GX34" t="e">
        <f>AND(Liste!#REF!,"AAAAAF8+H80=")</f>
        <v>#REF!</v>
      </c>
      <c r="GY34" t="e">
        <f>AND(Liste!#REF!,"AAAAAF8+H84=")</f>
        <v>#REF!</v>
      </c>
      <c r="GZ34" t="e">
        <f>AND(Liste!#REF!,"AAAAAF8+H88=")</f>
        <v>#REF!</v>
      </c>
      <c r="HA34" t="e">
        <f>AND(Liste!#REF!,"AAAAAF8+H9A=")</f>
        <v>#REF!</v>
      </c>
      <c r="HB34" t="e">
        <f>AND(Liste!#REF!,"AAAAAF8+H9E=")</f>
        <v>#REF!</v>
      </c>
      <c r="HC34" t="e">
        <f>AND(Liste!#REF!,"AAAAAF8+H9I=")</f>
        <v>#REF!</v>
      </c>
      <c r="HD34" t="e">
        <f>AND(Liste!#REF!,"AAAAAF8+H9M=")</f>
        <v>#REF!</v>
      </c>
      <c r="HE34" t="e">
        <f>AND(Liste!#REF!,"AAAAAF8+H9Q=")</f>
        <v>#REF!</v>
      </c>
      <c r="HF34" t="e">
        <f>AND(Liste!#REF!,"AAAAAF8+H9U=")</f>
        <v>#REF!</v>
      </c>
      <c r="HG34" t="e">
        <f>AND(Liste!#REF!,"AAAAAF8+H9Y=")</f>
        <v>#REF!</v>
      </c>
      <c r="HH34" t="e">
        <f>AND(Liste!#REF!,"AAAAAF8+H9c=")</f>
        <v>#REF!</v>
      </c>
      <c r="HI34" t="e">
        <f>AND(Liste!#REF!,"AAAAAF8+H9g=")</f>
        <v>#REF!</v>
      </c>
      <c r="HJ34" t="e">
        <f>AND(Liste!#REF!,"AAAAAF8+H9k=")</f>
        <v>#REF!</v>
      </c>
      <c r="HK34" t="e">
        <f>AND(Liste!#REF!,"AAAAAF8+H9o=")</f>
        <v>#REF!</v>
      </c>
      <c r="HL34" t="e">
        <f>AND(Liste!#REF!,"AAAAAF8+H9s=")</f>
        <v>#REF!</v>
      </c>
      <c r="HM34" t="e">
        <f>AND(Liste!#REF!,"AAAAAF8+H9w=")</f>
        <v>#REF!</v>
      </c>
      <c r="HN34" t="e">
        <f>AND(Liste!#REF!,"AAAAAF8+H90=")</f>
        <v>#REF!</v>
      </c>
      <c r="HO34" t="e">
        <f>AND(Liste!#REF!,"AAAAAF8+H94=")</f>
        <v>#REF!</v>
      </c>
      <c r="HP34" t="e">
        <f>AND(Liste!#REF!,"AAAAAF8+H98=")</f>
        <v>#REF!</v>
      </c>
      <c r="HQ34" t="e">
        <f>AND(Liste!#REF!,"AAAAAF8+H+A=")</f>
        <v>#REF!</v>
      </c>
      <c r="HR34" t="e">
        <f>AND(Liste!#REF!,"AAAAAF8+H+E=")</f>
        <v>#REF!</v>
      </c>
      <c r="HS34" t="e">
        <f>AND(Liste!#REF!,"AAAAAF8+H+I=")</f>
        <v>#REF!</v>
      </c>
      <c r="HT34" t="e">
        <f>AND(Liste!#REF!,"AAAAAF8+H+M=")</f>
        <v>#REF!</v>
      </c>
      <c r="HU34" t="e">
        <f>AND(Liste!#REF!,"AAAAAF8+H+Q=")</f>
        <v>#REF!</v>
      </c>
      <c r="HV34" t="e">
        <f>AND(Liste!#REF!,"AAAAAF8+H+U=")</f>
        <v>#REF!</v>
      </c>
      <c r="HW34" t="e">
        <f>AND(Liste!#REF!,"AAAAAF8+H+Y=")</f>
        <v>#REF!</v>
      </c>
      <c r="HX34" t="e">
        <f>AND(Liste!#REF!,"AAAAAF8+H+c=")</f>
        <v>#REF!</v>
      </c>
      <c r="HY34" t="e">
        <f>IF(Liste!#REF!,"AAAAAF8+H+g=",0)</f>
        <v>#REF!</v>
      </c>
      <c r="HZ34" t="e">
        <f>AND(Liste!#REF!,"AAAAAF8+H+k=")</f>
        <v>#REF!</v>
      </c>
      <c r="IA34" t="e">
        <f>AND(Liste!#REF!,"AAAAAF8+H+o=")</f>
        <v>#REF!</v>
      </c>
      <c r="IB34" t="e">
        <f>AND(Liste!#REF!,"AAAAAF8+H+s=")</f>
        <v>#REF!</v>
      </c>
      <c r="IC34" t="e">
        <f>AND(Liste!#REF!,"AAAAAF8+H+w=")</f>
        <v>#REF!</v>
      </c>
      <c r="ID34" t="e">
        <f>AND(Liste!#REF!,"AAAAAF8+H+0=")</f>
        <v>#REF!</v>
      </c>
      <c r="IE34" t="e">
        <f>AND(Liste!#REF!,"AAAAAF8+H+4=")</f>
        <v>#REF!</v>
      </c>
      <c r="IF34" t="e">
        <f>AND(Liste!#REF!,"AAAAAF8+H+8=")</f>
        <v>#REF!</v>
      </c>
      <c r="IG34" t="e">
        <f>AND(Liste!#REF!,"AAAAAF8+H/A=")</f>
        <v>#REF!</v>
      </c>
      <c r="IH34" t="e">
        <f>AND(Liste!#REF!,"AAAAAF8+H/E=")</f>
        <v>#REF!</v>
      </c>
      <c r="II34" t="e">
        <f>AND(Liste!#REF!,"AAAAAF8+H/I=")</f>
        <v>#REF!</v>
      </c>
      <c r="IJ34" t="e">
        <f>AND(Liste!#REF!,"AAAAAF8+H/M=")</f>
        <v>#REF!</v>
      </c>
      <c r="IK34" t="e">
        <f>AND(Liste!#REF!,"AAAAAF8+H/Q=")</f>
        <v>#REF!</v>
      </c>
      <c r="IL34" t="e">
        <f>AND(Liste!#REF!,"AAAAAF8+H/U=")</f>
        <v>#REF!</v>
      </c>
      <c r="IM34" t="e">
        <f>AND(Liste!#REF!,"AAAAAF8+H/Y=")</f>
        <v>#REF!</v>
      </c>
      <c r="IN34" t="e">
        <f>AND(Liste!#REF!,"AAAAAF8+H/c=")</f>
        <v>#REF!</v>
      </c>
      <c r="IO34" t="e">
        <f>AND(Liste!#REF!,"AAAAAF8+H/g=")</f>
        <v>#REF!</v>
      </c>
      <c r="IP34" t="e">
        <f>AND(Liste!#REF!,"AAAAAF8+H/k=")</f>
        <v>#REF!</v>
      </c>
      <c r="IQ34" t="e">
        <f>AND(Liste!#REF!,"AAAAAF8+H/o=")</f>
        <v>#REF!</v>
      </c>
      <c r="IR34" t="e">
        <f>AND(Liste!#REF!,"AAAAAF8+H/s=")</f>
        <v>#REF!</v>
      </c>
      <c r="IS34" t="e">
        <f>AND(Liste!#REF!,"AAAAAF8+H/w=")</f>
        <v>#REF!</v>
      </c>
      <c r="IT34" t="e">
        <f>AND(Liste!#REF!,"AAAAAF8+H/0=")</f>
        <v>#REF!</v>
      </c>
      <c r="IU34" t="e">
        <f>AND(Liste!#REF!,"AAAAAF8+H/4=")</f>
        <v>#REF!</v>
      </c>
      <c r="IV34" t="e">
        <f>AND(Liste!#REF!,"AAAAAF8+H/8=")</f>
        <v>#REF!</v>
      </c>
    </row>
    <row r="35" spans="1:256" x14ac:dyDescent="0.2">
      <c r="A35" t="e">
        <f>AND(Liste!#REF!,"AAAAAH9v8gA=")</f>
        <v>#REF!</v>
      </c>
      <c r="B35" t="e">
        <f>AND(Liste!#REF!,"AAAAAH9v8gE=")</f>
        <v>#REF!</v>
      </c>
      <c r="C35" t="e">
        <f>AND(Liste!#REF!,"AAAAAH9v8gI=")</f>
        <v>#REF!</v>
      </c>
      <c r="D35" t="e">
        <f>AND(Liste!#REF!,"AAAAAH9v8gM=")</f>
        <v>#REF!</v>
      </c>
      <c r="E35" t="e">
        <f>AND(Liste!#REF!,"AAAAAH9v8gQ=")</f>
        <v>#REF!</v>
      </c>
      <c r="F35" t="e">
        <f>AND(Liste!#REF!,"AAAAAH9v8gU=")</f>
        <v>#REF!</v>
      </c>
      <c r="G35" t="e">
        <f>AND(Liste!#REF!,"AAAAAH9v8gY=")</f>
        <v>#REF!</v>
      </c>
      <c r="H35" t="e">
        <f>IF(Liste!#REF!,"AAAAAH9v8gc=",0)</f>
        <v>#REF!</v>
      </c>
      <c r="I35" t="e">
        <f>AND(Liste!#REF!,"AAAAAH9v8gg=")</f>
        <v>#REF!</v>
      </c>
      <c r="J35" t="e">
        <f>AND(Liste!#REF!,"AAAAAH9v8gk=")</f>
        <v>#REF!</v>
      </c>
      <c r="K35" t="e">
        <f>AND(Liste!#REF!,"AAAAAH9v8go=")</f>
        <v>#REF!</v>
      </c>
      <c r="L35" t="e">
        <f>AND(Liste!#REF!,"AAAAAH9v8gs=")</f>
        <v>#REF!</v>
      </c>
      <c r="M35" t="e">
        <f>AND(Liste!#REF!,"AAAAAH9v8gw=")</f>
        <v>#REF!</v>
      </c>
      <c r="N35" t="e">
        <f>AND(Liste!#REF!,"AAAAAH9v8g0=")</f>
        <v>#REF!</v>
      </c>
      <c r="O35" t="e">
        <f>AND(Liste!#REF!,"AAAAAH9v8g4=")</f>
        <v>#REF!</v>
      </c>
      <c r="P35" t="e">
        <f>AND(Liste!#REF!,"AAAAAH9v8g8=")</f>
        <v>#REF!</v>
      </c>
      <c r="Q35" t="e">
        <f>AND(Liste!#REF!,"AAAAAH9v8hA=")</f>
        <v>#REF!</v>
      </c>
      <c r="R35" t="e">
        <f>AND(Liste!#REF!,"AAAAAH9v8hE=")</f>
        <v>#REF!</v>
      </c>
      <c r="S35" t="e">
        <f>AND(Liste!#REF!,"AAAAAH9v8hI=")</f>
        <v>#REF!</v>
      </c>
      <c r="T35" t="e">
        <f>AND(Liste!#REF!,"AAAAAH9v8hM=")</f>
        <v>#REF!</v>
      </c>
      <c r="U35" t="e">
        <f>AND(Liste!#REF!,"AAAAAH9v8hQ=")</f>
        <v>#REF!</v>
      </c>
      <c r="V35" t="e">
        <f>AND(Liste!#REF!,"AAAAAH9v8hU=")</f>
        <v>#REF!</v>
      </c>
      <c r="W35" t="e">
        <f>AND(Liste!#REF!,"AAAAAH9v8hY=")</f>
        <v>#REF!</v>
      </c>
      <c r="X35" t="e">
        <f>AND(Liste!#REF!,"AAAAAH9v8hc=")</f>
        <v>#REF!</v>
      </c>
      <c r="Y35" t="e">
        <f>AND(Liste!#REF!,"AAAAAH9v8hg=")</f>
        <v>#REF!</v>
      </c>
      <c r="Z35" t="e">
        <f>AND(Liste!#REF!,"AAAAAH9v8hk=")</f>
        <v>#REF!</v>
      </c>
      <c r="AA35" t="e">
        <f>AND(Liste!#REF!,"AAAAAH9v8ho=")</f>
        <v>#REF!</v>
      </c>
      <c r="AB35" t="e">
        <f>AND(Liste!#REF!,"AAAAAH9v8hs=")</f>
        <v>#REF!</v>
      </c>
      <c r="AC35" t="e">
        <f>AND(Liste!#REF!,"AAAAAH9v8hw=")</f>
        <v>#REF!</v>
      </c>
      <c r="AD35" t="e">
        <f>AND(Liste!#REF!,"AAAAAH9v8h0=")</f>
        <v>#REF!</v>
      </c>
      <c r="AE35" t="e">
        <f>AND(Liste!#REF!,"AAAAAH9v8h4=")</f>
        <v>#REF!</v>
      </c>
      <c r="AF35" t="e">
        <f>AND(Liste!#REF!,"AAAAAH9v8h8=")</f>
        <v>#REF!</v>
      </c>
      <c r="AG35" t="e">
        <f>AND(Liste!#REF!,"AAAAAH9v8iA=")</f>
        <v>#REF!</v>
      </c>
      <c r="AH35" t="e">
        <f>AND(Liste!#REF!,"AAAAAH9v8iE=")</f>
        <v>#REF!</v>
      </c>
      <c r="AI35" t="e">
        <f>AND(Liste!#REF!,"AAAAAH9v8iI=")</f>
        <v>#REF!</v>
      </c>
      <c r="AJ35" t="e">
        <f>AND(Liste!#REF!,"AAAAAH9v8iM=")</f>
        <v>#REF!</v>
      </c>
      <c r="AK35" t="e">
        <f>AND(Liste!#REF!,"AAAAAH9v8iQ=")</f>
        <v>#REF!</v>
      </c>
      <c r="AL35" t="e">
        <f>AND(Liste!#REF!,"AAAAAH9v8iU=")</f>
        <v>#REF!</v>
      </c>
      <c r="AM35" t="e">
        <f>IF(Liste!#REF!,"AAAAAH9v8iY=",0)</f>
        <v>#REF!</v>
      </c>
      <c r="AN35" t="e">
        <f>AND(Liste!#REF!,"AAAAAH9v8ic=")</f>
        <v>#REF!</v>
      </c>
      <c r="AO35" t="e">
        <f>AND(Liste!#REF!,"AAAAAH9v8ig=")</f>
        <v>#REF!</v>
      </c>
      <c r="AP35" t="e">
        <f>AND(Liste!#REF!,"AAAAAH9v8ik=")</f>
        <v>#REF!</v>
      </c>
      <c r="AQ35" t="e">
        <f>AND(Liste!#REF!,"AAAAAH9v8io=")</f>
        <v>#REF!</v>
      </c>
      <c r="AR35" t="e">
        <f>AND(Liste!#REF!,"AAAAAH9v8is=")</f>
        <v>#REF!</v>
      </c>
      <c r="AS35" t="e">
        <f>AND(Liste!#REF!,"AAAAAH9v8iw=")</f>
        <v>#REF!</v>
      </c>
      <c r="AT35" t="e">
        <f>AND(Liste!#REF!,"AAAAAH9v8i0=")</f>
        <v>#REF!</v>
      </c>
      <c r="AU35" t="e">
        <f>AND(Liste!#REF!,"AAAAAH9v8i4=")</f>
        <v>#REF!</v>
      </c>
      <c r="AV35" t="e">
        <f>AND(Liste!#REF!,"AAAAAH9v8i8=")</f>
        <v>#REF!</v>
      </c>
      <c r="AW35" t="e">
        <f>AND(Liste!#REF!,"AAAAAH9v8jA=")</f>
        <v>#REF!</v>
      </c>
      <c r="AX35" t="e">
        <f>AND(Liste!#REF!,"AAAAAH9v8jE=")</f>
        <v>#REF!</v>
      </c>
      <c r="AY35" t="e">
        <f>AND(Liste!#REF!,"AAAAAH9v8jI=")</f>
        <v>#REF!</v>
      </c>
      <c r="AZ35" t="e">
        <f>AND(Liste!#REF!,"AAAAAH9v8jM=")</f>
        <v>#REF!</v>
      </c>
      <c r="BA35" t="e">
        <f>AND(Liste!#REF!,"AAAAAH9v8jQ=")</f>
        <v>#REF!</v>
      </c>
      <c r="BB35" t="e">
        <f>AND(Liste!#REF!,"AAAAAH9v8jU=")</f>
        <v>#REF!</v>
      </c>
      <c r="BC35" t="e">
        <f>AND(Liste!#REF!,"AAAAAH9v8jY=")</f>
        <v>#REF!</v>
      </c>
      <c r="BD35" t="e">
        <f>AND(Liste!#REF!,"AAAAAH9v8jc=")</f>
        <v>#REF!</v>
      </c>
      <c r="BE35" t="e">
        <f>AND(Liste!#REF!,"AAAAAH9v8jg=")</f>
        <v>#REF!</v>
      </c>
      <c r="BF35" t="e">
        <f>AND(Liste!#REF!,"AAAAAH9v8jk=")</f>
        <v>#REF!</v>
      </c>
      <c r="BG35" t="e">
        <f>AND(Liste!#REF!,"AAAAAH9v8jo=")</f>
        <v>#REF!</v>
      </c>
      <c r="BH35" t="e">
        <f>AND(Liste!#REF!,"AAAAAH9v8js=")</f>
        <v>#REF!</v>
      </c>
      <c r="BI35" t="e">
        <f>AND(Liste!#REF!,"AAAAAH9v8jw=")</f>
        <v>#REF!</v>
      </c>
      <c r="BJ35" t="e">
        <f>AND(Liste!#REF!,"AAAAAH9v8j0=")</f>
        <v>#REF!</v>
      </c>
      <c r="BK35" t="e">
        <f>AND(Liste!#REF!,"AAAAAH9v8j4=")</f>
        <v>#REF!</v>
      </c>
      <c r="BL35" t="e">
        <f>AND(Liste!#REF!,"AAAAAH9v8j8=")</f>
        <v>#REF!</v>
      </c>
      <c r="BM35" t="e">
        <f>AND(Liste!#REF!,"AAAAAH9v8kA=")</f>
        <v>#REF!</v>
      </c>
      <c r="BN35" t="e">
        <f>AND(Liste!#REF!,"AAAAAH9v8kE=")</f>
        <v>#REF!</v>
      </c>
      <c r="BO35" t="e">
        <f>AND(Liste!#REF!,"AAAAAH9v8kI=")</f>
        <v>#REF!</v>
      </c>
      <c r="BP35" t="e">
        <f>AND(Liste!#REF!,"AAAAAH9v8kM=")</f>
        <v>#REF!</v>
      </c>
      <c r="BQ35" t="e">
        <f>AND(Liste!#REF!,"AAAAAH9v8kQ=")</f>
        <v>#REF!</v>
      </c>
      <c r="BR35">
        <f>IF(Liste!253:253,"AAAAAH9v8kU=",0)</f>
        <v>0</v>
      </c>
      <c r="BS35" t="e">
        <f>AND(Liste!A253,"AAAAAH9v8kY=")</f>
        <v>#VALUE!</v>
      </c>
      <c r="BT35" t="e">
        <f>AND(Liste!#REF!,"AAAAAH9v8kc=")</f>
        <v>#REF!</v>
      </c>
      <c r="BU35" t="e">
        <f>AND(Liste!#REF!,"AAAAAH9v8kg=")</f>
        <v>#REF!</v>
      </c>
      <c r="BV35" t="e">
        <f>AND(Liste!#REF!,"AAAAAH9v8kk=")</f>
        <v>#REF!</v>
      </c>
      <c r="BW35" t="e">
        <f>AND(Liste!F309,"AAAAAH9v8ko=")</f>
        <v>#VALUE!</v>
      </c>
      <c r="BX35" t="e">
        <f>AND(Liste!G309,"AAAAAH9v8ks=")</f>
        <v>#VALUE!</v>
      </c>
      <c r="BY35" t="e">
        <f>AND(Liste!H309,"AAAAAH9v8kw=")</f>
        <v>#VALUE!</v>
      </c>
      <c r="BZ35" t="e">
        <f>AND(Liste!I309,"AAAAAH9v8k0=")</f>
        <v>#VALUE!</v>
      </c>
      <c r="CA35" t="e">
        <f>AND(Liste!J309,"AAAAAH9v8k4=")</f>
        <v>#VALUE!</v>
      </c>
      <c r="CB35" t="e">
        <f>AND(Liste!#REF!,"AAAAAH9v8k8=")</f>
        <v>#REF!</v>
      </c>
      <c r="CC35" t="e">
        <f>AND(Liste!#REF!,"AAAAAH9v8lA=")</f>
        <v>#REF!</v>
      </c>
      <c r="CD35" t="e">
        <f>AND(Liste!#REF!,"AAAAAH9v8lE=")</f>
        <v>#REF!</v>
      </c>
      <c r="CE35" t="e">
        <f>AND(Liste!#REF!,"AAAAAH9v8lI=")</f>
        <v>#REF!</v>
      </c>
      <c r="CF35" t="e">
        <f>AND(Liste!#REF!,"AAAAAH9v8lM=")</f>
        <v>#REF!</v>
      </c>
      <c r="CG35" t="e">
        <f>AND(Liste!#REF!,"AAAAAH9v8lQ=")</f>
        <v>#REF!</v>
      </c>
      <c r="CH35" t="e">
        <f>AND(Liste!#REF!,"AAAAAH9v8lU=")</f>
        <v>#REF!</v>
      </c>
      <c r="CI35" t="e">
        <f>AND(Liste!#REF!,"AAAAAH9v8lY=")</f>
        <v>#REF!</v>
      </c>
      <c r="CJ35" t="e">
        <f>AND(Liste!#REF!,"AAAAAH9v8lc=")</f>
        <v>#REF!</v>
      </c>
      <c r="CK35" t="e">
        <f>AND(Liste!#REF!,"AAAAAH9v8lg=")</f>
        <v>#REF!</v>
      </c>
      <c r="CL35" t="e">
        <f>AND(Liste!#REF!,"AAAAAH9v8lk=")</f>
        <v>#REF!</v>
      </c>
      <c r="CM35" t="e">
        <f>AND(Liste!#REF!,"AAAAAH9v8lo=")</f>
        <v>#REF!</v>
      </c>
      <c r="CN35" t="e">
        <f>AND(Liste!#REF!,"AAAAAH9v8ls=")</f>
        <v>#REF!</v>
      </c>
      <c r="CO35" t="e">
        <f>AND(Liste!#REF!,"AAAAAH9v8lw=")</f>
        <v>#REF!</v>
      </c>
      <c r="CP35" t="e">
        <f>AND(Liste!#REF!,"AAAAAH9v8l0=")</f>
        <v>#REF!</v>
      </c>
      <c r="CQ35" t="e">
        <f>AND(Liste!#REF!,"AAAAAH9v8l4=")</f>
        <v>#REF!</v>
      </c>
      <c r="CR35" t="e">
        <f>AND(Liste!#REF!,"AAAAAH9v8l8=")</f>
        <v>#REF!</v>
      </c>
      <c r="CS35" t="e">
        <f>AND(Liste!#REF!,"AAAAAH9v8mA=")</f>
        <v>#REF!</v>
      </c>
      <c r="CT35" t="e">
        <f>AND(Liste!#REF!,"AAAAAH9v8mE=")</f>
        <v>#REF!</v>
      </c>
      <c r="CU35" t="e">
        <f>AND(Liste!#REF!,"AAAAAH9v8mI=")</f>
        <v>#REF!</v>
      </c>
      <c r="CV35" t="e">
        <f>AND(Liste!#REF!,"AAAAAH9v8mM=")</f>
        <v>#REF!</v>
      </c>
      <c r="CW35">
        <f>IF(Liste!254:254,"AAAAAH9v8mQ=",0)</f>
        <v>0</v>
      </c>
      <c r="CX35" t="e">
        <f>AND(Liste!A254,"AAAAAH9v8mU=")</f>
        <v>#VALUE!</v>
      </c>
      <c r="CY35" t="e">
        <f>AND(Liste!#REF!,"AAAAAH9v8mY=")</f>
        <v>#REF!</v>
      </c>
      <c r="CZ35" t="e">
        <f>AND(Liste!#REF!,"AAAAAH9v8mc=")</f>
        <v>#REF!</v>
      </c>
      <c r="DA35" t="e">
        <f>AND(Liste!#REF!,"AAAAAH9v8mg=")</f>
        <v>#REF!</v>
      </c>
      <c r="DB35" t="e">
        <f>AND(Liste!F310,"AAAAAH9v8mk=")</f>
        <v>#VALUE!</v>
      </c>
      <c r="DC35" t="e">
        <f>AND(Liste!G310,"AAAAAH9v8mo=")</f>
        <v>#VALUE!</v>
      </c>
      <c r="DD35" t="e">
        <f>AND(Liste!H310,"AAAAAH9v8ms=")</f>
        <v>#VALUE!</v>
      </c>
      <c r="DE35" t="e">
        <f>AND(Liste!I310,"AAAAAH9v8mw=")</f>
        <v>#VALUE!</v>
      </c>
      <c r="DF35" t="e">
        <f>AND(Liste!J310,"AAAAAH9v8m0=")</f>
        <v>#VALUE!</v>
      </c>
      <c r="DG35" t="e">
        <f>AND(Liste!#REF!,"AAAAAH9v8m4=")</f>
        <v>#REF!</v>
      </c>
      <c r="DH35" t="e">
        <f>AND(Liste!#REF!,"AAAAAH9v8m8=")</f>
        <v>#REF!</v>
      </c>
      <c r="DI35" t="e">
        <f>AND(Liste!#REF!,"AAAAAH9v8nA=")</f>
        <v>#REF!</v>
      </c>
      <c r="DJ35" t="e">
        <f>AND(Liste!#REF!,"AAAAAH9v8nE=")</f>
        <v>#REF!</v>
      </c>
      <c r="DK35" t="e">
        <f>AND(Liste!#REF!,"AAAAAH9v8nI=")</f>
        <v>#REF!</v>
      </c>
      <c r="DL35" t="e">
        <f>AND(Liste!#REF!,"AAAAAH9v8nM=")</f>
        <v>#REF!</v>
      </c>
      <c r="DM35" t="e">
        <f>AND(Liste!#REF!,"AAAAAH9v8nQ=")</f>
        <v>#REF!</v>
      </c>
      <c r="DN35" t="e">
        <f>AND(Liste!#REF!,"AAAAAH9v8nU=")</f>
        <v>#REF!</v>
      </c>
      <c r="DO35" t="e">
        <f>AND(Liste!#REF!,"AAAAAH9v8nY=")</f>
        <v>#REF!</v>
      </c>
      <c r="DP35" t="e">
        <f>AND(Liste!#REF!,"AAAAAH9v8nc=")</f>
        <v>#REF!</v>
      </c>
      <c r="DQ35" t="e">
        <f>AND(Liste!#REF!,"AAAAAH9v8ng=")</f>
        <v>#REF!</v>
      </c>
      <c r="DR35" t="e">
        <f>AND(Liste!#REF!,"AAAAAH9v8nk=")</f>
        <v>#REF!</v>
      </c>
      <c r="DS35" t="e">
        <f>AND(Liste!#REF!,"AAAAAH9v8no=")</f>
        <v>#REF!</v>
      </c>
      <c r="DT35" t="e">
        <f>AND(Liste!#REF!,"AAAAAH9v8ns=")</f>
        <v>#REF!</v>
      </c>
      <c r="DU35" t="e">
        <f>AND(Liste!#REF!,"AAAAAH9v8nw=")</f>
        <v>#REF!</v>
      </c>
      <c r="DV35" t="e">
        <f>AND(Liste!#REF!,"AAAAAH9v8n0=")</f>
        <v>#REF!</v>
      </c>
      <c r="DW35" t="e">
        <f>AND(Liste!#REF!,"AAAAAH9v8n4=")</f>
        <v>#REF!</v>
      </c>
      <c r="DX35" t="e">
        <f>AND(Liste!#REF!,"AAAAAH9v8n8=")</f>
        <v>#REF!</v>
      </c>
      <c r="DY35" t="e">
        <f>AND(Liste!#REF!,"AAAAAH9v8oA=")</f>
        <v>#REF!</v>
      </c>
      <c r="DZ35" t="e">
        <f>AND(Liste!#REF!,"AAAAAH9v8oE=")</f>
        <v>#REF!</v>
      </c>
      <c r="EA35" t="e">
        <f>AND(Liste!#REF!,"AAAAAH9v8oI=")</f>
        <v>#REF!</v>
      </c>
      <c r="EB35">
        <f>IF(Liste!255:255,"AAAAAH9v8oM=",0)</f>
        <v>0</v>
      </c>
      <c r="EC35" t="b">
        <f>AND(Liste!A255,"AAAAAH9v8oQ=")</f>
        <v>1</v>
      </c>
      <c r="ED35" t="e">
        <f>AND(Liste!#REF!,"AAAAAH9v8oU=")</f>
        <v>#REF!</v>
      </c>
      <c r="EE35" t="e">
        <f>AND(Liste!#REF!,"AAAAAH9v8oY=")</f>
        <v>#REF!</v>
      </c>
      <c r="EF35" t="e">
        <f>AND(Liste!#REF!,"AAAAAH9v8oc=")</f>
        <v>#REF!</v>
      </c>
      <c r="EG35" t="e">
        <f>AND(Liste!F311,"AAAAAH9v8og=")</f>
        <v>#VALUE!</v>
      </c>
      <c r="EH35" t="e">
        <f>AND(Liste!G311,"AAAAAH9v8ok=")</f>
        <v>#VALUE!</v>
      </c>
      <c r="EI35" t="e">
        <f>AND(Liste!H311,"AAAAAH9v8oo=")</f>
        <v>#VALUE!</v>
      </c>
      <c r="EJ35" t="e">
        <f>AND(Liste!I311,"AAAAAH9v8os=")</f>
        <v>#VALUE!</v>
      </c>
      <c r="EK35" t="e">
        <f>AND(Liste!J311,"AAAAAH9v8ow=")</f>
        <v>#VALUE!</v>
      </c>
      <c r="EL35" t="e">
        <f>AND(Liste!#REF!,"AAAAAH9v8o0=")</f>
        <v>#REF!</v>
      </c>
      <c r="EM35" t="e">
        <f>AND(Liste!#REF!,"AAAAAH9v8o4=")</f>
        <v>#REF!</v>
      </c>
      <c r="EN35" t="e">
        <f>AND(Liste!#REF!,"AAAAAH9v8o8=")</f>
        <v>#REF!</v>
      </c>
      <c r="EO35" t="e">
        <f>AND(Liste!#REF!,"AAAAAH9v8pA=")</f>
        <v>#REF!</v>
      </c>
      <c r="EP35" t="e">
        <f>AND(Liste!#REF!,"AAAAAH9v8pE=")</f>
        <v>#REF!</v>
      </c>
      <c r="EQ35" t="e">
        <f>AND(Liste!#REF!,"AAAAAH9v8pI=")</f>
        <v>#REF!</v>
      </c>
      <c r="ER35" t="e">
        <f>AND(Liste!#REF!,"AAAAAH9v8pM=")</f>
        <v>#REF!</v>
      </c>
      <c r="ES35" t="e">
        <f>AND(Liste!#REF!,"AAAAAH9v8pQ=")</f>
        <v>#REF!</v>
      </c>
      <c r="ET35" t="e">
        <f>AND(Liste!#REF!,"AAAAAH9v8pU=")</f>
        <v>#REF!</v>
      </c>
      <c r="EU35" t="e">
        <f>AND(Liste!#REF!,"AAAAAH9v8pY=")</f>
        <v>#REF!</v>
      </c>
      <c r="EV35" t="e">
        <f>AND(Liste!#REF!,"AAAAAH9v8pc=")</f>
        <v>#REF!</v>
      </c>
      <c r="EW35" t="e">
        <f>AND(Liste!#REF!,"AAAAAH9v8pg=")</f>
        <v>#REF!</v>
      </c>
      <c r="EX35" t="e">
        <f>AND(Liste!#REF!,"AAAAAH9v8pk=")</f>
        <v>#REF!</v>
      </c>
      <c r="EY35" t="e">
        <f>AND(Liste!#REF!,"AAAAAH9v8po=")</f>
        <v>#REF!</v>
      </c>
      <c r="EZ35" t="e">
        <f>AND(Liste!#REF!,"AAAAAH9v8ps=")</f>
        <v>#REF!</v>
      </c>
      <c r="FA35" t="e">
        <f>AND(Liste!#REF!,"AAAAAH9v8pw=")</f>
        <v>#REF!</v>
      </c>
      <c r="FB35" t="e">
        <f>AND(Liste!#REF!,"AAAAAH9v8p0=")</f>
        <v>#REF!</v>
      </c>
      <c r="FC35" t="e">
        <f>AND(Liste!#REF!,"AAAAAH9v8p4=")</f>
        <v>#REF!</v>
      </c>
      <c r="FD35" t="e">
        <f>AND(Liste!#REF!,"AAAAAH9v8p8=")</f>
        <v>#REF!</v>
      </c>
      <c r="FE35" t="e">
        <f>AND(Liste!#REF!,"AAAAAH9v8qA=")</f>
        <v>#REF!</v>
      </c>
      <c r="FF35" t="e">
        <f>AND(Liste!#REF!,"AAAAAH9v8qE=")</f>
        <v>#REF!</v>
      </c>
      <c r="FG35">
        <f>IF(Liste!256:256,"AAAAAH9v8qI=",0)</f>
        <v>0</v>
      </c>
      <c r="FH35" t="b">
        <f>AND(Liste!A256,"AAAAAH9v8qM=")</f>
        <v>1</v>
      </c>
      <c r="FI35" t="e">
        <f>AND(Liste!#REF!,"AAAAAH9v8qQ=")</f>
        <v>#REF!</v>
      </c>
      <c r="FJ35" t="e">
        <f>AND(Liste!#REF!,"AAAAAH9v8qU=")</f>
        <v>#REF!</v>
      </c>
      <c r="FK35" t="e">
        <f>AND(Liste!#REF!,"AAAAAH9v8qY=")</f>
        <v>#REF!</v>
      </c>
      <c r="FL35" t="e">
        <f>AND(Liste!F312,"AAAAAH9v8qc=")</f>
        <v>#VALUE!</v>
      </c>
      <c r="FM35" t="e">
        <f>AND(Liste!G312,"AAAAAH9v8qg=")</f>
        <v>#VALUE!</v>
      </c>
      <c r="FN35" t="e">
        <f>AND(Liste!H312,"AAAAAH9v8qk=")</f>
        <v>#VALUE!</v>
      </c>
      <c r="FO35" t="e">
        <f>AND(Liste!I312,"AAAAAH9v8qo=")</f>
        <v>#VALUE!</v>
      </c>
      <c r="FP35" t="e">
        <f>AND(Liste!J312,"AAAAAH9v8qs=")</f>
        <v>#VALUE!</v>
      </c>
      <c r="FQ35" t="e">
        <f>AND(Liste!#REF!,"AAAAAH9v8qw=")</f>
        <v>#REF!</v>
      </c>
      <c r="FR35" t="e">
        <f>AND(Liste!#REF!,"AAAAAH9v8q0=")</f>
        <v>#REF!</v>
      </c>
      <c r="FS35" t="e">
        <f>AND(Liste!#REF!,"AAAAAH9v8q4=")</f>
        <v>#REF!</v>
      </c>
      <c r="FT35" t="e">
        <f>AND(Liste!#REF!,"AAAAAH9v8q8=")</f>
        <v>#REF!</v>
      </c>
      <c r="FU35" t="e">
        <f>AND(Liste!#REF!,"AAAAAH9v8rA=")</f>
        <v>#REF!</v>
      </c>
      <c r="FV35" t="e">
        <f>AND(Liste!#REF!,"AAAAAH9v8rE=")</f>
        <v>#REF!</v>
      </c>
      <c r="FW35" t="e">
        <f>AND(Liste!#REF!,"AAAAAH9v8rI=")</f>
        <v>#REF!</v>
      </c>
      <c r="FX35" t="e">
        <f>AND(Liste!#REF!,"AAAAAH9v8rM=")</f>
        <v>#REF!</v>
      </c>
      <c r="FY35" t="e">
        <f>AND(Liste!#REF!,"AAAAAH9v8rQ=")</f>
        <v>#REF!</v>
      </c>
      <c r="FZ35" t="e">
        <f>AND(Liste!#REF!,"AAAAAH9v8rU=")</f>
        <v>#REF!</v>
      </c>
      <c r="GA35" t="e">
        <f>AND(Liste!#REF!,"AAAAAH9v8rY=")</f>
        <v>#REF!</v>
      </c>
      <c r="GB35" t="e">
        <f>AND(Liste!#REF!,"AAAAAH9v8rc=")</f>
        <v>#REF!</v>
      </c>
      <c r="GC35" t="e">
        <f>AND(Liste!#REF!,"AAAAAH9v8rg=")</f>
        <v>#REF!</v>
      </c>
      <c r="GD35" t="e">
        <f>AND(Liste!#REF!,"AAAAAH9v8rk=")</f>
        <v>#REF!</v>
      </c>
      <c r="GE35" t="e">
        <f>AND(Liste!#REF!,"AAAAAH9v8ro=")</f>
        <v>#REF!</v>
      </c>
      <c r="GF35" t="e">
        <f>AND(Liste!#REF!,"AAAAAH9v8rs=")</f>
        <v>#REF!</v>
      </c>
      <c r="GG35" t="e">
        <f>AND(Liste!#REF!,"AAAAAH9v8rw=")</f>
        <v>#REF!</v>
      </c>
      <c r="GH35" t="e">
        <f>AND(Liste!#REF!,"AAAAAH9v8r0=")</f>
        <v>#REF!</v>
      </c>
      <c r="GI35" t="e">
        <f>AND(Liste!#REF!,"AAAAAH9v8r4=")</f>
        <v>#REF!</v>
      </c>
      <c r="GJ35" t="e">
        <f>AND(Liste!#REF!,"AAAAAH9v8r8=")</f>
        <v>#REF!</v>
      </c>
      <c r="GK35" t="e">
        <f>AND(Liste!#REF!,"AAAAAH9v8sA=")</f>
        <v>#REF!</v>
      </c>
      <c r="GL35">
        <f>IF(Liste!257:257,"AAAAAH9v8sE=",0)</f>
        <v>0</v>
      </c>
      <c r="GM35" t="b">
        <f>AND(Liste!A257,"AAAAAH9v8sI=")</f>
        <v>1</v>
      </c>
      <c r="GN35" t="e">
        <f>AND(Liste!#REF!,"AAAAAH9v8sM=")</f>
        <v>#REF!</v>
      </c>
      <c r="GO35" t="e">
        <f>AND(Liste!#REF!,"AAAAAH9v8sQ=")</f>
        <v>#REF!</v>
      </c>
      <c r="GP35" t="e">
        <f>AND(Liste!#REF!,"AAAAAH9v8sU=")</f>
        <v>#REF!</v>
      </c>
      <c r="GQ35" t="e">
        <f>AND(Liste!F313,"AAAAAH9v8sY=")</f>
        <v>#VALUE!</v>
      </c>
      <c r="GR35" t="e">
        <f>AND(Liste!G313,"AAAAAH9v8sc=")</f>
        <v>#VALUE!</v>
      </c>
      <c r="GS35" t="e">
        <f>AND(Liste!H313,"AAAAAH9v8sg=")</f>
        <v>#VALUE!</v>
      </c>
      <c r="GT35" t="e">
        <f>AND(Liste!I313,"AAAAAH9v8sk=")</f>
        <v>#VALUE!</v>
      </c>
      <c r="GU35" t="e">
        <f>AND(Liste!J313,"AAAAAH9v8so=")</f>
        <v>#VALUE!</v>
      </c>
      <c r="GV35" t="e">
        <f>AND(Liste!#REF!,"AAAAAH9v8ss=")</f>
        <v>#REF!</v>
      </c>
      <c r="GW35" t="e">
        <f>AND(Liste!#REF!,"AAAAAH9v8sw=")</f>
        <v>#REF!</v>
      </c>
      <c r="GX35" t="e">
        <f>AND(Liste!#REF!,"AAAAAH9v8s0=")</f>
        <v>#REF!</v>
      </c>
      <c r="GY35" t="e">
        <f>AND(Liste!#REF!,"AAAAAH9v8s4=")</f>
        <v>#REF!</v>
      </c>
      <c r="GZ35" t="e">
        <f>AND(Liste!#REF!,"AAAAAH9v8s8=")</f>
        <v>#REF!</v>
      </c>
      <c r="HA35" t="e">
        <f>AND(Liste!#REF!,"AAAAAH9v8tA=")</f>
        <v>#REF!</v>
      </c>
      <c r="HB35" t="e">
        <f>AND(Liste!#REF!,"AAAAAH9v8tE=")</f>
        <v>#REF!</v>
      </c>
      <c r="HC35" t="e">
        <f>AND(Liste!#REF!,"AAAAAH9v8tI=")</f>
        <v>#REF!</v>
      </c>
      <c r="HD35" t="e">
        <f>AND(Liste!#REF!,"AAAAAH9v8tM=")</f>
        <v>#REF!</v>
      </c>
      <c r="HE35" t="e">
        <f>AND(Liste!#REF!,"AAAAAH9v8tQ=")</f>
        <v>#REF!</v>
      </c>
      <c r="HF35" t="e">
        <f>AND(Liste!#REF!,"AAAAAH9v8tU=")</f>
        <v>#REF!</v>
      </c>
      <c r="HG35" t="e">
        <f>AND(Liste!#REF!,"AAAAAH9v8tY=")</f>
        <v>#REF!</v>
      </c>
      <c r="HH35" t="e">
        <f>AND(Liste!#REF!,"AAAAAH9v8tc=")</f>
        <v>#REF!</v>
      </c>
      <c r="HI35" t="e">
        <f>AND(Liste!#REF!,"AAAAAH9v8tg=")</f>
        <v>#REF!</v>
      </c>
      <c r="HJ35" t="e">
        <f>AND(Liste!#REF!,"AAAAAH9v8tk=")</f>
        <v>#REF!</v>
      </c>
      <c r="HK35" t="e">
        <f>AND(Liste!#REF!,"AAAAAH9v8to=")</f>
        <v>#REF!</v>
      </c>
      <c r="HL35" t="e">
        <f>AND(Liste!#REF!,"AAAAAH9v8ts=")</f>
        <v>#REF!</v>
      </c>
      <c r="HM35" t="e">
        <f>AND(Liste!#REF!,"AAAAAH9v8tw=")</f>
        <v>#REF!</v>
      </c>
      <c r="HN35" t="e">
        <f>AND(Liste!#REF!,"AAAAAH9v8t0=")</f>
        <v>#REF!</v>
      </c>
      <c r="HO35" t="e">
        <f>AND(Liste!#REF!,"AAAAAH9v8t4=")</f>
        <v>#REF!</v>
      </c>
      <c r="HP35" t="e">
        <f>AND(Liste!#REF!,"AAAAAH9v8t8=")</f>
        <v>#REF!</v>
      </c>
      <c r="HQ35">
        <f>IF(Liste!258:258,"AAAAAH9v8uA=",0)</f>
        <v>0</v>
      </c>
      <c r="HR35" t="b">
        <f>AND(Liste!A258,"AAAAAH9v8uE=")</f>
        <v>1</v>
      </c>
      <c r="HS35" t="e">
        <f>AND(Liste!#REF!,"AAAAAH9v8uI=")</f>
        <v>#REF!</v>
      </c>
      <c r="HT35" t="e">
        <f>AND(Liste!#REF!,"AAAAAH9v8uM=")</f>
        <v>#REF!</v>
      </c>
      <c r="HU35" t="e">
        <f>AND(Liste!#REF!,"AAAAAH9v8uQ=")</f>
        <v>#REF!</v>
      </c>
      <c r="HV35" t="e">
        <f>AND(Liste!F314,"AAAAAH9v8uU=")</f>
        <v>#VALUE!</v>
      </c>
      <c r="HW35" t="e">
        <f>AND(Liste!G314,"AAAAAH9v8uY=")</f>
        <v>#VALUE!</v>
      </c>
      <c r="HX35" t="e">
        <f>AND(Liste!H314,"AAAAAH9v8uc=")</f>
        <v>#VALUE!</v>
      </c>
      <c r="HY35" t="e">
        <f>AND(Liste!I314,"AAAAAH9v8ug=")</f>
        <v>#VALUE!</v>
      </c>
      <c r="HZ35" t="e">
        <f>AND(Liste!J314,"AAAAAH9v8uk=")</f>
        <v>#VALUE!</v>
      </c>
      <c r="IA35" t="e">
        <f>AND(Liste!#REF!,"AAAAAH9v8uo=")</f>
        <v>#REF!</v>
      </c>
      <c r="IB35" t="e">
        <f>AND(Liste!#REF!,"AAAAAH9v8us=")</f>
        <v>#REF!</v>
      </c>
      <c r="IC35" t="e">
        <f>AND(Liste!#REF!,"AAAAAH9v8uw=")</f>
        <v>#REF!</v>
      </c>
      <c r="ID35" t="e">
        <f>AND(Liste!#REF!,"AAAAAH9v8u0=")</f>
        <v>#REF!</v>
      </c>
      <c r="IE35" t="e">
        <f>AND(Liste!#REF!,"AAAAAH9v8u4=")</f>
        <v>#REF!</v>
      </c>
      <c r="IF35" t="e">
        <f>AND(Liste!#REF!,"AAAAAH9v8u8=")</f>
        <v>#REF!</v>
      </c>
      <c r="IG35" t="e">
        <f>AND(Liste!#REF!,"AAAAAH9v8vA=")</f>
        <v>#REF!</v>
      </c>
      <c r="IH35" t="e">
        <f>AND(Liste!#REF!,"AAAAAH9v8vE=")</f>
        <v>#REF!</v>
      </c>
      <c r="II35" t="e">
        <f>AND(Liste!#REF!,"AAAAAH9v8vI=")</f>
        <v>#REF!</v>
      </c>
      <c r="IJ35" t="e">
        <f>AND(Liste!#REF!,"AAAAAH9v8vM=")</f>
        <v>#REF!</v>
      </c>
      <c r="IK35" t="e">
        <f>AND(Liste!#REF!,"AAAAAH9v8vQ=")</f>
        <v>#REF!</v>
      </c>
      <c r="IL35" t="e">
        <f>AND(Liste!#REF!,"AAAAAH9v8vU=")</f>
        <v>#REF!</v>
      </c>
      <c r="IM35" t="e">
        <f>AND(Liste!#REF!,"AAAAAH9v8vY=")</f>
        <v>#REF!</v>
      </c>
      <c r="IN35" t="e">
        <f>AND(Liste!#REF!,"AAAAAH9v8vc=")</f>
        <v>#REF!</v>
      </c>
      <c r="IO35" t="e">
        <f>AND(Liste!#REF!,"AAAAAH9v8vg=")</f>
        <v>#REF!</v>
      </c>
      <c r="IP35" t="e">
        <f>AND(Liste!#REF!,"AAAAAH9v8vk=")</f>
        <v>#REF!</v>
      </c>
      <c r="IQ35" t="e">
        <f>AND(Liste!#REF!,"AAAAAH9v8vo=")</f>
        <v>#REF!</v>
      </c>
      <c r="IR35" t="e">
        <f>AND(Liste!#REF!,"AAAAAH9v8vs=")</f>
        <v>#REF!</v>
      </c>
      <c r="IS35" t="e">
        <f>AND(Liste!#REF!,"AAAAAH9v8vw=")</f>
        <v>#REF!</v>
      </c>
      <c r="IT35" t="e">
        <f>AND(Liste!#REF!,"AAAAAH9v8v0=")</f>
        <v>#REF!</v>
      </c>
      <c r="IU35" t="e">
        <f>AND(Liste!#REF!,"AAAAAH9v8v4=")</f>
        <v>#REF!</v>
      </c>
      <c r="IV35">
        <f>IF(Liste!259:259,"AAAAAH9v8v8=",0)</f>
        <v>0</v>
      </c>
    </row>
    <row r="36" spans="1:256" x14ac:dyDescent="0.2">
      <c r="A36" t="b">
        <f>AND(Liste!A259,"AAAAAHrv/wA=")</f>
        <v>1</v>
      </c>
      <c r="B36" t="e">
        <f>AND(Liste!#REF!,"AAAAAHrv/wE=")</f>
        <v>#REF!</v>
      </c>
      <c r="C36" t="e">
        <f>AND(Liste!#REF!,"AAAAAHrv/wI=")</f>
        <v>#REF!</v>
      </c>
      <c r="D36" t="e">
        <f>AND(Liste!#REF!,"AAAAAHrv/wM=")</f>
        <v>#REF!</v>
      </c>
      <c r="E36" t="e">
        <f>AND(Liste!F315,"AAAAAHrv/wQ=")</f>
        <v>#VALUE!</v>
      </c>
      <c r="F36" t="e">
        <f>AND(Liste!G315,"AAAAAHrv/wU=")</f>
        <v>#VALUE!</v>
      </c>
      <c r="G36" t="e">
        <f>AND(Liste!H315,"AAAAAHrv/wY=")</f>
        <v>#VALUE!</v>
      </c>
      <c r="H36" t="e">
        <f>AND(Liste!I315,"AAAAAHrv/wc=")</f>
        <v>#VALUE!</v>
      </c>
      <c r="I36" t="e">
        <f>AND(Liste!J315,"AAAAAHrv/wg=")</f>
        <v>#VALUE!</v>
      </c>
      <c r="J36" t="e">
        <f>AND(Liste!#REF!,"AAAAAHrv/wk=")</f>
        <v>#REF!</v>
      </c>
      <c r="K36" t="e">
        <f>AND(Liste!#REF!,"AAAAAHrv/wo=")</f>
        <v>#REF!</v>
      </c>
      <c r="L36" t="e">
        <f>AND(Liste!#REF!,"AAAAAHrv/ws=")</f>
        <v>#REF!</v>
      </c>
      <c r="M36" t="e">
        <f>AND(Liste!#REF!,"AAAAAHrv/ww=")</f>
        <v>#REF!</v>
      </c>
      <c r="N36" t="e">
        <f>AND(Liste!#REF!,"AAAAAHrv/w0=")</f>
        <v>#REF!</v>
      </c>
      <c r="O36" t="e">
        <f>AND(Liste!#REF!,"AAAAAHrv/w4=")</f>
        <v>#REF!</v>
      </c>
      <c r="P36" t="e">
        <f>AND(Liste!#REF!,"AAAAAHrv/w8=")</f>
        <v>#REF!</v>
      </c>
      <c r="Q36" t="e">
        <f>AND(Liste!#REF!,"AAAAAHrv/xA=")</f>
        <v>#REF!</v>
      </c>
      <c r="R36" t="e">
        <f>AND(Liste!#REF!,"AAAAAHrv/xE=")</f>
        <v>#REF!</v>
      </c>
      <c r="S36" t="e">
        <f>AND(Liste!#REF!,"AAAAAHrv/xI=")</f>
        <v>#REF!</v>
      </c>
      <c r="T36" t="e">
        <f>AND(Liste!#REF!,"AAAAAHrv/xM=")</f>
        <v>#REF!</v>
      </c>
      <c r="U36" t="e">
        <f>AND(Liste!#REF!,"AAAAAHrv/xQ=")</f>
        <v>#REF!</v>
      </c>
      <c r="V36" t="e">
        <f>AND(Liste!#REF!,"AAAAAHrv/xU=")</f>
        <v>#REF!</v>
      </c>
      <c r="W36" t="e">
        <f>AND(Liste!#REF!,"AAAAAHrv/xY=")</f>
        <v>#REF!</v>
      </c>
      <c r="X36" t="e">
        <f>AND(Liste!#REF!,"AAAAAHrv/xc=")</f>
        <v>#REF!</v>
      </c>
      <c r="Y36" t="e">
        <f>AND(Liste!#REF!,"AAAAAHrv/xg=")</f>
        <v>#REF!</v>
      </c>
      <c r="Z36" t="e">
        <f>AND(Liste!#REF!,"AAAAAHrv/xk=")</f>
        <v>#REF!</v>
      </c>
      <c r="AA36" t="e">
        <f>AND(Liste!#REF!,"AAAAAHrv/xo=")</f>
        <v>#REF!</v>
      </c>
      <c r="AB36" t="e">
        <f>AND(Liste!#REF!,"AAAAAHrv/xs=")</f>
        <v>#REF!</v>
      </c>
      <c r="AC36" t="e">
        <f>AND(Liste!#REF!,"AAAAAHrv/xw=")</f>
        <v>#REF!</v>
      </c>
      <c r="AD36" t="e">
        <f>AND(Liste!#REF!,"AAAAAHrv/x0=")</f>
        <v>#REF!</v>
      </c>
      <c r="AE36">
        <f>IF(Liste!260:260,"AAAAAHrv/x4=",0)</f>
        <v>0</v>
      </c>
      <c r="AF36" t="b">
        <f>AND(Liste!A260,"AAAAAHrv/x8=")</f>
        <v>1</v>
      </c>
      <c r="AG36" t="e">
        <f>AND(Liste!#REF!,"AAAAAHrv/yA=")</f>
        <v>#REF!</v>
      </c>
      <c r="AH36" t="e">
        <f>AND(Liste!#REF!,"AAAAAHrv/yE=")</f>
        <v>#REF!</v>
      </c>
      <c r="AI36" t="e">
        <f>AND(Liste!#REF!,"AAAAAHrv/yI=")</f>
        <v>#REF!</v>
      </c>
      <c r="AJ36" t="e">
        <f>AND(Liste!F316,"AAAAAHrv/yM=")</f>
        <v>#VALUE!</v>
      </c>
      <c r="AK36" t="e">
        <f>AND(Liste!G316,"AAAAAHrv/yQ=")</f>
        <v>#VALUE!</v>
      </c>
      <c r="AL36" t="e">
        <f>AND(Liste!H316,"AAAAAHrv/yU=")</f>
        <v>#VALUE!</v>
      </c>
      <c r="AM36" t="e">
        <f>AND(Liste!I316,"AAAAAHrv/yY=")</f>
        <v>#VALUE!</v>
      </c>
      <c r="AN36" t="e">
        <f>AND(Liste!J316,"AAAAAHrv/yc=")</f>
        <v>#VALUE!</v>
      </c>
      <c r="AO36" t="e">
        <f>AND(Liste!#REF!,"AAAAAHrv/yg=")</f>
        <v>#REF!</v>
      </c>
      <c r="AP36" t="e">
        <f>AND(Liste!#REF!,"AAAAAHrv/yk=")</f>
        <v>#REF!</v>
      </c>
      <c r="AQ36" t="e">
        <f>AND(Liste!#REF!,"AAAAAHrv/yo=")</f>
        <v>#REF!</v>
      </c>
      <c r="AR36" t="e">
        <f>AND(Liste!#REF!,"AAAAAHrv/ys=")</f>
        <v>#REF!</v>
      </c>
      <c r="AS36" t="e">
        <f>AND(Liste!#REF!,"AAAAAHrv/yw=")</f>
        <v>#REF!</v>
      </c>
      <c r="AT36" t="e">
        <f>AND(Liste!#REF!,"AAAAAHrv/y0=")</f>
        <v>#REF!</v>
      </c>
      <c r="AU36" t="e">
        <f>AND(Liste!#REF!,"AAAAAHrv/y4=")</f>
        <v>#REF!</v>
      </c>
      <c r="AV36" t="e">
        <f>AND(Liste!#REF!,"AAAAAHrv/y8=")</f>
        <v>#REF!</v>
      </c>
      <c r="AW36" t="e">
        <f>AND(Liste!#REF!,"AAAAAHrv/zA=")</f>
        <v>#REF!</v>
      </c>
      <c r="AX36" t="e">
        <f>AND(Liste!#REF!,"AAAAAHrv/zE=")</f>
        <v>#REF!</v>
      </c>
      <c r="AY36" t="e">
        <f>AND(Liste!#REF!,"AAAAAHrv/zI=")</f>
        <v>#REF!</v>
      </c>
      <c r="AZ36" t="e">
        <f>AND(Liste!#REF!,"AAAAAHrv/zM=")</f>
        <v>#REF!</v>
      </c>
      <c r="BA36" t="e">
        <f>AND(Liste!#REF!,"AAAAAHrv/zQ=")</f>
        <v>#REF!</v>
      </c>
      <c r="BB36" t="e">
        <f>AND(Liste!#REF!,"AAAAAHrv/zU=")</f>
        <v>#REF!</v>
      </c>
      <c r="BC36" t="e">
        <f>AND(Liste!#REF!,"AAAAAHrv/zY=")</f>
        <v>#REF!</v>
      </c>
      <c r="BD36" t="e">
        <f>AND(Liste!#REF!,"AAAAAHrv/zc=")</f>
        <v>#REF!</v>
      </c>
      <c r="BE36" t="e">
        <f>AND(Liste!#REF!,"AAAAAHrv/zg=")</f>
        <v>#REF!</v>
      </c>
      <c r="BF36" t="e">
        <f>AND(Liste!#REF!,"AAAAAHrv/zk=")</f>
        <v>#REF!</v>
      </c>
      <c r="BG36" t="e">
        <f>AND(Liste!#REF!,"AAAAAHrv/zo=")</f>
        <v>#REF!</v>
      </c>
      <c r="BH36" t="e">
        <f>AND(Liste!#REF!,"AAAAAHrv/zs=")</f>
        <v>#REF!</v>
      </c>
      <c r="BI36" t="e">
        <f>AND(Liste!#REF!,"AAAAAHrv/zw=")</f>
        <v>#REF!</v>
      </c>
      <c r="BJ36">
        <f>IF(Liste!271:271,"AAAAAHrv/z0=",0)</f>
        <v>0</v>
      </c>
      <c r="BK36" t="b">
        <f>AND(Liste!A271,"AAAAAHrv/z4=")</f>
        <v>1</v>
      </c>
      <c r="BL36" t="e">
        <f>AND(Liste!#REF!,"AAAAAHrv/z8=")</f>
        <v>#REF!</v>
      </c>
      <c r="BM36" t="e">
        <f>AND(Liste!#REF!,"AAAAAHrv/0A=")</f>
        <v>#REF!</v>
      </c>
      <c r="BN36" t="e">
        <f>AND(Liste!#REF!,"AAAAAHrv/0E=")</f>
        <v>#REF!</v>
      </c>
      <c r="BO36" t="e">
        <f>AND(Liste!F317,"AAAAAHrv/0I=")</f>
        <v>#VALUE!</v>
      </c>
      <c r="BP36" t="e">
        <f>AND(Liste!G317,"AAAAAHrv/0M=")</f>
        <v>#VALUE!</v>
      </c>
      <c r="BQ36" t="e">
        <f>AND(Liste!H317,"AAAAAHrv/0Q=")</f>
        <v>#VALUE!</v>
      </c>
      <c r="BR36" t="e">
        <f>AND(Liste!I317,"AAAAAHrv/0U=")</f>
        <v>#VALUE!</v>
      </c>
      <c r="BS36" t="e">
        <f>AND(Liste!J317,"AAAAAHrv/0Y=")</f>
        <v>#VALUE!</v>
      </c>
      <c r="BT36" t="e">
        <f>AND(Liste!#REF!,"AAAAAHrv/0c=")</f>
        <v>#REF!</v>
      </c>
      <c r="BU36" t="e">
        <f>AND(Liste!#REF!,"AAAAAHrv/0g=")</f>
        <v>#REF!</v>
      </c>
      <c r="BV36" t="e">
        <f>AND(Liste!#REF!,"AAAAAHrv/0k=")</f>
        <v>#REF!</v>
      </c>
      <c r="BW36" t="e">
        <f>AND(Liste!#REF!,"AAAAAHrv/0o=")</f>
        <v>#REF!</v>
      </c>
      <c r="BX36" t="e">
        <f>AND(Liste!#REF!,"AAAAAHrv/0s=")</f>
        <v>#REF!</v>
      </c>
      <c r="BY36" t="e">
        <f>AND(Liste!#REF!,"AAAAAHrv/0w=")</f>
        <v>#REF!</v>
      </c>
      <c r="BZ36" t="e">
        <f>AND(Liste!#REF!,"AAAAAHrv/00=")</f>
        <v>#REF!</v>
      </c>
      <c r="CA36" t="e">
        <f>AND(Liste!#REF!,"AAAAAHrv/04=")</f>
        <v>#REF!</v>
      </c>
      <c r="CB36" t="e">
        <f>AND(Liste!#REF!,"AAAAAHrv/08=")</f>
        <v>#REF!</v>
      </c>
      <c r="CC36" t="e">
        <f>AND(Liste!#REF!,"AAAAAHrv/1A=")</f>
        <v>#REF!</v>
      </c>
      <c r="CD36" t="e">
        <f>AND(Liste!#REF!,"AAAAAHrv/1E=")</f>
        <v>#REF!</v>
      </c>
      <c r="CE36" t="e">
        <f>AND(Liste!#REF!,"AAAAAHrv/1I=")</f>
        <v>#REF!</v>
      </c>
      <c r="CF36" t="e">
        <f>AND(Liste!#REF!,"AAAAAHrv/1M=")</f>
        <v>#REF!</v>
      </c>
      <c r="CG36" t="e">
        <f>AND(Liste!#REF!,"AAAAAHrv/1Q=")</f>
        <v>#REF!</v>
      </c>
      <c r="CH36" t="e">
        <f>AND(Liste!#REF!,"AAAAAHrv/1U=")</f>
        <v>#REF!</v>
      </c>
      <c r="CI36" t="e">
        <f>AND(Liste!#REF!,"AAAAAHrv/1Y=")</f>
        <v>#REF!</v>
      </c>
      <c r="CJ36" t="e">
        <f>AND(Liste!#REF!,"AAAAAHrv/1c=")</f>
        <v>#REF!</v>
      </c>
      <c r="CK36" t="e">
        <f>AND(Liste!#REF!,"AAAAAHrv/1g=")</f>
        <v>#REF!</v>
      </c>
      <c r="CL36" t="e">
        <f>AND(Liste!#REF!,"AAAAAHrv/1k=")</f>
        <v>#REF!</v>
      </c>
      <c r="CM36" t="e">
        <f>AND(Liste!#REF!,"AAAAAHrv/1o=")</f>
        <v>#REF!</v>
      </c>
      <c r="CN36" t="e">
        <f>AND(Liste!#REF!,"AAAAAHrv/1s=")</f>
        <v>#REF!</v>
      </c>
      <c r="CO36">
        <f>IF(Liste!272:272,"AAAAAHrv/1w=",0)</f>
        <v>0</v>
      </c>
      <c r="CP36" t="b">
        <f>AND(Liste!A272,"AAAAAHrv/10=")</f>
        <v>1</v>
      </c>
      <c r="CQ36" t="e">
        <f>AND(Liste!#REF!,"AAAAAHrv/14=")</f>
        <v>#REF!</v>
      </c>
      <c r="CR36" t="e">
        <f>AND(Liste!#REF!,"AAAAAHrv/18=")</f>
        <v>#REF!</v>
      </c>
      <c r="CS36" t="e">
        <f>AND(Liste!#REF!,"AAAAAHrv/2A=")</f>
        <v>#REF!</v>
      </c>
      <c r="CT36" t="e">
        <f>AND(Liste!F328,"AAAAAHrv/2E=")</f>
        <v>#VALUE!</v>
      </c>
      <c r="CU36" t="e">
        <f>AND(Liste!G328,"AAAAAHrv/2I=")</f>
        <v>#VALUE!</v>
      </c>
      <c r="CV36" t="e">
        <f>AND(Liste!H328,"AAAAAHrv/2M=")</f>
        <v>#VALUE!</v>
      </c>
      <c r="CW36" t="e">
        <f>AND(Liste!I328,"AAAAAHrv/2Q=")</f>
        <v>#VALUE!</v>
      </c>
      <c r="CX36" t="e">
        <f>AND(Liste!J328,"AAAAAHrv/2U=")</f>
        <v>#VALUE!</v>
      </c>
      <c r="CY36" t="e">
        <f>AND(Liste!#REF!,"AAAAAHrv/2Y=")</f>
        <v>#REF!</v>
      </c>
      <c r="CZ36" t="e">
        <f>AND(Liste!#REF!,"AAAAAHrv/2c=")</f>
        <v>#REF!</v>
      </c>
      <c r="DA36" t="e">
        <f>AND(Liste!#REF!,"AAAAAHrv/2g=")</f>
        <v>#REF!</v>
      </c>
      <c r="DB36" t="e">
        <f>AND(Liste!#REF!,"AAAAAHrv/2k=")</f>
        <v>#REF!</v>
      </c>
      <c r="DC36" t="e">
        <f>AND(Liste!#REF!,"AAAAAHrv/2o=")</f>
        <v>#REF!</v>
      </c>
      <c r="DD36" t="e">
        <f>AND(Liste!#REF!,"AAAAAHrv/2s=")</f>
        <v>#REF!</v>
      </c>
      <c r="DE36" t="e">
        <f>AND(Liste!#REF!,"AAAAAHrv/2w=")</f>
        <v>#REF!</v>
      </c>
      <c r="DF36" t="e">
        <f>AND(Liste!#REF!,"AAAAAHrv/20=")</f>
        <v>#REF!</v>
      </c>
      <c r="DG36" t="e">
        <f>AND(Liste!#REF!,"AAAAAHrv/24=")</f>
        <v>#REF!</v>
      </c>
      <c r="DH36" t="e">
        <f>AND(Liste!#REF!,"AAAAAHrv/28=")</f>
        <v>#REF!</v>
      </c>
      <c r="DI36" t="e">
        <f>AND(Liste!#REF!,"AAAAAHrv/3A=")</f>
        <v>#REF!</v>
      </c>
      <c r="DJ36" t="e">
        <f>AND(Liste!#REF!,"AAAAAHrv/3E=")</f>
        <v>#REF!</v>
      </c>
      <c r="DK36" t="e">
        <f>AND(Liste!#REF!,"AAAAAHrv/3I=")</f>
        <v>#REF!</v>
      </c>
      <c r="DL36" t="e">
        <f>AND(Liste!#REF!,"AAAAAHrv/3M=")</f>
        <v>#REF!</v>
      </c>
      <c r="DM36" t="e">
        <f>AND(Liste!#REF!,"AAAAAHrv/3Q=")</f>
        <v>#REF!</v>
      </c>
      <c r="DN36" t="e">
        <f>AND(Liste!#REF!,"AAAAAHrv/3U=")</f>
        <v>#REF!</v>
      </c>
      <c r="DO36" t="e">
        <f>AND(Liste!#REF!,"AAAAAHrv/3Y=")</f>
        <v>#REF!</v>
      </c>
      <c r="DP36" t="e">
        <f>AND(Liste!#REF!,"AAAAAHrv/3c=")</f>
        <v>#REF!</v>
      </c>
      <c r="DQ36" t="e">
        <f>AND(Liste!#REF!,"AAAAAHrv/3g=")</f>
        <v>#REF!</v>
      </c>
      <c r="DR36" t="e">
        <f>AND(Liste!#REF!,"AAAAAHrv/3k=")</f>
        <v>#REF!</v>
      </c>
      <c r="DS36" t="e">
        <f>AND(Liste!#REF!,"AAAAAHrv/3o=")</f>
        <v>#REF!</v>
      </c>
      <c r="DT36">
        <f>IF(Liste!273:273,"AAAAAHrv/3s=",0)</f>
        <v>0</v>
      </c>
      <c r="DU36" t="b">
        <f>AND(Liste!A273,"AAAAAHrv/3w=")</f>
        <v>1</v>
      </c>
      <c r="DV36" t="e">
        <f>AND(Liste!#REF!,"AAAAAHrv/30=")</f>
        <v>#REF!</v>
      </c>
      <c r="DW36" t="e">
        <f>AND(Liste!#REF!,"AAAAAHrv/34=")</f>
        <v>#REF!</v>
      </c>
      <c r="DX36" t="e">
        <f>AND(Liste!#REF!,"AAAAAHrv/38=")</f>
        <v>#REF!</v>
      </c>
      <c r="DY36" t="e">
        <f>AND(Liste!F329,"AAAAAHrv/4A=")</f>
        <v>#VALUE!</v>
      </c>
      <c r="DZ36" t="e">
        <f>AND(Liste!G329,"AAAAAHrv/4E=")</f>
        <v>#VALUE!</v>
      </c>
      <c r="EA36" t="e">
        <f>AND(Liste!H329,"AAAAAHrv/4I=")</f>
        <v>#VALUE!</v>
      </c>
      <c r="EB36" t="e">
        <f>AND(Liste!I329,"AAAAAHrv/4M=")</f>
        <v>#VALUE!</v>
      </c>
      <c r="EC36" t="e">
        <f>AND(Liste!J329,"AAAAAHrv/4Q=")</f>
        <v>#VALUE!</v>
      </c>
      <c r="ED36" t="e">
        <f>AND(Liste!#REF!,"AAAAAHrv/4U=")</f>
        <v>#REF!</v>
      </c>
      <c r="EE36" t="e">
        <f>AND(Liste!#REF!,"AAAAAHrv/4Y=")</f>
        <v>#REF!</v>
      </c>
      <c r="EF36" t="e">
        <f>AND(Liste!#REF!,"AAAAAHrv/4c=")</f>
        <v>#REF!</v>
      </c>
      <c r="EG36" t="e">
        <f>AND(Liste!#REF!,"AAAAAHrv/4g=")</f>
        <v>#REF!</v>
      </c>
      <c r="EH36" t="e">
        <f>AND(Liste!#REF!,"AAAAAHrv/4k=")</f>
        <v>#REF!</v>
      </c>
      <c r="EI36" t="e">
        <f>AND(Liste!#REF!,"AAAAAHrv/4o=")</f>
        <v>#REF!</v>
      </c>
      <c r="EJ36" t="e">
        <f>AND(Liste!#REF!,"AAAAAHrv/4s=")</f>
        <v>#REF!</v>
      </c>
      <c r="EK36" t="e">
        <f>AND(Liste!#REF!,"AAAAAHrv/4w=")</f>
        <v>#REF!</v>
      </c>
      <c r="EL36" t="e">
        <f>AND(Liste!#REF!,"AAAAAHrv/40=")</f>
        <v>#REF!</v>
      </c>
      <c r="EM36" t="e">
        <f>AND(Liste!#REF!,"AAAAAHrv/44=")</f>
        <v>#REF!</v>
      </c>
      <c r="EN36" t="e">
        <f>AND(Liste!#REF!,"AAAAAHrv/48=")</f>
        <v>#REF!</v>
      </c>
      <c r="EO36" t="e">
        <f>AND(Liste!#REF!,"AAAAAHrv/5A=")</f>
        <v>#REF!</v>
      </c>
      <c r="EP36" t="e">
        <f>AND(Liste!#REF!,"AAAAAHrv/5E=")</f>
        <v>#REF!</v>
      </c>
      <c r="EQ36" t="e">
        <f>AND(Liste!#REF!,"AAAAAHrv/5I=")</f>
        <v>#REF!</v>
      </c>
      <c r="ER36" t="e">
        <f>AND(Liste!#REF!,"AAAAAHrv/5M=")</f>
        <v>#REF!</v>
      </c>
      <c r="ES36" t="e">
        <f>AND(Liste!#REF!,"AAAAAHrv/5Q=")</f>
        <v>#REF!</v>
      </c>
      <c r="ET36" t="e">
        <f>AND(Liste!#REF!,"AAAAAHrv/5U=")</f>
        <v>#REF!</v>
      </c>
      <c r="EU36" t="e">
        <f>AND(Liste!#REF!,"AAAAAHrv/5Y=")</f>
        <v>#REF!</v>
      </c>
      <c r="EV36" t="e">
        <f>AND(Liste!#REF!,"AAAAAHrv/5c=")</f>
        <v>#REF!</v>
      </c>
      <c r="EW36" t="e">
        <f>AND(Liste!#REF!,"AAAAAHrv/5g=")</f>
        <v>#REF!</v>
      </c>
      <c r="EX36" t="e">
        <f>AND(Liste!#REF!,"AAAAAHrv/5k=")</f>
        <v>#REF!</v>
      </c>
      <c r="EY36">
        <f>IF(Liste!274:274,"AAAAAHrv/5o=",0)</f>
        <v>0</v>
      </c>
      <c r="EZ36" t="b">
        <f>AND(Liste!A274,"AAAAAHrv/5s=")</f>
        <v>1</v>
      </c>
      <c r="FA36" t="e">
        <f>AND(Liste!#REF!,"AAAAAHrv/5w=")</f>
        <v>#REF!</v>
      </c>
      <c r="FB36" t="e">
        <f>AND(Liste!#REF!,"AAAAAHrv/50=")</f>
        <v>#REF!</v>
      </c>
      <c r="FC36" t="e">
        <f>AND(Liste!#REF!,"AAAAAHrv/54=")</f>
        <v>#REF!</v>
      </c>
      <c r="FD36" t="e">
        <f>AND(Liste!F330,"AAAAAHrv/58=")</f>
        <v>#VALUE!</v>
      </c>
      <c r="FE36" t="e">
        <f>AND(Liste!G330,"AAAAAHrv/6A=")</f>
        <v>#VALUE!</v>
      </c>
      <c r="FF36" t="e">
        <f>AND(Liste!H330,"AAAAAHrv/6E=")</f>
        <v>#VALUE!</v>
      </c>
      <c r="FG36" t="e">
        <f>AND(Liste!I330,"AAAAAHrv/6I=")</f>
        <v>#VALUE!</v>
      </c>
      <c r="FH36" t="e">
        <f>AND(Liste!J330,"AAAAAHrv/6M=")</f>
        <v>#VALUE!</v>
      </c>
      <c r="FI36" t="e">
        <f>AND(Liste!#REF!,"AAAAAHrv/6Q=")</f>
        <v>#REF!</v>
      </c>
      <c r="FJ36" t="e">
        <f>AND(Liste!#REF!,"AAAAAHrv/6U=")</f>
        <v>#REF!</v>
      </c>
      <c r="FK36" t="e">
        <f>AND(Liste!#REF!,"AAAAAHrv/6Y=")</f>
        <v>#REF!</v>
      </c>
      <c r="FL36" t="e">
        <f>AND(Liste!#REF!,"AAAAAHrv/6c=")</f>
        <v>#REF!</v>
      </c>
      <c r="FM36" t="e">
        <f>AND(Liste!#REF!,"AAAAAHrv/6g=")</f>
        <v>#REF!</v>
      </c>
      <c r="FN36" t="e">
        <f>AND(Liste!#REF!,"AAAAAHrv/6k=")</f>
        <v>#REF!</v>
      </c>
      <c r="FO36" t="e">
        <f>AND(Liste!#REF!,"AAAAAHrv/6o=")</f>
        <v>#REF!</v>
      </c>
      <c r="FP36" t="e">
        <f>AND(Liste!#REF!,"AAAAAHrv/6s=")</f>
        <v>#REF!</v>
      </c>
      <c r="FQ36" t="e">
        <f>AND(Liste!#REF!,"AAAAAHrv/6w=")</f>
        <v>#REF!</v>
      </c>
      <c r="FR36" t="e">
        <f>AND(Liste!#REF!,"AAAAAHrv/60=")</f>
        <v>#REF!</v>
      </c>
      <c r="FS36" t="e">
        <f>AND(Liste!#REF!,"AAAAAHrv/64=")</f>
        <v>#REF!</v>
      </c>
      <c r="FT36" t="e">
        <f>AND(Liste!#REF!,"AAAAAHrv/68=")</f>
        <v>#REF!</v>
      </c>
      <c r="FU36" t="e">
        <f>AND(Liste!#REF!,"AAAAAHrv/7A=")</f>
        <v>#REF!</v>
      </c>
      <c r="FV36" t="e">
        <f>AND(Liste!#REF!,"AAAAAHrv/7E=")</f>
        <v>#REF!</v>
      </c>
      <c r="FW36" t="e">
        <f>AND(Liste!#REF!,"AAAAAHrv/7I=")</f>
        <v>#REF!</v>
      </c>
      <c r="FX36" t="e">
        <f>AND(Liste!#REF!,"AAAAAHrv/7M=")</f>
        <v>#REF!</v>
      </c>
      <c r="FY36" t="e">
        <f>AND(Liste!#REF!,"AAAAAHrv/7Q=")</f>
        <v>#REF!</v>
      </c>
      <c r="FZ36" t="e">
        <f>AND(Liste!#REF!,"AAAAAHrv/7U=")</f>
        <v>#REF!</v>
      </c>
      <c r="GA36" t="e">
        <f>AND(Liste!#REF!,"AAAAAHrv/7Y=")</f>
        <v>#REF!</v>
      </c>
      <c r="GB36" t="e">
        <f>AND(Liste!#REF!,"AAAAAHrv/7c=")</f>
        <v>#REF!</v>
      </c>
      <c r="GC36" t="e">
        <f>AND(Liste!#REF!,"AAAAAHrv/7g=")</f>
        <v>#REF!</v>
      </c>
      <c r="GD36">
        <f>IF(Liste!275:275,"AAAAAHrv/7k=",0)</f>
        <v>0</v>
      </c>
      <c r="GE36" t="b">
        <f>AND(Liste!A275,"AAAAAHrv/7o=")</f>
        <v>1</v>
      </c>
      <c r="GF36" t="e">
        <f>AND(Liste!#REF!,"AAAAAHrv/7s=")</f>
        <v>#REF!</v>
      </c>
      <c r="GG36" t="e">
        <f>AND(Liste!#REF!,"AAAAAHrv/7w=")</f>
        <v>#REF!</v>
      </c>
      <c r="GH36" t="e">
        <f>AND(Liste!#REF!,"AAAAAHrv/70=")</f>
        <v>#REF!</v>
      </c>
      <c r="GI36" t="e">
        <f>AND(Liste!F331,"AAAAAHrv/74=")</f>
        <v>#VALUE!</v>
      </c>
      <c r="GJ36" t="e">
        <f>AND(Liste!G331,"AAAAAHrv/78=")</f>
        <v>#VALUE!</v>
      </c>
      <c r="GK36" t="e">
        <f>AND(Liste!H331,"AAAAAHrv/8A=")</f>
        <v>#VALUE!</v>
      </c>
      <c r="GL36" t="e">
        <f>AND(Liste!I331,"AAAAAHrv/8E=")</f>
        <v>#VALUE!</v>
      </c>
      <c r="GM36" t="e">
        <f>AND(Liste!J331,"AAAAAHrv/8I=")</f>
        <v>#VALUE!</v>
      </c>
      <c r="GN36" t="e">
        <f>AND(Liste!#REF!,"AAAAAHrv/8M=")</f>
        <v>#REF!</v>
      </c>
      <c r="GO36" t="e">
        <f>AND(Liste!#REF!,"AAAAAHrv/8Q=")</f>
        <v>#REF!</v>
      </c>
      <c r="GP36" t="e">
        <f>AND(Liste!#REF!,"AAAAAHrv/8U=")</f>
        <v>#REF!</v>
      </c>
      <c r="GQ36" t="e">
        <f>AND(Liste!#REF!,"AAAAAHrv/8Y=")</f>
        <v>#REF!</v>
      </c>
      <c r="GR36" t="e">
        <f>AND(Liste!#REF!,"AAAAAHrv/8c=")</f>
        <v>#REF!</v>
      </c>
      <c r="GS36" t="e">
        <f>AND(Liste!#REF!,"AAAAAHrv/8g=")</f>
        <v>#REF!</v>
      </c>
      <c r="GT36" t="e">
        <f>AND(Liste!#REF!,"AAAAAHrv/8k=")</f>
        <v>#REF!</v>
      </c>
      <c r="GU36" t="e">
        <f>AND(Liste!#REF!,"AAAAAHrv/8o=")</f>
        <v>#REF!</v>
      </c>
      <c r="GV36" t="e">
        <f>AND(Liste!#REF!,"AAAAAHrv/8s=")</f>
        <v>#REF!</v>
      </c>
      <c r="GW36" t="e">
        <f>AND(Liste!#REF!,"AAAAAHrv/8w=")</f>
        <v>#REF!</v>
      </c>
      <c r="GX36" t="e">
        <f>AND(Liste!#REF!,"AAAAAHrv/80=")</f>
        <v>#REF!</v>
      </c>
      <c r="GY36" t="e">
        <f>AND(Liste!#REF!,"AAAAAHrv/84=")</f>
        <v>#REF!</v>
      </c>
      <c r="GZ36" t="e">
        <f>AND(Liste!#REF!,"AAAAAHrv/88=")</f>
        <v>#REF!</v>
      </c>
      <c r="HA36" t="e">
        <f>AND(Liste!#REF!,"AAAAAHrv/9A=")</f>
        <v>#REF!</v>
      </c>
      <c r="HB36" t="e">
        <f>AND(Liste!#REF!,"AAAAAHrv/9E=")</f>
        <v>#REF!</v>
      </c>
      <c r="HC36" t="e">
        <f>AND(Liste!#REF!,"AAAAAHrv/9I=")</f>
        <v>#REF!</v>
      </c>
      <c r="HD36" t="e">
        <f>AND(Liste!#REF!,"AAAAAHrv/9M=")</f>
        <v>#REF!</v>
      </c>
      <c r="HE36" t="e">
        <f>AND(Liste!#REF!,"AAAAAHrv/9Q=")</f>
        <v>#REF!</v>
      </c>
      <c r="HF36" t="e">
        <f>AND(Liste!#REF!,"AAAAAHrv/9U=")</f>
        <v>#REF!</v>
      </c>
      <c r="HG36" t="e">
        <f>AND(Liste!#REF!,"AAAAAHrv/9Y=")</f>
        <v>#REF!</v>
      </c>
      <c r="HH36" t="e">
        <f>AND(Liste!#REF!,"AAAAAHrv/9c=")</f>
        <v>#REF!</v>
      </c>
      <c r="HI36">
        <f>IF(Liste!276:276,"AAAAAHrv/9g=",0)</f>
        <v>0</v>
      </c>
      <c r="HJ36" t="b">
        <f>AND(Liste!A276,"AAAAAHrv/9k=")</f>
        <v>1</v>
      </c>
      <c r="HK36" t="e">
        <f>AND(Liste!#REF!,"AAAAAHrv/9o=")</f>
        <v>#REF!</v>
      </c>
      <c r="HL36" t="e">
        <f>AND(Liste!#REF!,"AAAAAHrv/9s=")</f>
        <v>#REF!</v>
      </c>
      <c r="HM36" t="e">
        <f>AND(Liste!#REF!,"AAAAAHrv/9w=")</f>
        <v>#REF!</v>
      </c>
      <c r="HN36" t="e">
        <f>AND(Liste!F332,"AAAAAHrv/90=")</f>
        <v>#VALUE!</v>
      </c>
      <c r="HO36" t="e">
        <f>AND(Liste!G332,"AAAAAHrv/94=")</f>
        <v>#VALUE!</v>
      </c>
      <c r="HP36" t="e">
        <f>AND(Liste!H332,"AAAAAHrv/98=")</f>
        <v>#VALUE!</v>
      </c>
      <c r="HQ36" t="e">
        <f>AND(Liste!I332,"AAAAAHrv/+A=")</f>
        <v>#VALUE!</v>
      </c>
      <c r="HR36" t="e">
        <f>AND(Liste!J332,"AAAAAHrv/+E=")</f>
        <v>#VALUE!</v>
      </c>
      <c r="HS36" t="e">
        <f>AND(Liste!#REF!,"AAAAAHrv/+I=")</f>
        <v>#REF!</v>
      </c>
      <c r="HT36" t="e">
        <f>AND(Liste!#REF!,"AAAAAHrv/+M=")</f>
        <v>#REF!</v>
      </c>
      <c r="HU36" t="e">
        <f>AND(Liste!#REF!,"AAAAAHrv/+Q=")</f>
        <v>#REF!</v>
      </c>
      <c r="HV36" t="e">
        <f>AND(Liste!#REF!,"AAAAAHrv/+U=")</f>
        <v>#REF!</v>
      </c>
      <c r="HW36" t="e">
        <f>AND(Liste!#REF!,"AAAAAHrv/+Y=")</f>
        <v>#REF!</v>
      </c>
      <c r="HX36" t="e">
        <f>AND(Liste!#REF!,"AAAAAHrv/+c=")</f>
        <v>#REF!</v>
      </c>
      <c r="HY36" t="e">
        <f>AND(Liste!#REF!,"AAAAAHrv/+g=")</f>
        <v>#REF!</v>
      </c>
      <c r="HZ36" t="e">
        <f>AND(Liste!#REF!,"AAAAAHrv/+k=")</f>
        <v>#REF!</v>
      </c>
      <c r="IA36" t="e">
        <f>AND(Liste!#REF!,"AAAAAHrv/+o=")</f>
        <v>#REF!</v>
      </c>
      <c r="IB36" t="e">
        <f>AND(Liste!#REF!,"AAAAAHrv/+s=")</f>
        <v>#REF!</v>
      </c>
      <c r="IC36" t="e">
        <f>AND(Liste!#REF!,"AAAAAHrv/+w=")</f>
        <v>#REF!</v>
      </c>
      <c r="ID36" t="e">
        <f>AND(Liste!#REF!,"AAAAAHrv/+0=")</f>
        <v>#REF!</v>
      </c>
      <c r="IE36" t="e">
        <f>AND(Liste!#REF!,"AAAAAHrv/+4=")</f>
        <v>#REF!</v>
      </c>
      <c r="IF36" t="e">
        <f>AND(Liste!#REF!,"AAAAAHrv/+8=")</f>
        <v>#REF!</v>
      </c>
      <c r="IG36" t="e">
        <f>AND(Liste!#REF!,"AAAAAHrv//A=")</f>
        <v>#REF!</v>
      </c>
      <c r="IH36" t="e">
        <f>AND(Liste!#REF!,"AAAAAHrv//E=")</f>
        <v>#REF!</v>
      </c>
      <c r="II36" t="e">
        <f>AND(Liste!#REF!,"AAAAAHrv//I=")</f>
        <v>#REF!</v>
      </c>
      <c r="IJ36" t="e">
        <f>AND(Liste!#REF!,"AAAAAHrv//M=")</f>
        <v>#REF!</v>
      </c>
      <c r="IK36" t="e">
        <f>AND(Liste!#REF!,"AAAAAHrv//Q=")</f>
        <v>#REF!</v>
      </c>
      <c r="IL36" t="e">
        <f>AND(Liste!#REF!,"AAAAAHrv//U=")</f>
        <v>#REF!</v>
      </c>
      <c r="IM36" t="e">
        <f>AND(Liste!#REF!,"AAAAAHrv//Y=")</f>
        <v>#REF!</v>
      </c>
      <c r="IN36">
        <f>IF(Liste!277:277,"AAAAAHrv//c=",0)</f>
        <v>0</v>
      </c>
      <c r="IO36" t="b">
        <f>AND(Liste!A277,"AAAAAHrv//g=")</f>
        <v>1</v>
      </c>
      <c r="IP36" t="e">
        <f>AND(Liste!#REF!,"AAAAAHrv//k=")</f>
        <v>#REF!</v>
      </c>
      <c r="IQ36" t="e">
        <f>AND(Liste!#REF!,"AAAAAHrv//o=")</f>
        <v>#REF!</v>
      </c>
      <c r="IR36" t="e">
        <f>AND(Liste!#REF!,"AAAAAHrv//s=")</f>
        <v>#REF!</v>
      </c>
      <c r="IS36" t="e">
        <f>AND(Liste!F333,"AAAAAHrv//w=")</f>
        <v>#VALUE!</v>
      </c>
      <c r="IT36" t="e">
        <f>AND(Liste!G333,"AAAAAHrv//0=")</f>
        <v>#VALUE!</v>
      </c>
      <c r="IU36" t="e">
        <f>AND(Liste!H333,"AAAAAHrv//4=")</f>
        <v>#VALUE!</v>
      </c>
      <c r="IV36" t="e">
        <f>AND(Liste!I333,"AAAAAHrv//8=")</f>
        <v>#VALUE!</v>
      </c>
    </row>
    <row r="37" spans="1:256" x14ac:dyDescent="0.2">
      <c r="A37" t="e">
        <f>AND(Liste!J333,"AAAAAH/b3AA=")</f>
        <v>#VALUE!</v>
      </c>
      <c r="B37" t="e">
        <f>AND(Liste!#REF!,"AAAAAH/b3AE=")</f>
        <v>#REF!</v>
      </c>
      <c r="C37" t="e">
        <f>AND(Liste!#REF!,"AAAAAH/b3AI=")</f>
        <v>#REF!</v>
      </c>
      <c r="D37" t="e">
        <f>AND(Liste!#REF!,"AAAAAH/b3AM=")</f>
        <v>#REF!</v>
      </c>
      <c r="E37" t="e">
        <f>AND(Liste!#REF!,"AAAAAH/b3AQ=")</f>
        <v>#REF!</v>
      </c>
      <c r="F37" t="e">
        <f>AND(Liste!#REF!,"AAAAAH/b3AU=")</f>
        <v>#REF!</v>
      </c>
      <c r="G37" t="e">
        <f>AND(Liste!#REF!,"AAAAAH/b3AY=")</f>
        <v>#REF!</v>
      </c>
      <c r="H37" t="e">
        <f>AND(Liste!#REF!,"AAAAAH/b3Ac=")</f>
        <v>#REF!</v>
      </c>
      <c r="I37" t="e">
        <f>AND(Liste!#REF!,"AAAAAH/b3Ag=")</f>
        <v>#REF!</v>
      </c>
      <c r="J37" t="e">
        <f>AND(Liste!#REF!,"AAAAAH/b3Ak=")</f>
        <v>#REF!</v>
      </c>
      <c r="K37" t="e">
        <f>AND(Liste!#REF!,"AAAAAH/b3Ao=")</f>
        <v>#REF!</v>
      </c>
      <c r="L37" t="e">
        <f>AND(Liste!#REF!,"AAAAAH/b3As=")</f>
        <v>#REF!</v>
      </c>
      <c r="M37" t="e">
        <f>AND(Liste!#REF!,"AAAAAH/b3Aw=")</f>
        <v>#REF!</v>
      </c>
      <c r="N37" t="e">
        <f>AND(Liste!#REF!,"AAAAAH/b3A0=")</f>
        <v>#REF!</v>
      </c>
      <c r="O37" t="e">
        <f>AND(Liste!#REF!,"AAAAAH/b3A4=")</f>
        <v>#REF!</v>
      </c>
      <c r="P37" t="e">
        <f>AND(Liste!#REF!,"AAAAAH/b3A8=")</f>
        <v>#REF!</v>
      </c>
      <c r="Q37" t="e">
        <f>AND(Liste!#REF!,"AAAAAH/b3BA=")</f>
        <v>#REF!</v>
      </c>
      <c r="R37" t="e">
        <f>AND(Liste!#REF!,"AAAAAH/b3BE=")</f>
        <v>#REF!</v>
      </c>
      <c r="S37" t="e">
        <f>AND(Liste!#REF!,"AAAAAH/b3BI=")</f>
        <v>#REF!</v>
      </c>
      <c r="T37" t="e">
        <f>AND(Liste!#REF!,"AAAAAH/b3BM=")</f>
        <v>#REF!</v>
      </c>
      <c r="U37" t="e">
        <f>AND(Liste!#REF!,"AAAAAH/b3BQ=")</f>
        <v>#REF!</v>
      </c>
      <c r="V37" t="e">
        <f>AND(Liste!#REF!,"AAAAAH/b3BU=")</f>
        <v>#REF!</v>
      </c>
      <c r="W37" t="e">
        <f>IF(Liste!#REF!,"AAAAAH/b3BY=",0)</f>
        <v>#REF!</v>
      </c>
      <c r="X37" t="e">
        <f>AND(Liste!#REF!,"AAAAAH/b3Bc=")</f>
        <v>#REF!</v>
      </c>
      <c r="Y37" t="e">
        <f>AND(Liste!#REF!,"AAAAAH/b3Bg=")</f>
        <v>#REF!</v>
      </c>
      <c r="Z37" t="e">
        <f>AND(Liste!#REF!,"AAAAAH/b3Bk=")</f>
        <v>#REF!</v>
      </c>
      <c r="AA37" t="e">
        <f>AND(Liste!#REF!,"AAAAAH/b3Bo=")</f>
        <v>#REF!</v>
      </c>
      <c r="AB37" t="e">
        <f>AND(Liste!#REF!,"AAAAAH/b3Bs=")</f>
        <v>#REF!</v>
      </c>
      <c r="AC37" t="e">
        <f>AND(Liste!#REF!,"AAAAAH/b3Bw=")</f>
        <v>#REF!</v>
      </c>
      <c r="AD37" t="e">
        <f>AND(Liste!#REF!,"AAAAAH/b3B0=")</f>
        <v>#REF!</v>
      </c>
      <c r="AE37" t="e">
        <f>AND(Liste!#REF!,"AAAAAH/b3B4=")</f>
        <v>#REF!</v>
      </c>
      <c r="AF37" t="e">
        <f>AND(Liste!#REF!,"AAAAAH/b3B8=")</f>
        <v>#REF!</v>
      </c>
      <c r="AG37" t="e">
        <f>AND(Liste!#REF!,"AAAAAH/b3CA=")</f>
        <v>#REF!</v>
      </c>
      <c r="AH37" t="e">
        <f>AND(Liste!#REF!,"AAAAAH/b3CE=")</f>
        <v>#REF!</v>
      </c>
      <c r="AI37" t="e">
        <f>AND(Liste!#REF!,"AAAAAH/b3CI=")</f>
        <v>#REF!</v>
      </c>
      <c r="AJ37" t="e">
        <f>AND(Liste!#REF!,"AAAAAH/b3CM=")</f>
        <v>#REF!</v>
      </c>
      <c r="AK37" t="e">
        <f>AND(Liste!#REF!,"AAAAAH/b3CQ=")</f>
        <v>#REF!</v>
      </c>
      <c r="AL37" t="e">
        <f>AND(Liste!#REF!,"AAAAAH/b3CU=")</f>
        <v>#REF!</v>
      </c>
      <c r="AM37" t="e">
        <f>AND(Liste!#REF!,"AAAAAH/b3CY=")</f>
        <v>#REF!</v>
      </c>
      <c r="AN37" t="e">
        <f>AND(Liste!#REF!,"AAAAAH/b3Cc=")</f>
        <v>#REF!</v>
      </c>
      <c r="AO37" t="e">
        <f>AND(Liste!#REF!,"AAAAAH/b3Cg=")</f>
        <v>#REF!</v>
      </c>
      <c r="AP37" t="e">
        <f>AND(Liste!#REF!,"AAAAAH/b3Ck=")</f>
        <v>#REF!</v>
      </c>
      <c r="AQ37" t="e">
        <f>AND(Liste!#REF!,"AAAAAH/b3Co=")</f>
        <v>#REF!</v>
      </c>
      <c r="AR37" t="e">
        <f>AND(Liste!#REF!,"AAAAAH/b3Cs=")</f>
        <v>#REF!</v>
      </c>
      <c r="AS37" t="e">
        <f>AND(Liste!#REF!,"AAAAAH/b3Cw=")</f>
        <v>#REF!</v>
      </c>
      <c r="AT37" t="e">
        <f>AND(Liste!#REF!,"AAAAAH/b3C0=")</f>
        <v>#REF!</v>
      </c>
      <c r="AU37" t="e">
        <f>AND(Liste!#REF!,"AAAAAH/b3C4=")</f>
        <v>#REF!</v>
      </c>
      <c r="AV37" t="e">
        <f>AND(Liste!#REF!,"AAAAAH/b3C8=")</f>
        <v>#REF!</v>
      </c>
      <c r="AW37" t="e">
        <f>AND(Liste!#REF!,"AAAAAH/b3DA=")</f>
        <v>#REF!</v>
      </c>
      <c r="AX37" t="e">
        <f>AND(Liste!#REF!,"AAAAAH/b3DE=")</f>
        <v>#REF!</v>
      </c>
      <c r="AY37" t="e">
        <f>AND(Liste!#REF!,"AAAAAH/b3DI=")</f>
        <v>#REF!</v>
      </c>
      <c r="AZ37" t="e">
        <f>AND(Liste!#REF!,"AAAAAH/b3DM=")</f>
        <v>#REF!</v>
      </c>
      <c r="BA37" t="e">
        <f>AND(Liste!#REF!,"AAAAAH/b3DQ=")</f>
        <v>#REF!</v>
      </c>
      <c r="BB37" t="e">
        <f>IF(Liste!#REF!,"AAAAAH/b3DU=",0)</f>
        <v>#REF!</v>
      </c>
      <c r="BC37" t="e">
        <f>AND(Liste!#REF!,"AAAAAH/b3DY=")</f>
        <v>#REF!</v>
      </c>
      <c r="BD37" t="e">
        <f>AND(Liste!#REF!,"AAAAAH/b3Dc=")</f>
        <v>#REF!</v>
      </c>
      <c r="BE37" t="e">
        <f>AND(Liste!#REF!,"AAAAAH/b3Dg=")</f>
        <v>#REF!</v>
      </c>
      <c r="BF37" t="e">
        <f>AND(Liste!#REF!,"AAAAAH/b3Dk=")</f>
        <v>#REF!</v>
      </c>
      <c r="BG37" t="e">
        <f>AND(Liste!#REF!,"AAAAAH/b3Do=")</f>
        <v>#REF!</v>
      </c>
      <c r="BH37" t="e">
        <f>AND(Liste!#REF!,"AAAAAH/b3Ds=")</f>
        <v>#REF!</v>
      </c>
      <c r="BI37" t="e">
        <f>AND(Liste!#REF!,"AAAAAH/b3Dw=")</f>
        <v>#REF!</v>
      </c>
      <c r="BJ37" t="e">
        <f>AND(Liste!#REF!,"AAAAAH/b3D0=")</f>
        <v>#REF!</v>
      </c>
      <c r="BK37" t="e">
        <f>AND(Liste!#REF!,"AAAAAH/b3D4=")</f>
        <v>#REF!</v>
      </c>
      <c r="BL37" t="e">
        <f>AND(Liste!#REF!,"AAAAAH/b3D8=")</f>
        <v>#REF!</v>
      </c>
      <c r="BM37" t="e">
        <f>AND(Liste!#REF!,"AAAAAH/b3EA=")</f>
        <v>#REF!</v>
      </c>
      <c r="BN37" t="e">
        <f>AND(Liste!#REF!,"AAAAAH/b3EE=")</f>
        <v>#REF!</v>
      </c>
      <c r="BO37" t="e">
        <f>AND(Liste!#REF!,"AAAAAH/b3EI=")</f>
        <v>#REF!</v>
      </c>
      <c r="BP37" t="e">
        <f>AND(Liste!#REF!,"AAAAAH/b3EM=")</f>
        <v>#REF!</v>
      </c>
      <c r="BQ37" t="e">
        <f>AND(Liste!#REF!,"AAAAAH/b3EQ=")</f>
        <v>#REF!</v>
      </c>
      <c r="BR37" t="e">
        <f>AND(Liste!#REF!,"AAAAAH/b3EU=")</f>
        <v>#REF!</v>
      </c>
      <c r="BS37" t="e">
        <f>AND(Liste!#REF!,"AAAAAH/b3EY=")</f>
        <v>#REF!</v>
      </c>
      <c r="BT37" t="e">
        <f>AND(Liste!#REF!,"AAAAAH/b3Ec=")</f>
        <v>#REF!</v>
      </c>
      <c r="BU37" t="e">
        <f>AND(Liste!#REF!,"AAAAAH/b3Eg=")</f>
        <v>#REF!</v>
      </c>
      <c r="BV37" t="e">
        <f>AND(Liste!#REF!,"AAAAAH/b3Ek=")</f>
        <v>#REF!</v>
      </c>
      <c r="BW37" t="e">
        <f>AND(Liste!#REF!,"AAAAAH/b3Eo=")</f>
        <v>#REF!</v>
      </c>
      <c r="BX37" t="e">
        <f>AND(Liste!#REF!,"AAAAAH/b3Es=")</f>
        <v>#REF!</v>
      </c>
      <c r="BY37" t="e">
        <f>AND(Liste!#REF!,"AAAAAH/b3Ew=")</f>
        <v>#REF!</v>
      </c>
      <c r="BZ37" t="e">
        <f>AND(Liste!#REF!,"AAAAAH/b3E0=")</f>
        <v>#REF!</v>
      </c>
      <c r="CA37" t="e">
        <f>AND(Liste!#REF!,"AAAAAH/b3E4=")</f>
        <v>#REF!</v>
      </c>
      <c r="CB37" t="e">
        <f>AND(Liste!#REF!,"AAAAAH/b3E8=")</f>
        <v>#REF!</v>
      </c>
      <c r="CC37" t="e">
        <f>AND(Liste!#REF!,"AAAAAH/b3FA=")</f>
        <v>#REF!</v>
      </c>
      <c r="CD37" t="e">
        <f>AND(Liste!#REF!,"AAAAAH/b3FE=")</f>
        <v>#REF!</v>
      </c>
      <c r="CE37" t="e">
        <f>AND(Liste!#REF!,"AAAAAH/b3FI=")</f>
        <v>#REF!</v>
      </c>
      <c r="CF37" t="e">
        <f>AND(Liste!#REF!,"AAAAAH/b3FM=")</f>
        <v>#REF!</v>
      </c>
      <c r="CG37" t="e">
        <f>IF(Liste!#REF!,"AAAAAH/b3FQ=",0)</f>
        <v>#REF!</v>
      </c>
      <c r="CH37" t="e">
        <f>AND(Liste!#REF!,"AAAAAH/b3FU=")</f>
        <v>#REF!</v>
      </c>
      <c r="CI37" t="e">
        <f>AND(Liste!#REF!,"AAAAAH/b3FY=")</f>
        <v>#REF!</v>
      </c>
      <c r="CJ37" t="e">
        <f>AND(Liste!#REF!,"AAAAAH/b3Fc=")</f>
        <v>#REF!</v>
      </c>
      <c r="CK37" t="e">
        <f>AND(Liste!#REF!,"AAAAAH/b3Fg=")</f>
        <v>#REF!</v>
      </c>
      <c r="CL37" t="e">
        <f>AND(Liste!#REF!,"AAAAAH/b3Fk=")</f>
        <v>#REF!</v>
      </c>
      <c r="CM37" t="e">
        <f>AND(Liste!#REF!,"AAAAAH/b3Fo=")</f>
        <v>#REF!</v>
      </c>
      <c r="CN37" t="e">
        <f>AND(Liste!#REF!,"AAAAAH/b3Fs=")</f>
        <v>#REF!</v>
      </c>
      <c r="CO37" t="e">
        <f>AND(Liste!#REF!,"AAAAAH/b3Fw=")</f>
        <v>#REF!</v>
      </c>
      <c r="CP37" t="e">
        <f>AND(Liste!#REF!,"AAAAAH/b3F0=")</f>
        <v>#REF!</v>
      </c>
      <c r="CQ37" t="e">
        <f>AND(Liste!#REF!,"AAAAAH/b3F4=")</f>
        <v>#REF!</v>
      </c>
      <c r="CR37" t="e">
        <f>AND(Liste!#REF!,"AAAAAH/b3F8=")</f>
        <v>#REF!</v>
      </c>
      <c r="CS37" t="e">
        <f>AND(Liste!#REF!,"AAAAAH/b3GA=")</f>
        <v>#REF!</v>
      </c>
      <c r="CT37" t="e">
        <f>AND(Liste!#REF!,"AAAAAH/b3GE=")</f>
        <v>#REF!</v>
      </c>
      <c r="CU37" t="e">
        <f>AND(Liste!#REF!,"AAAAAH/b3GI=")</f>
        <v>#REF!</v>
      </c>
      <c r="CV37" t="e">
        <f>AND(Liste!#REF!,"AAAAAH/b3GM=")</f>
        <v>#REF!</v>
      </c>
      <c r="CW37" t="e">
        <f>AND(Liste!#REF!,"AAAAAH/b3GQ=")</f>
        <v>#REF!</v>
      </c>
      <c r="CX37" t="e">
        <f>AND(Liste!#REF!,"AAAAAH/b3GU=")</f>
        <v>#REF!</v>
      </c>
      <c r="CY37" t="e">
        <f>AND(Liste!#REF!,"AAAAAH/b3GY=")</f>
        <v>#REF!</v>
      </c>
      <c r="CZ37" t="e">
        <f>AND(Liste!#REF!,"AAAAAH/b3Gc=")</f>
        <v>#REF!</v>
      </c>
      <c r="DA37" t="e">
        <f>AND(Liste!#REF!,"AAAAAH/b3Gg=")</f>
        <v>#REF!</v>
      </c>
      <c r="DB37" t="e">
        <f>AND(Liste!#REF!,"AAAAAH/b3Gk=")</f>
        <v>#REF!</v>
      </c>
      <c r="DC37" t="e">
        <f>AND(Liste!#REF!,"AAAAAH/b3Go=")</f>
        <v>#REF!</v>
      </c>
      <c r="DD37" t="e">
        <f>AND(Liste!#REF!,"AAAAAH/b3Gs=")</f>
        <v>#REF!</v>
      </c>
      <c r="DE37" t="e">
        <f>AND(Liste!#REF!,"AAAAAH/b3Gw=")</f>
        <v>#REF!</v>
      </c>
      <c r="DF37" t="e">
        <f>AND(Liste!#REF!,"AAAAAH/b3G0=")</f>
        <v>#REF!</v>
      </c>
      <c r="DG37" t="e">
        <f>AND(Liste!#REF!,"AAAAAH/b3G4=")</f>
        <v>#REF!</v>
      </c>
      <c r="DH37" t="e">
        <f>AND(Liste!#REF!,"AAAAAH/b3G8=")</f>
        <v>#REF!</v>
      </c>
      <c r="DI37" t="e">
        <f>AND(Liste!#REF!,"AAAAAH/b3HA=")</f>
        <v>#REF!</v>
      </c>
      <c r="DJ37" t="e">
        <f>AND(Liste!#REF!,"AAAAAH/b3HE=")</f>
        <v>#REF!</v>
      </c>
      <c r="DK37" t="e">
        <f>AND(Liste!#REF!,"AAAAAH/b3HI=")</f>
        <v>#REF!</v>
      </c>
      <c r="DL37" t="e">
        <f>IF(Liste!#REF!,"AAAAAH/b3HM=",0)</f>
        <v>#REF!</v>
      </c>
      <c r="DM37" t="e">
        <f>AND(Liste!#REF!,"AAAAAH/b3HQ=")</f>
        <v>#REF!</v>
      </c>
      <c r="DN37" t="e">
        <f>AND(Liste!#REF!,"AAAAAH/b3HU=")</f>
        <v>#REF!</v>
      </c>
      <c r="DO37" t="e">
        <f>AND(Liste!#REF!,"AAAAAH/b3HY=")</f>
        <v>#REF!</v>
      </c>
      <c r="DP37" t="e">
        <f>AND(Liste!#REF!,"AAAAAH/b3Hc=")</f>
        <v>#REF!</v>
      </c>
      <c r="DQ37" t="e">
        <f>AND(Liste!#REF!,"AAAAAH/b3Hg=")</f>
        <v>#REF!</v>
      </c>
      <c r="DR37" t="e">
        <f>AND(Liste!#REF!,"AAAAAH/b3Hk=")</f>
        <v>#REF!</v>
      </c>
      <c r="DS37" t="e">
        <f>AND(Liste!#REF!,"AAAAAH/b3Ho=")</f>
        <v>#REF!</v>
      </c>
      <c r="DT37" t="e">
        <f>AND(Liste!#REF!,"AAAAAH/b3Hs=")</f>
        <v>#REF!</v>
      </c>
      <c r="DU37" t="e">
        <f>AND(Liste!#REF!,"AAAAAH/b3Hw=")</f>
        <v>#REF!</v>
      </c>
      <c r="DV37" t="e">
        <f>AND(Liste!#REF!,"AAAAAH/b3H0=")</f>
        <v>#REF!</v>
      </c>
      <c r="DW37" t="e">
        <f>AND(Liste!#REF!,"AAAAAH/b3H4=")</f>
        <v>#REF!</v>
      </c>
      <c r="DX37" t="e">
        <f>AND(Liste!#REF!,"AAAAAH/b3H8=")</f>
        <v>#REF!</v>
      </c>
      <c r="DY37" t="e">
        <f>AND(Liste!#REF!,"AAAAAH/b3IA=")</f>
        <v>#REF!</v>
      </c>
      <c r="DZ37" t="e">
        <f>AND(Liste!#REF!,"AAAAAH/b3IE=")</f>
        <v>#REF!</v>
      </c>
      <c r="EA37" t="e">
        <f>AND(Liste!#REF!,"AAAAAH/b3II=")</f>
        <v>#REF!</v>
      </c>
      <c r="EB37" t="e">
        <f>AND(Liste!#REF!,"AAAAAH/b3IM=")</f>
        <v>#REF!</v>
      </c>
      <c r="EC37" t="e">
        <f>AND(Liste!#REF!,"AAAAAH/b3IQ=")</f>
        <v>#REF!</v>
      </c>
      <c r="ED37" t="e">
        <f>AND(Liste!#REF!,"AAAAAH/b3IU=")</f>
        <v>#REF!</v>
      </c>
      <c r="EE37" t="e">
        <f>AND(Liste!#REF!,"AAAAAH/b3IY=")</f>
        <v>#REF!</v>
      </c>
      <c r="EF37" t="e">
        <f>AND(Liste!#REF!,"AAAAAH/b3Ic=")</f>
        <v>#REF!</v>
      </c>
      <c r="EG37" t="e">
        <f>AND(Liste!#REF!,"AAAAAH/b3Ig=")</f>
        <v>#REF!</v>
      </c>
      <c r="EH37" t="e">
        <f>AND(Liste!#REF!,"AAAAAH/b3Ik=")</f>
        <v>#REF!</v>
      </c>
      <c r="EI37" t="e">
        <f>AND(Liste!#REF!,"AAAAAH/b3Io=")</f>
        <v>#REF!</v>
      </c>
      <c r="EJ37" t="e">
        <f>AND(Liste!#REF!,"AAAAAH/b3Is=")</f>
        <v>#REF!</v>
      </c>
      <c r="EK37" t="e">
        <f>AND(Liste!#REF!,"AAAAAH/b3Iw=")</f>
        <v>#REF!</v>
      </c>
      <c r="EL37" t="e">
        <f>AND(Liste!#REF!,"AAAAAH/b3I0=")</f>
        <v>#REF!</v>
      </c>
      <c r="EM37" t="e">
        <f>AND(Liste!#REF!,"AAAAAH/b3I4=")</f>
        <v>#REF!</v>
      </c>
      <c r="EN37" t="e">
        <f>AND(Liste!#REF!,"AAAAAH/b3I8=")</f>
        <v>#REF!</v>
      </c>
      <c r="EO37" t="e">
        <f>AND(Liste!#REF!,"AAAAAH/b3JA=")</f>
        <v>#REF!</v>
      </c>
      <c r="EP37" t="e">
        <f>AND(Liste!#REF!,"AAAAAH/b3JE=")</f>
        <v>#REF!</v>
      </c>
      <c r="EQ37" t="e">
        <f>IF(Liste!#REF!,"AAAAAH/b3JI=",0)</f>
        <v>#REF!</v>
      </c>
      <c r="ER37" t="e">
        <f>AND(Liste!#REF!,"AAAAAH/b3JM=")</f>
        <v>#REF!</v>
      </c>
      <c r="ES37" t="e">
        <f>AND(Liste!#REF!,"AAAAAH/b3JQ=")</f>
        <v>#REF!</v>
      </c>
      <c r="ET37" t="e">
        <f>AND(Liste!#REF!,"AAAAAH/b3JU=")</f>
        <v>#REF!</v>
      </c>
      <c r="EU37" t="e">
        <f>AND(Liste!#REF!,"AAAAAH/b3JY=")</f>
        <v>#REF!</v>
      </c>
      <c r="EV37" t="e">
        <f>AND(Liste!#REF!,"AAAAAH/b3Jc=")</f>
        <v>#REF!</v>
      </c>
      <c r="EW37" t="e">
        <f>AND(Liste!#REF!,"AAAAAH/b3Jg=")</f>
        <v>#REF!</v>
      </c>
      <c r="EX37" t="e">
        <f>AND(Liste!#REF!,"AAAAAH/b3Jk=")</f>
        <v>#REF!</v>
      </c>
      <c r="EY37" t="e">
        <f>AND(Liste!#REF!,"AAAAAH/b3Jo=")</f>
        <v>#REF!</v>
      </c>
      <c r="EZ37" t="e">
        <f>AND(Liste!#REF!,"AAAAAH/b3Js=")</f>
        <v>#REF!</v>
      </c>
      <c r="FA37" t="e">
        <f>AND(Liste!#REF!,"AAAAAH/b3Jw=")</f>
        <v>#REF!</v>
      </c>
      <c r="FB37" t="e">
        <f>AND(Liste!#REF!,"AAAAAH/b3J0=")</f>
        <v>#REF!</v>
      </c>
      <c r="FC37" t="e">
        <f>AND(Liste!#REF!,"AAAAAH/b3J4=")</f>
        <v>#REF!</v>
      </c>
      <c r="FD37" t="e">
        <f>AND(Liste!#REF!,"AAAAAH/b3J8=")</f>
        <v>#REF!</v>
      </c>
      <c r="FE37" t="e">
        <f>AND(Liste!#REF!,"AAAAAH/b3KA=")</f>
        <v>#REF!</v>
      </c>
      <c r="FF37" t="e">
        <f>AND(Liste!#REF!,"AAAAAH/b3KE=")</f>
        <v>#REF!</v>
      </c>
      <c r="FG37" t="e">
        <f>AND(Liste!#REF!,"AAAAAH/b3KI=")</f>
        <v>#REF!</v>
      </c>
      <c r="FH37" t="e">
        <f>AND(Liste!#REF!,"AAAAAH/b3KM=")</f>
        <v>#REF!</v>
      </c>
      <c r="FI37" t="e">
        <f>AND(Liste!#REF!,"AAAAAH/b3KQ=")</f>
        <v>#REF!</v>
      </c>
      <c r="FJ37" t="e">
        <f>AND(Liste!#REF!,"AAAAAH/b3KU=")</f>
        <v>#REF!</v>
      </c>
      <c r="FK37" t="e">
        <f>AND(Liste!#REF!,"AAAAAH/b3KY=")</f>
        <v>#REF!</v>
      </c>
      <c r="FL37" t="e">
        <f>AND(Liste!#REF!,"AAAAAH/b3Kc=")</f>
        <v>#REF!</v>
      </c>
      <c r="FM37" t="e">
        <f>AND(Liste!#REF!,"AAAAAH/b3Kg=")</f>
        <v>#REF!</v>
      </c>
      <c r="FN37" t="e">
        <f>AND(Liste!#REF!,"AAAAAH/b3Kk=")</f>
        <v>#REF!</v>
      </c>
      <c r="FO37" t="e">
        <f>AND(Liste!#REF!,"AAAAAH/b3Ko=")</f>
        <v>#REF!</v>
      </c>
      <c r="FP37" t="e">
        <f>AND(Liste!#REF!,"AAAAAH/b3Ks=")</f>
        <v>#REF!</v>
      </c>
      <c r="FQ37" t="e">
        <f>AND(Liste!#REF!,"AAAAAH/b3Kw=")</f>
        <v>#REF!</v>
      </c>
      <c r="FR37" t="e">
        <f>AND(Liste!#REF!,"AAAAAH/b3K0=")</f>
        <v>#REF!</v>
      </c>
      <c r="FS37" t="e">
        <f>AND(Liste!#REF!,"AAAAAH/b3K4=")</f>
        <v>#REF!</v>
      </c>
      <c r="FT37" t="e">
        <f>AND(Liste!#REF!,"AAAAAH/b3K8=")</f>
        <v>#REF!</v>
      </c>
      <c r="FU37" t="e">
        <f>AND(Liste!#REF!,"AAAAAH/b3LA=")</f>
        <v>#REF!</v>
      </c>
      <c r="FV37" t="e">
        <f>IF(Liste!#REF!,"AAAAAH/b3LE=",0)</f>
        <v>#REF!</v>
      </c>
      <c r="FW37" t="e">
        <f>AND(Liste!#REF!,"AAAAAH/b3LI=")</f>
        <v>#REF!</v>
      </c>
      <c r="FX37" t="e">
        <f>AND(Liste!#REF!,"AAAAAH/b3LM=")</f>
        <v>#REF!</v>
      </c>
      <c r="FY37" t="e">
        <f>AND(Liste!#REF!,"AAAAAH/b3LQ=")</f>
        <v>#REF!</v>
      </c>
      <c r="FZ37" t="e">
        <f>AND(Liste!#REF!,"AAAAAH/b3LU=")</f>
        <v>#REF!</v>
      </c>
      <c r="GA37" t="e">
        <f>AND(Liste!#REF!,"AAAAAH/b3LY=")</f>
        <v>#REF!</v>
      </c>
      <c r="GB37" t="e">
        <f>AND(Liste!#REF!,"AAAAAH/b3Lc=")</f>
        <v>#REF!</v>
      </c>
      <c r="GC37" t="e">
        <f>AND(Liste!#REF!,"AAAAAH/b3Lg=")</f>
        <v>#REF!</v>
      </c>
      <c r="GD37" t="e">
        <f>AND(Liste!#REF!,"AAAAAH/b3Lk=")</f>
        <v>#REF!</v>
      </c>
      <c r="GE37" t="e">
        <f>AND(Liste!#REF!,"AAAAAH/b3Lo=")</f>
        <v>#REF!</v>
      </c>
      <c r="GF37" t="e">
        <f>AND(Liste!#REF!,"AAAAAH/b3Ls=")</f>
        <v>#REF!</v>
      </c>
      <c r="GG37" t="e">
        <f>AND(Liste!#REF!,"AAAAAH/b3Lw=")</f>
        <v>#REF!</v>
      </c>
      <c r="GH37" t="e">
        <f>AND(Liste!#REF!,"AAAAAH/b3L0=")</f>
        <v>#REF!</v>
      </c>
      <c r="GI37" t="e">
        <f>AND(Liste!#REF!,"AAAAAH/b3L4=")</f>
        <v>#REF!</v>
      </c>
      <c r="GJ37" t="e">
        <f>AND(Liste!#REF!,"AAAAAH/b3L8=")</f>
        <v>#REF!</v>
      </c>
      <c r="GK37" t="e">
        <f>AND(Liste!#REF!,"AAAAAH/b3MA=")</f>
        <v>#REF!</v>
      </c>
      <c r="GL37" t="e">
        <f>AND(Liste!#REF!,"AAAAAH/b3ME=")</f>
        <v>#REF!</v>
      </c>
      <c r="GM37" t="e">
        <f>AND(Liste!#REF!,"AAAAAH/b3MI=")</f>
        <v>#REF!</v>
      </c>
      <c r="GN37" t="e">
        <f>AND(Liste!#REF!,"AAAAAH/b3MM=")</f>
        <v>#REF!</v>
      </c>
      <c r="GO37" t="e">
        <f>AND(Liste!#REF!,"AAAAAH/b3MQ=")</f>
        <v>#REF!</v>
      </c>
      <c r="GP37" t="e">
        <f>AND(Liste!#REF!,"AAAAAH/b3MU=")</f>
        <v>#REF!</v>
      </c>
      <c r="GQ37" t="e">
        <f>AND(Liste!#REF!,"AAAAAH/b3MY=")</f>
        <v>#REF!</v>
      </c>
      <c r="GR37" t="e">
        <f>AND(Liste!#REF!,"AAAAAH/b3Mc=")</f>
        <v>#REF!</v>
      </c>
      <c r="GS37" t="e">
        <f>AND(Liste!#REF!,"AAAAAH/b3Mg=")</f>
        <v>#REF!</v>
      </c>
      <c r="GT37" t="e">
        <f>AND(Liste!#REF!,"AAAAAH/b3Mk=")</f>
        <v>#REF!</v>
      </c>
      <c r="GU37" t="e">
        <f>AND(Liste!#REF!,"AAAAAH/b3Mo=")</f>
        <v>#REF!</v>
      </c>
      <c r="GV37" t="e">
        <f>AND(Liste!#REF!,"AAAAAH/b3Ms=")</f>
        <v>#REF!</v>
      </c>
      <c r="GW37" t="e">
        <f>AND(Liste!#REF!,"AAAAAH/b3Mw=")</f>
        <v>#REF!</v>
      </c>
      <c r="GX37" t="e">
        <f>AND(Liste!#REF!,"AAAAAH/b3M0=")</f>
        <v>#REF!</v>
      </c>
      <c r="GY37" t="e">
        <f>AND(Liste!#REF!,"AAAAAH/b3M4=")</f>
        <v>#REF!</v>
      </c>
      <c r="GZ37" t="e">
        <f>AND(Liste!#REF!,"AAAAAH/b3M8=")</f>
        <v>#REF!</v>
      </c>
      <c r="HA37" t="e">
        <f>IF(Liste!#REF!,"AAAAAH/b3NA=",0)</f>
        <v>#REF!</v>
      </c>
      <c r="HB37" t="e">
        <f>AND(Liste!#REF!,"AAAAAH/b3NE=")</f>
        <v>#REF!</v>
      </c>
      <c r="HC37" t="e">
        <f>AND(Liste!#REF!,"AAAAAH/b3NI=")</f>
        <v>#REF!</v>
      </c>
      <c r="HD37" t="e">
        <f>AND(Liste!#REF!,"AAAAAH/b3NM=")</f>
        <v>#REF!</v>
      </c>
      <c r="HE37" t="e">
        <f>AND(Liste!#REF!,"AAAAAH/b3NQ=")</f>
        <v>#REF!</v>
      </c>
      <c r="HF37" t="e">
        <f>AND(Liste!#REF!,"AAAAAH/b3NU=")</f>
        <v>#REF!</v>
      </c>
      <c r="HG37" t="e">
        <f>AND(Liste!#REF!,"AAAAAH/b3NY=")</f>
        <v>#REF!</v>
      </c>
      <c r="HH37" t="e">
        <f>AND(Liste!#REF!,"AAAAAH/b3Nc=")</f>
        <v>#REF!</v>
      </c>
      <c r="HI37" t="e">
        <f>AND(Liste!#REF!,"AAAAAH/b3Ng=")</f>
        <v>#REF!</v>
      </c>
      <c r="HJ37" t="e">
        <f>AND(Liste!#REF!,"AAAAAH/b3Nk=")</f>
        <v>#REF!</v>
      </c>
      <c r="HK37" t="e">
        <f>AND(Liste!#REF!,"AAAAAH/b3No=")</f>
        <v>#REF!</v>
      </c>
      <c r="HL37" t="e">
        <f>AND(Liste!#REF!,"AAAAAH/b3Ns=")</f>
        <v>#REF!</v>
      </c>
      <c r="HM37" t="e">
        <f>AND(Liste!#REF!,"AAAAAH/b3Nw=")</f>
        <v>#REF!</v>
      </c>
      <c r="HN37" t="e">
        <f>AND(Liste!#REF!,"AAAAAH/b3N0=")</f>
        <v>#REF!</v>
      </c>
      <c r="HO37" t="e">
        <f>AND(Liste!#REF!,"AAAAAH/b3N4=")</f>
        <v>#REF!</v>
      </c>
      <c r="HP37" t="e">
        <f>AND(Liste!#REF!,"AAAAAH/b3N8=")</f>
        <v>#REF!</v>
      </c>
      <c r="HQ37" t="e">
        <f>AND(Liste!#REF!,"AAAAAH/b3OA=")</f>
        <v>#REF!</v>
      </c>
      <c r="HR37" t="e">
        <f>AND(Liste!#REF!,"AAAAAH/b3OE=")</f>
        <v>#REF!</v>
      </c>
      <c r="HS37" t="e">
        <f>AND(Liste!#REF!,"AAAAAH/b3OI=")</f>
        <v>#REF!</v>
      </c>
      <c r="HT37" t="e">
        <f>AND(Liste!#REF!,"AAAAAH/b3OM=")</f>
        <v>#REF!</v>
      </c>
      <c r="HU37" t="e">
        <f>AND(Liste!#REF!,"AAAAAH/b3OQ=")</f>
        <v>#REF!</v>
      </c>
      <c r="HV37" t="e">
        <f>AND(Liste!#REF!,"AAAAAH/b3OU=")</f>
        <v>#REF!</v>
      </c>
      <c r="HW37" t="e">
        <f>AND(Liste!#REF!,"AAAAAH/b3OY=")</f>
        <v>#REF!</v>
      </c>
      <c r="HX37" t="e">
        <f>AND(Liste!#REF!,"AAAAAH/b3Oc=")</f>
        <v>#REF!</v>
      </c>
      <c r="HY37" t="e">
        <f>AND(Liste!#REF!,"AAAAAH/b3Og=")</f>
        <v>#REF!</v>
      </c>
      <c r="HZ37" t="e">
        <f>AND(Liste!#REF!,"AAAAAH/b3Ok=")</f>
        <v>#REF!</v>
      </c>
      <c r="IA37" t="e">
        <f>AND(Liste!#REF!,"AAAAAH/b3Oo=")</f>
        <v>#REF!</v>
      </c>
      <c r="IB37" t="e">
        <f>AND(Liste!#REF!,"AAAAAH/b3Os=")</f>
        <v>#REF!</v>
      </c>
      <c r="IC37" t="e">
        <f>AND(Liste!#REF!,"AAAAAH/b3Ow=")</f>
        <v>#REF!</v>
      </c>
      <c r="ID37" t="e">
        <f>AND(Liste!#REF!,"AAAAAH/b3O0=")</f>
        <v>#REF!</v>
      </c>
      <c r="IE37" t="e">
        <f>AND(Liste!#REF!,"AAAAAH/b3O4=")</f>
        <v>#REF!</v>
      </c>
      <c r="IF37" t="e">
        <f>IF(Liste!#REF!,"AAAAAH/b3O8=",0)</f>
        <v>#REF!</v>
      </c>
      <c r="IG37" t="e">
        <f>AND(Liste!#REF!,"AAAAAH/b3PA=")</f>
        <v>#REF!</v>
      </c>
      <c r="IH37" t="e">
        <f>AND(Liste!#REF!,"AAAAAH/b3PE=")</f>
        <v>#REF!</v>
      </c>
      <c r="II37" t="e">
        <f>AND(Liste!#REF!,"AAAAAH/b3PI=")</f>
        <v>#REF!</v>
      </c>
      <c r="IJ37" t="e">
        <f>AND(Liste!#REF!,"AAAAAH/b3PM=")</f>
        <v>#REF!</v>
      </c>
      <c r="IK37" t="e">
        <f>AND(Liste!#REF!,"AAAAAH/b3PQ=")</f>
        <v>#REF!</v>
      </c>
      <c r="IL37" t="e">
        <f>AND(Liste!#REF!,"AAAAAH/b3PU=")</f>
        <v>#REF!</v>
      </c>
      <c r="IM37" t="e">
        <f>AND(Liste!#REF!,"AAAAAH/b3PY=")</f>
        <v>#REF!</v>
      </c>
      <c r="IN37" t="e">
        <f>AND(Liste!#REF!,"AAAAAH/b3Pc=")</f>
        <v>#REF!</v>
      </c>
      <c r="IO37" t="e">
        <f>AND(Liste!#REF!,"AAAAAH/b3Pg=")</f>
        <v>#REF!</v>
      </c>
      <c r="IP37" t="e">
        <f>AND(Liste!#REF!,"AAAAAH/b3Pk=")</f>
        <v>#REF!</v>
      </c>
      <c r="IQ37" t="e">
        <f>AND(Liste!#REF!,"AAAAAH/b3Po=")</f>
        <v>#REF!</v>
      </c>
      <c r="IR37" t="e">
        <f>AND(Liste!#REF!,"AAAAAH/b3Ps=")</f>
        <v>#REF!</v>
      </c>
      <c r="IS37" t="e">
        <f>AND(Liste!#REF!,"AAAAAH/b3Pw=")</f>
        <v>#REF!</v>
      </c>
      <c r="IT37" t="e">
        <f>AND(Liste!#REF!,"AAAAAH/b3P0=")</f>
        <v>#REF!</v>
      </c>
      <c r="IU37" t="e">
        <f>AND(Liste!#REF!,"AAAAAH/b3P4=")</f>
        <v>#REF!</v>
      </c>
      <c r="IV37" t="e">
        <f>AND(Liste!#REF!,"AAAAAH/b3P8=")</f>
        <v>#REF!</v>
      </c>
    </row>
    <row r="38" spans="1:256" x14ac:dyDescent="0.2">
      <c r="A38" t="e">
        <f>AND(Liste!#REF!,"AAAAAHrv/QA=")</f>
        <v>#REF!</v>
      </c>
      <c r="B38" t="e">
        <f>AND(Liste!#REF!,"AAAAAHrv/QE=")</f>
        <v>#REF!</v>
      </c>
      <c r="C38" t="e">
        <f>AND(Liste!#REF!,"AAAAAHrv/QI=")</f>
        <v>#REF!</v>
      </c>
      <c r="D38" t="e">
        <f>AND(Liste!#REF!,"AAAAAHrv/QM=")</f>
        <v>#REF!</v>
      </c>
      <c r="E38" t="e">
        <f>AND(Liste!#REF!,"AAAAAHrv/QQ=")</f>
        <v>#REF!</v>
      </c>
      <c r="F38" t="e">
        <f>AND(Liste!#REF!,"AAAAAHrv/QU=")</f>
        <v>#REF!</v>
      </c>
      <c r="G38" t="e">
        <f>AND(Liste!#REF!,"AAAAAHrv/QY=")</f>
        <v>#REF!</v>
      </c>
      <c r="H38" t="e">
        <f>AND(Liste!#REF!,"AAAAAHrv/Qc=")</f>
        <v>#REF!</v>
      </c>
      <c r="I38" t="e">
        <f>AND(Liste!#REF!,"AAAAAHrv/Qg=")</f>
        <v>#REF!</v>
      </c>
      <c r="J38" t="e">
        <f>AND(Liste!#REF!,"AAAAAHrv/Qk=")</f>
        <v>#REF!</v>
      </c>
      <c r="K38" t="e">
        <f>AND(Liste!#REF!,"AAAAAHrv/Qo=")</f>
        <v>#REF!</v>
      </c>
      <c r="L38" t="e">
        <f>AND(Liste!#REF!,"AAAAAHrv/Qs=")</f>
        <v>#REF!</v>
      </c>
      <c r="M38" t="e">
        <f>AND(Liste!#REF!,"AAAAAHrv/Qw=")</f>
        <v>#REF!</v>
      </c>
      <c r="N38" t="e">
        <f>AND(Liste!#REF!,"AAAAAHrv/Q0=")</f>
        <v>#REF!</v>
      </c>
      <c r="O38" t="e">
        <f>IF(Liste!#REF!,"AAAAAHrv/Q4=",0)</f>
        <v>#REF!</v>
      </c>
      <c r="P38" t="e">
        <f>AND(Liste!#REF!,"AAAAAHrv/Q8=")</f>
        <v>#REF!</v>
      </c>
      <c r="Q38" t="e">
        <f>AND(Liste!#REF!,"AAAAAHrv/RA=")</f>
        <v>#REF!</v>
      </c>
      <c r="R38" t="e">
        <f>AND(Liste!#REF!,"AAAAAHrv/RE=")</f>
        <v>#REF!</v>
      </c>
      <c r="S38" t="e">
        <f>AND(Liste!#REF!,"AAAAAHrv/RI=")</f>
        <v>#REF!</v>
      </c>
      <c r="T38" t="e">
        <f>AND(Liste!#REF!,"AAAAAHrv/RM=")</f>
        <v>#REF!</v>
      </c>
      <c r="U38" t="e">
        <f>AND(Liste!#REF!,"AAAAAHrv/RQ=")</f>
        <v>#REF!</v>
      </c>
      <c r="V38" t="e">
        <f>AND(Liste!#REF!,"AAAAAHrv/RU=")</f>
        <v>#REF!</v>
      </c>
      <c r="W38" t="e">
        <f>AND(Liste!#REF!,"AAAAAHrv/RY=")</f>
        <v>#REF!</v>
      </c>
      <c r="X38" t="e">
        <f>AND(Liste!#REF!,"AAAAAHrv/Rc=")</f>
        <v>#REF!</v>
      </c>
      <c r="Y38" t="e">
        <f>AND(Liste!#REF!,"AAAAAHrv/Rg=")</f>
        <v>#REF!</v>
      </c>
      <c r="Z38" t="e">
        <f>AND(Liste!#REF!,"AAAAAHrv/Rk=")</f>
        <v>#REF!</v>
      </c>
      <c r="AA38" t="e">
        <f>AND(Liste!#REF!,"AAAAAHrv/Ro=")</f>
        <v>#REF!</v>
      </c>
      <c r="AB38" t="e">
        <f>AND(Liste!#REF!,"AAAAAHrv/Rs=")</f>
        <v>#REF!</v>
      </c>
      <c r="AC38" t="e">
        <f>AND(Liste!#REF!,"AAAAAHrv/Rw=")</f>
        <v>#REF!</v>
      </c>
      <c r="AD38" t="e">
        <f>AND(Liste!#REF!,"AAAAAHrv/R0=")</f>
        <v>#REF!</v>
      </c>
      <c r="AE38" t="e">
        <f>AND(Liste!#REF!,"AAAAAHrv/R4=")</f>
        <v>#REF!</v>
      </c>
      <c r="AF38" t="e">
        <f>AND(Liste!#REF!,"AAAAAHrv/R8=")</f>
        <v>#REF!</v>
      </c>
      <c r="AG38" t="e">
        <f>AND(Liste!#REF!,"AAAAAHrv/SA=")</f>
        <v>#REF!</v>
      </c>
      <c r="AH38" t="e">
        <f>AND(Liste!#REF!,"AAAAAHrv/SE=")</f>
        <v>#REF!</v>
      </c>
      <c r="AI38" t="e">
        <f>AND(Liste!#REF!,"AAAAAHrv/SI=")</f>
        <v>#REF!</v>
      </c>
      <c r="AJ38" t="e">
        <f>AND(Liste!#REF!,"AAAAAHrv/SM=")</f>
        <v>#REF!</v>
      </c>
      <c r="AK38" t="e">
        <f>AND(Liste!#REF!,"AAAAAHrv/SQ=")</f>
        <v>#REF!</v>
      </c>
      <c r="AL38" t="e">
        <f>AND(Liste!#REF!,"AAAAAHrv/SU=")</f>
        <v>#REF!</v>
      </c>
      <c r="AM38" t="e">
        <f>AND(Liste!#REF!,"AAAAAHrv/SY=")</f>
        <v>#REF!</v>
      </c>
      <c r="AN38" t="e">
        <f>AND(Liste!#REF!,"AAAAAHrv/Sc=")</f>
        <v>#REF!</v>
      </c>
      <c r="AO38" t="e">
        <f>AND(Liste!#REF!,"AAAAAHrv/Sg=")</f>
        <v>#REF!</v>
      </c>
      <c r="AP38" t="e">
        <f>AND(Liste!#REF!,"AAAAAHrv/Sk=")</f>
        <v>#REF!</v>
      </c>
      <c r="AQ38" t="e">
        <f>AND(Liste!#REF!,"AAAAAHrv/So=")</f>
        <v>#REF!</v>
      </c>
      <c r="AR38" t="e">
        <f>AND(Liste!#REF!,"AAAAAHrv/Ss=")</f>
        <v>#REF!</v>
      </c>
      <c r="AS38" t="e">
        <f>AND(Liste!#REF!,"AAAAAHrv/Sw=")</f>
        <v>#REF!</v>
      </c>
      <c r="AT38" t="e">
        <f>IF(Liste!#REF!,"AAAAAHrv/S0=",0)</f>
        <v>#REF!</v>
      </c>
      <c r="AU38" t="e">
        <f>AND(Liste!#REF!,"AAAAAHrv/S4=")</f>
        <v>#REF!</v>
      </c>
      <c r="AV38" t="e">
        <f>AND(Liste!#REF!,"AAAAAHrv/S8=")</f>
        <v>#REF!</v>
      </c>
      <c r="AW38" t="e">
        <f>AND(Liste!#REF!,"AAAAAHrv/TA=")</f>
        <v>#REF!</v>
      </c>
      <c r="AX38" t="e">
        <f>AND(Liste!#REF!,"AAAAAHrv/TE=")</f>
        <v>#REF!</v>
      </c>
      <c r="AY38" t="e">
        <f>AND(Liste!#REF!,"AAAAAHrv/TI=")</f>
        <v>#REF!</v>
      </c>
      <c r="AZ38" t="e">
        <f>AND(Liste!#REF!,"AAAAAHrv/TM=")</f>
        <v>#REF!</v>
      </c>
      <c r="BA38" t="e">
        <f>AND(Liste!#REF!,"AAAAAHrv/TQ=")</f>
        <v>#REF!</v>
      </c>
      <c r="BB38" t="e">
        <f>AND(Liste!#REF!,"AAAAAHrv/TU=")</f>
        <v>#REF!</v>
      </c>
      <c r="BC38" t="e">
        <f>AND(Liste!#REF!,"AAAAAHrv/TY=")</f>
        <v>#REF!</v>
      </c>
      <c r="BD38" t="e">
        <f>AND(Liste!#REF!,"AAAAAHrv/Tc=")</f>
        <v>#REF!</v>
      </c>
      <c r="BE38" t="e">
        <f>AND(Liste!#REF!,"AAAAAHrv/Tg=")</f>
        <v>#REF!</v>
      </c>
      <c r="BF38" t="e">
        <f>AND(Liste!#REF!,"AAAAAHrv/Tk=")</f>
        <v>#REF!</v>
      </c>
      <c r="BG38" t="e">
        <f>AND(Liste!#REF!,"AAAAAHrv/To=")</f>
        <v>#REF!</v>
      </c>
      <c r="BH38" t="e">
        <f>AND(Liste!#REF!,"AAAAAHrv/Ts=")</f>
        <v>#REF!</v>
      </c>
      <c r="BI38" t="e">
        <f>AND(Liste!#REF!,"AAAAAHrv/Tw=")</f>
        <v>#REF!</v>
      </c>
      <c r="BJ38" t="e">
        <f>AND(Liste!#REF!,"AAAAAHrv/T0=")</f>
        <v>#REF!</v>
      </c>
      <c r="BK38" t="e">
        <f>AND(Liste!#REF!,"AAAAAHrv/T4=")</f>
        <v>#REF!</v>
      </c>
      <c r="BL38" t="e">
        <f>AND(Liste!#REF!,"AAAAAHrv/T8=")</f>
        <v>#REF!</v>
      </c>
      <c r="BM38" t="e">
        <f>AND(Liste!#REF!,"AAAAAHrv/UA=")</f>
        <v>#REF!</v>
      </c>
      <c r="BN38" t="e">
        <f>AND(Liste!#REF!,"AAAAAHrv/UE=")</f>
        <v>#REF!</v>
      </c>
      <c r="BO38" t="e">
        <f>AND(Liste!#REF!,"AAAAAHrv/UI=")</f>
        <v>#REF!</v>
      </c>
      <c r="BP38" t="e">
        <f>AND(Liste!#REF!,"AAAAAHrv/UM=")</f>
        <v>#REF!</v>
      </c>
      <c r="BQ38" t="e">
        <f>AND(Liste!#REF!,"AAAAAHrv/UQ=")</f>
        <v>#REF!</v>
      </c>
      <c r="BR38" t="e">
        <f>AND(Liste!#REF!,"AAAAAHrv/UU=")</f>
        <v>#REF!</v>
      </c>
      <c r="BS38" t="e">
        <f>AND(Liste!#REF!,"AAAAAHrv/UY=")</f>
        <v>#REF!</v>
      </c>
      <c r="BT38" t="e">
        <f>AND(Liste!#REF!,"AAAAAHrv/Uc=")</f>
        <v>#REF!</v>
      </c>
      <c r="BU38" t="e">
        <f>AND(Liste!#REF!,"AAAAAHrv/Ug=")</f>
        <v>#REF!</v>
      </c>
      <c r="BV38" t="e">
        <f>AND(Liste!#REF!,"AAAAAHrv/Uk=")</f>
        <v>#REF!</v>
      </c>
      <c r="BW38" t="e">
        <f>AND(Liste!#REF!,"AAAAAHrv/Uo=")</f>
        <v>#REF!</v>
      </c>
      <c r="BX38" t="e">
        <f>AND(Liste!#REF!,"AAAAAHrv/Us=")</f>
        <v>#REF!</v>
      </c>
      <c r="BY38" t="e">
        <f>IF(Liste!#REF!,"AAAAAHrv/Uw=",0)</f>
        <v>#REF!</v>
      </c>
      <c r="BZ38" t="e">
        <f>AND(Liste!#REF!,"AAAAAHrv/U0=")</f>
        <v>#REF!</v>
      </c>
      <c r="CA38" t="e">
        <f>AND(Liste!#REF!,"AAAAAHrv/U4=")</f>
        <v>#REF!</v>
      </c>
      <c r="CB38" t="e">
        <f>AND(Liste!#REF!,"AAAAAHrv/U8=")</f>
        <v>#REF!</v>
      </c>
      <c r="CC38" t="e">
        <f>AND(Liste!#REF!,"AAAAAHrv/VA=")</f>
        <v>#REF!</v>
      </c>
      <c r="CD38" t="e">
        <f>AND(Liste!#REF!,"AAAAAHrv/VE=")</f>
        <v>#REF!</v>
      </c>
      <c r="CE38" t="e">
        <f>AND(Liste!#REF!,"AAAAAHrv/VI=")</f>
        <v>#REF!</v>
      </c>
      <c r="CF38" t="e">
        <f>AND(Liste!#REF!,"AAAAAHrv/VM=")</f>
        <v>#REF!</v>
      </c>
      <c r="CG38" t="e">
        <f>AND(Liste!#REF!,"AAAAAHrv/VQ=")</f>
        <v>#REF!</v>
      </c>
      <c r="CH38" t="e">
        <f>AND(Liste!#REF!,"AAAAAHrv/VU=")</f>
        <v>#REF!</v>
      </c>
      <c r="CI38" t="e">
        <f>AND(Liste!#REF!,"AAAAAHrv/VY=")</f>
        <v>#REF!</v>
      </c>
      <c r="CJ38" t="e">
        <f>AND(Liste!#REF!,"AAAAAHrv/Vc=")</f>
        <v>#REF!</v>
      </c>
      <c r="CK38" t="e">
        <f>AND(Liste!#REF!,"AAAAAHrv/Vg=")</f>
        <v>#REF!</v>
      </c>
      <c r="CL38" t="e">
        <f>AND(Liste!#REF!,"AAAAAHrv/Vk=")</f>
        <v>#REF!</v>
      </c>
      <c r="CM38" t="e">
        <f>AND(Liste!#REF!,"AAAAAHrv/Vo=")</f>
        <v>#REF!</v>
      </c>
      <c r="CN38" t="e">
        <f>AND(Liste!#REF!,"AAAAAHrv/Vs=")</f>
        <v>#REF!</v>
      </c>
      <c r="CO38" t="e">
        <f>AND(Liste!#REF!,"AAAAAHrv/Vw=")</f>
        <v>#REF!</v>
      </c>
      <c r="CP38" t="e">
        <f>AND(Liste!#REF!,"AAAAAHrv/V0=")</f>
        <v>#REF!</v>
      </c>
      <c r="CQ38" t="e">
        <f>AND(Liste!#REF!,"AAAAAHrv/V4=")</f>
        <v>#REF!</v>
      </c>
      <c r="CR38" t="e">
        <f>AND(Liste!#REF!,"AAAAAHrv/V8=")</f>
        <v>#REF!</v>
      </c>
      <c r="CS38" t="e">
        <f>AND(Liste!#REF!,"AAAAAHrv/WA=")</f>
        <v>#REF!</v>
      </c>
      <c r="CT38" t="e">
        <f>AND(Liste!#REF!,"AAAAAHrv/WE=")</f>
        <v>#REF!</v>
      </c>
      <c r="CU38" t="e">
        <f>AND(Liste!#REF!,"AAAAAHrv/WI=")</f>
        <v>#REF!</v>
      </c>
      <c r="CV38" t="e">
        <f>AND(Liste!#REF!,"AAAAAHrv/WM=")</f>
        <v>#REF!</v>
      </c>
      <c r="CW38" t="e">
        <f>AND(Liste!#REF!,"AAAAAHrv/WQ=")</f>
        <v>#REF!</v>
      </c>
      <c r="CX38" t="e">
        <f>AND(Liste!#REF!,"AAAAAHrv/WU=")</f>
        <v>#REF!</v>
      </c>
      <c r="CY38" t="e">
        <f>AND(Liste!#REF!,"AAAAAHrv/WY=")</f>
        <v>#REF!</v>
      </c>
      <c r="CZ38" t="e">
        <f>AND(Liste!#REF!,"AAAAAHrv/Wc=")</f>
        <v>#REF!</v>
      </c>
      <c r="DA38" t="e">
        <f>AND(Liste!#REF!,"AAAAAHrv/Wg=")</f>
        <v>#REF!</v>
      </c>
      <c r="DB38" t="e">
        <f>AND(Liste!#REF!,"AAAAAHrv/Wk=")</f>
        <v>#REF!</v>
      </c>
      <c r="DC38" t="e">
        <f>AND(Liste!#REF!,"AAAAAHrv/Wo=")</f>
        <v>#REF!</v>
      </c>
      <c r="DD38" t="e">
        <f>IF(Liste!#REF!,"AAAAAHrv/Ws=",0)</f>
        <v>#REF!</v>
      </c>
      <c r="DE38" t="e">
        <f>AND(Liste!#REF!,"AAAAAHrv/Ww=")</f>
        <v>#REF!</v>
      </c>
      <c r="DF38" t="e">
        <f>AND(Liste!#REF!,"AAAAAHrv/W0=")</f>
        <v>#REF!</v>
      </c>
      <c r="DG38" t="e">
        <f>AND(Liste!#REF!,"AAAAAHrv/W4=")</f>
        <v>#REF!</v>
      </c>
      <c r="DH38" t="e">
        <f>AND(Liste!#REF!,"AAAAAHrv/W8=")</f>
        <v>#REF!</v>
      </c>
      <c r="DI38" t="e">
        <f>AND(Liste!#REF!,"AAAAAHrv/XA=")</f>
        <v>#REF!</v>
      </c>
      <c r="DJ38" t="e">
        <f>AND(Liste!#REF!,"AAAAAHrv/XE=")</f>
        <v>#REF!</v>
      </c>
      <c r="DK38" t="e">
        <f>AND(Liste!#REF!,"AAAAAHrv/XI=")</f>
        <v>#REF!</v>
      </c>
      <c r="DL38" t="e">
        <f>AND(Liste!#REF!,"AAAAAHrv/XM=")</f>
        <v>#REF!</v>
      </c>
      <c r="DM38" t="e">
        <f>AND(Liste!#REF!,"AAAAAHrv/XQ=")</f>
        <v>#REF!</v>
      </c>
      <c r="DN38" t="e">
        <f>AND(Liste!#REF!,"AAAAAHrv/XU=")</f>
        <v>#REF!</v>
      </c>
      <c r="DO38" t="e">
        <f>AND(Liste!#REF!,"AAAAAHrv/XY=")</f>
        <v>#REF!</v>
      </c>
      <c r="DP38" t="e">
        <f>AND(Liste!#REF!,"AAAAAHrv/Xc=")</f>
        <v>#REF!</v>
      </c>
      <c r="DQ38" t="e">
        <f>AND(Liste!#REF!,"AAAAAHrv/Xg=")</f>
        <v>#REF!</v>
      </c>
      <c r="DR38" t="e">
        <f>AND(Liste!#REF!,"AAAAAHrv/Xk=")</f>
        <v>#REF!</v>
      </c>
      <c r="DS38" t="e">
        <f>AND(Liste!#REF!,"AAAAAHrv/Xo=")</f>
        <v>#REF!</v>
      </c>
      <c r="DT38" t="e">
        <f>AND(Liste!#REF!,"AAAAAHrv/Xs=")</f>
        <v>#REF!</v>
      </c>
      <c r="DU38" t="e">
        <f>AND(Liste!#REF!,"AAAAAHrv/Xw=")</f>
        <v>#REF!</v>
      </c>
      <c r="DV38" t="e">
        <f>AND(Liste!#REF!,"AAAAAHrv/X0=")</f>
        <v>#REF!</v>
      </c>
      <c r="DW38" t="e">
        <f>AND(Liste!#REF!,"AAAAAHrv/X4=")</f>
        <v>#REF!</v>
      </c>
      <c r="DX38" t="e">
        <f>AND(Liste!#REF!,"AAAAAHrv/X8=")</f>
        <v>#REF!</v>
      </c>
      <c r="DY38" t="e">
        <f>AND(Liste!#REF!,"AAAAAHrv/YA=")</f>
        <v>#REF!</v>
      </c>
      <c r="DZ38" t="e">
        <f>AND(Liste!#REF!,"AAAAAHrv/YE=")</f>
        <v>#REF!</v>
      </c>
      <c r="EA38" t="e">
        <f>AND(Liste!#REF!,"AAAAAHrv/YI=")</f>
        <v>#REF!</v>
      </c>
      <c r="EB38" t="e">
        <f>AND(Liste!#REF!,"AAAAAHrv/YM=")</f>
        <v>#REF!</v>
      </c>
      <c r="EC38" t="e">
        <f>AND(Liste!#REF!,"AAAAAHrv/YQ=")</f>
        <v>#REF!</v>
      </c>
      <c r="ED38" t="e">
        <f>AND(Liste!#REF!,"AAAAAHrv/YU=")</f>
        <v>#REF!</v>
      </c>
      <c r="EE38" t="e">
        <f>AND(Liste!#REF!,"AAAAAHrv/YY=")</f>
        <v>#REF!</v>
      </c>
      <c r="EF38" t="e">
        <f>AND(Liste!#REF!,"AAAAAHrv/Yc=")</f>
        <v>#REF!</v>
      </c>
      <c r="EG38" t="e">
        <f>AND(Liste!#REF!,"AAAAAHrv/Yg=")</f>
        <v>#REF!</v>
      </c>
      <c r="EH38" t="e">
        <f>AND(Liste!#REF!,"AAAAAHrv/Yk=")</f>
        <v>#REF!</v>
      </c>
      <c r="EI38" t="e">
        <f>IF(Liste!#REF!,"AAAAAHrv/Yo=",0)</f>
        <v>#REF!</v>
      </c>
      <c r="EJ38" t="e">
        <f>AND(Liste!#REF!,"AAAAAHrv/Ys=")</f>
        <v>#REF!</v>
      </c>
      <c r="EK38" t="e">
        <f>AND(Liste!#REF!,"AAAAAHrv/Yw=")</f>
        <v>#REF!</v>
      </c>
      <c r="EL38" t="e">
        <f>AND(Liste!#REF!,"AAAAAHrv/Y0=")</f>
        <v>#REF!</v>
      </c>
      <c r="EM38" t="e">
        <f>AND(Liste!#REF!,"AAAAAHrv/Y4=")</f>
        <v>#REF!</v>
      </c>
      <c r="EN38" t="e">
        <f>AND(Liste!#REF!,"AAAAAHrv/Y8=")</f>
        <v>#REF!</v>
      </c>
      <c r="EO38" t="e">
        <f>AND(Liste!#REF!,"AAAAAHrv/ZA=")</f>
        <v>#REF!</v>
      </c>
      <c r="EP38" t="e">
        <f>AND(Liste!#REF!,"AAAAAHrv/ZE=")</f>
        <v>#REF!</v>
      </c>
      <c r="EQ38" t="e">
        <f>AND(Liste!#REF!,"AAAAAHrv/ZI=")</f>
        <v>#REF!</v>
      </c>
      <c r="ER38" t="e">
        <f>AND(Liste!#REF!,"AAAAAHrv/ZM=")</f>
        <v>#REF!</v>
      </c>
      <c r="ES38" t="e">
        <f>AND(Liste!#REF!,"AAAAAHrv/ZQ=")</f>
        <v>#REF!</v>
      </c>
      <c r="ET38" t="e">
        <f>AND(Liste!#REF!,"AAAAAHrv/ZU=")</f>
        <v>#REF!</v>
      </c>
      <c r="EU38" t="e">
        <f>AND(Liste!#REF!,"AAAAAHrv/ZY=")</f>
        <v>#REF!</v>
      </c>
      <c r="EV38" t="e">
        <f>AND(Liste!#REF!,"AAAAAHrv/Zc=")</f>
        <v>#REF!</v>
      </c>
      <c r="EW38" t="e">
        <f>AND(Liste!#REF!,"AAAAAHrv/Zg=")</f>
        <v>#REF!</v>
      </c>
      <c r="EX38" t="e">
        <f>AND(Liste!#REF!,"AAAAAHrv/Zk=")</f>
        <v>#REF!</v>
      </c>
      <c r="EY38" t="e">
        <f>AND(Liste!#REF!,"AAAAAHrv/Zo=")</f>
        <v>#REF!</v>
      </c>
      <c r="EZ38" t="e">
        <f>AND(Liste!#REF!,"AAAAAHrv/Zs=")</f>
        <v>#REF!</v>
      </c>
      <c r="FA38" t="e">
        <f>AND(Liste!#REF!,"AAAAAHrv/Zw=")</f>
        <v>#REF!</v>
      </c>
      <c r="FB38" t="e">
        <f>AND(Liste!#REF!,"AAAAAHrv/Z0=")</f>
        <v>#REF!</v>
      </c>
      <c r="FC38" t="e">
        <f>AND(Liste!#REF!,"AAAAAHrv/Z4=")</f>
        <v>#REF!</v>
      </c>
      <c r="FD38" t="e">
        <f>AND(Liste!#REF!,"AAAAAHrv/Z8=")</f>
        <v>#REF!</v>
      </c>
      <c r="FE38" t="e">
        <f>AND(Liste!#REF!,"AAAAAHrv/aA=")</f>
        <v>#REF!</v>
      </c>
      <c r="FF38" t="e">
        <f>AND(Liste!#REF!,"AAAAAHrv/aE=")</f>
        <v>#REF!</v>
      </c>
      <c r="FG38" t="e">
        <f>AND(Liste!#REF!,"AAAAAHrv/aI=")</f>
        <v>#REF!</v>
      </c>
      <c r="FH38" t="e">
        <f>AND(Liste!#REF!,"AAAAAHrv/aM=")</f>
        <v>#REF!</v>
      </c>
      <c r="FI38" t="e">
        <f>AND(Liste!#REF!,"AAAAAHrv/aQ=")</f>
        <v>#REF!</v>
      </c>
      <c r="FJ38" t="e">
        <f>AND(Liste!#REF!,"AAAAAHrv/aU=")</f>
        <v>#REF!</v>
      </c>
      <c r="FK38" t="e">
        <f>AND(Liste!#REF!,"AAAAAHrv/aY=")</f>
        <v>#REF!</v>
      </c>
      <c r="FL38" t="e">
        <f>AND(Liste!#REF!,"AAAAAHrv/ac=")</f>
        <v>#REF!</v>
      </c>
      <c r="FM38" t="e">
        <f>AND(Liste!#REF!,"AAAAAHrv/ag=")</f>
        <v>#REF!</v>
      </c>
      <c r="FN38" t="e">
        <f>IF(Liste!#REF!,"AAAAAHrv/ak=",0)</f>
        <v>#REF!</v>
      </c>
      <c r="FO38" t="e">
        <f>AND(Liste!#REF!,"AAAAAHrv/ao=")</f>
        <v>#REF!</v>
      </c>
      <c r="FP38" t="e">
        <f>AND(Liste!#REF!,"AAAAAHrv/as=")</f>
        <v>#REF!</v>
      </c>
      <c r="FQ38" t="e">
        <f>AND(Liste!#REF!,"AAAAAHrv/aw=")</f>
        <v>#REF!</v>
      </c>
      <c r="FR38" t="e">
        <f>AND(Liste!#REF!,"AAAAAHrv/a0=")</f>
        <v>#REF!</v>
      </c>
      <c r="FS38" t="e">
        <f>AND(Liste!#REF!,"AAAAAHrv/a4=")</f>
        <v>#REF!</v>
      </c>
      <c r="FT38" t="e">
        <f>AND(Liste!#REF!,"AAAAAHrv/a8=")</f>
        <v>#REF!</v>
      </c>
      <c r="FU38" t="e">
        <f>AND(Liste!#REF!,"AAAAAHrv/bA=")</f>
        <v>#REF!</v>
      </c>
      <c r="FV38" t="e">
        <f>AND(Liste!#REF!,"AAAAAHrv/bE=")</f>
        <v>#REF!</v>
      </c>
      <c r="FW38" t="e">
        <f>AND(Liste!#REF!,"AAAAAHrv/bI=")</f>
        <v>#REF!</v>
      </c>
      <c r="FX38" t="e">
        <f>AND(Liste!#REF!,"AAAAAHrv/bM=")</f>
        <v>#REF!</v>
      </c>
      <c r="FY38" t="e">
        <f>AND(Liste!#REF!,"AAAAAHrv/bQ=")</f>
        <v>#REF!</v>
      </c>
      <c r="FZ38" t="e">
        <f>AND(Liste!#REF!,"AAAAAHrv/bU=")</f>
        <v>#REF!</v>
      </c>
      <c r="GA38" t="e">
        <f>AND(Liste!#REF!,"AAAAAHrv/bY=")</f>
        <v>#REF!</v>
      </c>
      <c r="GB38" t="e">
        <f>AND(Liste!#REF!,"AAAAAHrv/bc=")</f>
        <v>#REF!</v>
      </c>
      <c r="GC38" t="e">
        <f>AND(Liste!#REF!,"AAAAAHrv/bg=")</f>
        <v>#REF!</v>
      </c>
      <c r="GD38" t="e">
        <f>AND(Liste!#REF!,"AAAAAHrv/bk=")</f>
        <v>#REF!</v>
      </c>
      <c r="GE38" t="e">
        <f>AND(Liste!#REF!,"AAAAAHrv/bo=")</f>
        <v>#REF!</v>
      </c>
      <c r="GF38" t="e">
        <f>AND(Liste!#REF!,"AAAAAHrv/bs=")</f>
        <v>#REF!</v>
      </c>
      <c r="GG38" t="e">
        <f>AND(Liste!#REF!,"AAAAAHrv/bw=")</f>
        <v>#REF!</v>
      </c>
      <c r="GH38" t="e">
        <f>AND(Liste!#REF!,"AAAAAHrv/b0=")</f>
        <v>#REF!</v>
      </c>
      <c r="GI38" t="e">
        <f>AND(Liste!#REF!,"AAAAAHrv/b4=")</f>
        <v>#REF!</v>
      </c>
      <c r="GJ38" t="e">
        <f>AND(Liste!#REF!,"AAAAAHrv/b8=")</f>
        <v>#REF!</v>
      </c>
      <c r="GK38" t="e">
        <f>AND(Liste!#REF!,"AAAAAHrv/cA=")</f>
        <v>#REF!</v>
      </c>
      <c r="GL38" t="e">
        <f>AND(Liste!#REF!,"AAAAAHrv/cE=")</f>
        <v>#REF!</v>
      </c>
      <c r="GM38" t="e">
        <f>AND(Liste!#REF!,"AAAAAHrv/cI=")</f>
        <v>#REF!</v>
      </c>
      <c r="GN38" t="e">
        <f>AND(Liste!#REF!,"AAAAAHrv/cM=")</f>
        <v>#REF!</v>
      </c>
      <c r="GO38" t="e">
        <f>AND(Liste!#REF!,"AAAAAHrv/cQ=")</f>
        <v>#REF!</v>
      </c>
      <c r="GP38" t="e">
        <f>AND(Liste!#REF!,"AAAAAHrv/cU=")</f>
        <v>#REF!</v>
      </c>
      <c r="GQ38" t="e">
        <f>AND(Liste!#REF!,"AAAAAHrv/cY=")</f>
        <v>#REF!</v>
      </c>
      <c r="GR38" t="e">
        <f>AND(Liste!#REF!,"AAAAAHrv/cc=")</f>
        <v>#REF!</v>
      </c>
      <c r="GS38" t="e">
        <f>IF(Liste!#REF!,"AAAAAHrv/cg=",0)</f>
        <v>#REF!</v>
      </c>
      <c r="GT38" t="e">
        <f>AND(Liste!#REF!,"AAAAAHrv/ck=")</f>
        <v>#REF!</v>
      </c>
      <c r="GU38" t="e">
        <f>AND(Liste!#REF!,"AAAAAHrv/co=")</f>
        <v>#REF!</v>
      </c>
      <c r="GV38" t="e">
        <f>AND(Liste!#REF!,"AAAAAHrv/cs=")</f>
        <v>#REF!</v>
      </c>
      <c r="GW38" t="e">
        <f>AND(Liste!#REF!,"AAAAAHrv/cw=")</f>
        <v>#REF!</v>
      </c>
      <c r="GX38" t="e">
        <f>AND(Liste!#REF!,"AAAAAHrv/c0=")</f>
        <v>#REF!</v>
      </c>
      <c r="GY38" t="e">
        <f>AND(Liste!#REF!,"AAAAAHrv/c4=")</f>
        <v>#REF!</v>
      </c>
      <c r="GZ38" t="e">
        <f>AND(Liste!#REF!,"AAAAAHrv/c8=")</f>
        <v>#REF!</v>
      </c>
      <c r="HA38" t="e">
        <f>AND(Liste!#REF!,"AAAAAHrv/dA=")</f>
        <v>#REF!</v>
      </c>
      <c r="HB38" t="e">
        <f>AND(Liste!#REF!,"AAAAAHrv/dE=")</f>
        <v>#REF!</v>
      </c>
      <c r="HC38" t="e">
        <f>AND(Liste!#REF!,"AAAAAHrv/dI=")</f>
        <v>#REF!</v>
      </c>
      <c r="HD38" t="e">
        <f>AND(Liste!#REF!,"AAAAAHrv/dM=")</f>
        <v>#REF!</v>
      </c>
      <c r="HE38" t="e">
        <f>AND(Liste!#REF!,"AAAAAHrv/dQ=")</f>
        <v>#REF!</v>
      </c>
      <c r="HF38" t="e">
        <f>AND(Liste!#REF!,"AAAAAHrv/dU=")</f>
        <v>#REF!</v>
      </c>
      <c r="HG38" t="e">
        <f>AND(Liste!#REF!,"AAAAAHrv/dY=")</f>
        <v>#REF!</v>
      </c>
      <c r="HH38" t="e">
        <f>AND(Liste!#REF!,"AAAAAHrv/dc=")</f>
        <v>#REF!</v>
      </c>
      <c r="HI38" t="e">
        <f>AND(Liste!#REF!,"AAAAAHrv/dg=")</f>
        <v>#REF!</v>
      </c>
      <c r="HJ38" t="e">
        <f>AND(Liste!#REF!,"AAAAAHrv/dk=")</f>
        <v>#REF!</v>
      </c>
      <c r="HK38" t="e">
        <f>AND(Liste!#REF!,"AAAAAHrv/do=")</f>
        <v>#REF!</v>
      </c>
      <c r="HL38" t="e">
        <f>AND(Liste!#REF!,"AAAAAHrv/ds=")</f>
        <v>#REF!</v>
      </c>
      <c r="HM38" t="e">
        <f>AND(Liste!#REF!,"AAAAAHrv/dw=")</f>
        <v>#REF!</v>
      </c>
      <c r="HN38" t="e">
        <f>AND(Liste!#REF!,"AAAAAHrv/d0=")</f>
        <v>#REF!</v>
      </c>
      <c r="HO38" t="e">
        <f>AND(Liste!#REF!,"AAAAAHrv/d4=")</f>
        <v>#REF!</v>
      </c>
      <c r="HP38" t="e">
        <f>AND(Liste!#REF!,"AAAAAHrv/d8=")</f>
        <v>#REF!</v>
      </c>
      <c r="HQ38" t="e">
        <f>AND(Liste!#REF!,"AAAAAHrv/eA=")</f>
        <v>#REF!</v>
      </c>
      <c r="HR38" t="e">
        <f>AND(Liste!#REF!,"AAAAAHrv/eE=")</f>
        <v>#REF!</v>
      </c>
      <c r="HS38" t="e">
        <f>AND(Liste!#REF!,"AAAAAHrv/eI=")</f>
        <v>#REF!</v>
      </c>
      <c r="HT38" t="e">
        <f>AND(Liste!#REF!,"AAAAAHrv/eM=")</f>
        <v>#REF!</v>
      </c>
      <c r="HU38" t="e">
        <f>AND(Liste!#REF!,"AAAAAHrv/eQ=")</f>
        <v>#REF!</v>
      </c>
      <c r="HV38" t="e">
        <f>AND(Liste!#REF!,"AAAAAHrv/eU=")</f>
        <v>#REF!</v>
      </c>
      <c r="HW38" t="e">
        <f>AND(Liste!#REF!,"AAAAAHrv/eY=")</f>
        <v>#REF!</v>
      </c>
      <c r="HX38" t="e">
        <f>IF(Liste!#REF!,"AAAAAHrv/ec=",0)</f>
        <v>#REF!</v>
      </c>
      <c r="HY38" t="e">
        <f>AND(Liste!#REF!,"AAAAAHrv/eg=")</f>
        <v>#REF!</v>
      </c>
      <c r="HZ38" t="e">
        <f>AND(Liste!#REF!,"AAAAAHrv/ek=")</f>
        <v>#REF!</v>
      </c>
      <c r="IA38" t="e">
        <f>AND(Liste!#REF!,"AAAAAHrv/eo=")</f>
        <v>#REF!</v>
      </c>
      <c r="IB38" t="e">
        <f>AND(Liste!#REF!,"AAAAAHrv/es=")</f>
        <v>#REF!</v>
      </c>
      <c r="IC38" t="e">
        <f>AND(Liste!#REF!,"AAAAAHrv/ew=")</f>
        <v>#REF!</v>
      </c>
      <c r="ID38" t="e">
        <f>AND(Liste!#REF!,"AAAAAHrv/e0=")</f>
        <v>#REF!</v>
      </c>
      <c r="IE38" t="e">
        <f>AND(Liste!#REF!,"AAAAAHrv/e4=")</f>
        <v>#REF!</v>
      </c>
      <c r="IF38" t="e">
        <f>AND(Liste!#REF!,"AAAAAHrv/e8=")</f>
        <v>#REF!</v>
      </c>
      <c r="IG38" t="e">
        <f>AND(Liste!#REF!,"AAAAAHrv/fA=")</f>
        <v>#REF!</v>
      </c>
      <c r="IH38" t="e">
        <f>AND(Liste!#REF!,"AAAAAHrv/fE=")</f>
        <v>#REF!</v>
      </c>
      <c r="II38" t="e">
        <f>AND(Liste!#REF!,"AAAAAHrv/fI=")</f>
        <v>#REF!</v>
      </c>
      <c r="IJ38" t="e">
        <f>AND(Liste!#REF!,"AAAAAHrv/fM=")</f>
        <v>#REF!</v>
      </c>
      <c r="IK38" t="e">
        <f>AND(Liste!#REF!,"AAAAAHrv/fQ=")</f>
        <v>#REF!</v>
      </c>
      <c r="IL38" t="e">
        <f>AND(Liste!#REF!,"AAAAAHrv/fU=")</f>
        <v>#REF!</v>
      </c>
      <c r="IM38" t="e">
        <f>AND(Liste!#REF!,"AAAAAHrv/fY=")</f>
        <v>#REF!</v>
      </c>
      <c r="IN38" t="e">
        <f>AND(Liste!#REF!,"AAAAAHrv/fc=")</f>
        <v>#REF!</v>
      </c>
      <c r="IO38" t="e">
        <f>AND(Liste!#REF!,"AAAAAHrv/fg=")</f>
        <v>#REF!</v>
      </c>
      <c r="IP38" t="e">
        <f>AND(Liste!#REF!,"AAAAAHrv/fk=")</f>
        <v>#REF!</v>
      </c>
      <c r="IQ38" t="e">
        <f>AND(Liste!#REF!,"AAAAAHrv/fo=")</f>
        <v>#REF!</v>
      </c>
      <c r="IR38" t="e">
        <f>AND(Liste!#REF!,"AAAAAHrv/fs=")</f>
        <v>#REF!</v>
      </c>
      <c r="IS38" t="e">
        <f>AND(Liste!#REF!,"AAAAAHrv/fw=")</f>
        <v>#REF!</v>
      </c>
      <c r="IT38" t="e">
        <f>AND(Liste!#REF!,"AAAAAHrv/f0=")</f>
        <v>#REF!</v>
      </c>
      <c r="IU38" t="e">
        <f>AND(Liste!#REF!,"AAAAAHrv/f4=")</f>
        <v>#REF!</v>
      </c>
      <c r="IV38" t="e">
        <f>AND(Liste!#REF!,"AAAAAHrv/f8=")</f>
        <v>#REF!</v>
      </c>
    </row>
    <row r="39" spans="1:256" x14ac:dyDescent="0.2">
      <c r="A39" t="e">
        <f>AND(Liste!#REF!,"AAAAAHa+3AA=")</f>
        <v>#REF!</v>
      </c>
      <c r="B39" t="e">
        <f>AND(Liste!#REF!,"AAAAAHa+3AE=")</f>
        <v>#REF!</v>
      </c>
      <c r="C39" t="e">
        <f>AND(Liste!#REF!,"AAAAAHa+3AI=")</f>
        <v>#REF!</v>
      </c>
      <c r="D39" t="e">
        <f>AND(Liste!#REF!,"AAAAAHa+3AM=")</f>
        <v>#REF!</v>
      </c>
      <c r="E39" t="e">
        <f>AND(Liste!#REF!,"AAAAAHa+3AQ=")</f>
        <v>#REF!</v>
      </c>
      <c r="F39" t="e">
        <f>AND(Liste!#REF!,"AAAAAHa+3AU=")</f>
        <v>#REF!</v>
      </c>
      <c r="G39" t="e">
        <f>IF(Liste!#REF!,"AAAAAHa+3AY=",0)</f>
        <v>#REF!</v>
      </c>
      <c r="H39" t="e">
        <f>AND(Liste!#REF!,"AAAAAHa+3Ac=")</f>
        <v>#REF!</v>
      </c>
      <c r="I39" t="e">
        <f>AND(Liste!#REF!,"AAAAAHa+3Ag=")</f>
        <v>#REF!</v>
      </c>
      <c r="J39" t="e">
        <f>AND(Liste!#REF!,"AAAAAHa+3Ak=")</f>
        <v>#REF!</v>
      </c>
      <c r="K39" t="e">
        <f>AND(Liste!#REF!,"AAAAAHa+3Ao=")</f>
        <v>#REF!</v>
      </c>
      <c r="L39" t="e">
        <f>AND(Liste!#REF!,"AAAAAHa+3As=")</f>
        <v>#REF!</v>
      </c>
      <c r="M39" t="e">
        <f>AND(Liste!#REF!,"AAAAAHa+3Aw=")</f>
        <v>#REF!</v>
      </c>
      <c r="N39" t="e">
        <f>AND(Liste!#REF!,"AAAAAHa+3A0=")</f>
        <v>#REF!</v>
      </c>
      <c r="O39" t="e">
        <f>AND(Liste!#REF!,"AAAAAHa+3A4=")</f>
        <v>#REF!</v>
      </c>
      <c r="P39" t="e">
        <f>AND(Liste!#REF!,"AAAAAHa+3A8=")</f>
        <v>#REF!</v>
      </c>
      <c r="Q39" t="e">
        <f>AND(Liste!#REF!,"AAAAAHa+3BA=")</f>
        <v>#REF!</v>
      </c>
      <c r="R39" t="e">
        <f>AND(Liste!#REF!,"AAAAAHa+3BE=")</f>
        <v>#REF!</v>
      </c>
      <c r="S39" t="e">
        <f>AND(Liste!#REF!,"AAAAAHa+3BI=")</f>
        <v>#REF!</v>
      </c>
      <c r="T39" t="e">
        <f>AND(Liste!#REF!,"AAAAAHa+3BM=")</f>
        <v>#REF!</v>
      </c>
      <c r="U39" t="e">
        <f>AND(Liste!#REF!,"AAAAAHa+3BQ=")</f>
        <v>#REF!</v>
      </c>
      <c r="V39" t="e">
        <f>AND(Liste!#REF!,"AAAAAHa+3BU=")</f>
        <v>#REF!</v>
      </c>
      <c r="W39" t="e">
        <f>AND(Liste!#REF!,"AAAAAHa+3BY=")</f>
        <v>#REF!</v>
      </c>
      <c r="X39" t="e">
        <f>AND(Liste!#REF!,"AAAAAHa+3Bc=")</f>
        <v>#REF!</v>
      </c>
      <c r="Y39" t="e">
        <f>AND(Liste!#REF!,"AAAAAHa+3Bg=")</f>
        <v>#REF!</v>
      </c>
      <c r="Z39" t="e">
        <f>AND(Liste!#REF!,"AAAAAHa+3Bk=")</f>
        <v>#REF!</v>
      </c>
      <c r="AA39" t="e">
        <f>AND(Liste!#REF!,"AAAAAHa+3Bo=")</f>
        <v>#REF!</v>
      </c>
      <c r="AB39" t="e">
        <f>AND(Liste!#REF!,"AAAAAHa+3Bs=")</f>
        <v>#REF!</v>
      </c>
      <c r="AC39" t="e">
        <f>AND(Liste!#REF!,"AAAAAHa+3Bw=")</f>
        <v>#REF!</v>
      </c>
      <c r="AD39" t="e">
        <f>AND(Liste!#REF!,"AAAAAHa+3B0=")</f>
        <v>#REF!</v>
      </c>
      <c r="AE39" t="e">
        <f>AND(Liste!#REF!,"AAAAAHa+3B4=")</f>
        <v>#REF!</v>
      </c>
      <c r="AF39" t="e">
        <f>AND(Liste!#REF!,"AAAAAHa+3B8=")</f>
        <v>#REF!</v>
      </c>
      <c r="AG39" t="e">
        <f>AND(Liste!#REF!,"AAAAAHa+3CA=")</f>
        <v>#REF!</v>
      </c>
      <c r="AH39" t="e">
        <f>AND(Liste!#REF!,"AAAAAHa+3CE=")</f>
        <v>#REF!</v>
      </c>
      <c r="AI39" t="e">
        <f>AND(Liste!#REF!,"AAAAAHa+3CI=")</f>
        <v>#REF!</v>
      </c>
      <c r="AJ39" t="e">
        <f>AND(Liste!#REF!,"AAAAAHa+3CM=")</f>
        <v>#REF!</v>
      </c>
      <c r="AK39" t="e">
        <f>AND(Liste!#REF!,"AAAAAHa+3CQ=")</f>
        <v>#REF!</v>
      </c>
      <c r="AL39">
        <f>IF(Liste!281:281,"AAAAAHa+3CU=",0)</f>
        <v>0</v>
      </c>
      <c r="AM39" t="e">
        <f>AND(Liste!A281,"AAAAAHa+3CY=")</f>
        <v>#VALUE!</v>
      </c>
      <c r="AN39" t="e">
        <f>AND(Liste!#REF!,"AAAAAHa+3Cc=")</f>
        <v>#REF!</v>
      </c>
      <c r="AO39" t="e">
        <f>AND(Liste!#REF!,"AAAAAHa+3Cg=")</f>
        <v>#REF!</v>
      </c>
      <c r="AP39" t="e">
        <f>AND(Liste!#REF!,"AAAAAHa+3Ck=")</f>
        <v>#REF!</v>
      </c>
      <c r="AQ39" t="e">
        <f>AND(Liste!F337,"AAAAAHa+3Co=")</f>
        <v>#VALUE!</v>
      </c>
      <c r="AR39" t="e">
        <f>AND(Liste!G337,"AAAAAHa+3Cs=")</f>
        <v>#VALUE!</v>
      </c>
      <c r="AS39" t="e">
        <f>AND(Liste!H337,"AAAAAHa+3Cw=")</f>
        <v>#VALUE!</v>
      </c>
      <c r="AT39" t="e">
        <f>AND(Liste!I337,"AAAAAHa+3C0=")</f>
        <v>#VALUE!</v>
      </c>
      <c r="AU39" t="e">
        <f>AND(Liste!J337,"AAAAAHa+3C4=")</f>
        <v>#VALUE!</v>
      </c>
      <c r="AV39" t="e">
        <f>AND(Liste!#REF!,"AAAAAHa+3C8=")</f>
        <v>#REF!</v>
      </c>
      <c r="AW39" t="e">
        <f>AND(Liste!#REF!,"AAAAAHa+3DA=")</f>
        <v>#REF!</v>
      </c>
      <c r="AX39" t="e">
        <f>AND(Liste!#REF!,"AAAAAHa+3DE=")</f>
        <v>#REF!</v>
      </c>
      <c r="AY39" t="e">
        <f>AND(Liste!#REF!,"AAAAAHa+3DI=")</f>
        <v>#REF!</v>
      </c>
      <c r="AZ39" t="e">
        <f>AND(Liste!#REF!,"AAAAAHa+3DM=")</f>
        <v>#REF!</v>
      </c>
      <c r="BA39" t="e">
        <f>AND(Liste!#REF!,"AAAAAHa+3DQ=")</f>
        <v>#REF!</v>
      </c>
      <c r="BB39" t="e">
        <f>AND(Liste!#REF!,"AAAAAHa+3DU=")</f>
        <v>#REF!</v>
      </c>
      <c r="BC39" t="e">
        <f>AND(Liste!#REF!,"AAAAAHa+3DY=")</f>
        <v>#REF!</v>
      </c>
      <c r="BD39" t="e">
        <f>AND(Liste!#REF!,"AAAAAHa+3Dc=")</f>
        <v>#REF!</v>
      </c>
      <c r="BE39" t="e">
        <f>AND(Liste!#REF!,"AAAAAHa+3Dg=")</f>
        <v>#REF!</v>
      </c>
      <c r="BF39" t="e">
        <f>AND(Liste!#REF!,"AAAAAHa+3Dk=")</f>
        <v>#REF!</v>
      </c>
      <c r="BG39" t="e">
        <f>AND(Liste!#REF!,"AAAAAHa+3Do=")</f>
        <v>#REF!</v>
      </c>
      <c r="BH39" t="e">
        <f>AND(Liste!#REF!,"AAAAAHa+3Ds=")</f>
        <v>#REF!</v>
      </c>
      <c r="BI39" t="e">
        <f>AND(Liste!#REF!,"AAAAAHa+3Dw=")</f>
        <v>#REF!</v>
      </c>
      <c r="BJ39" t="e">
        <f>AND(Liste!#REF!,"AAAAAHa+3D0=")</f>
        <v>#REF!</v>
      </c>
      <c r="BK39" t="e">
        <f>AND(Liste!#REF!,"AAAAAHa+3D4=")</f>
        <v>#REF!</v>
      </c>
      <c r="BL39" t="e">
        <f>AND(Liste!#REF!,"AAAAAHa+3D8=")</f>
        <v>#REF!</v>
      </c>
      <c r="BM39" t="e">
        <f>AND(Liste!#REF!,"AAAAAHa+3EA=")</f>
        <v>#REF!</v>
      </c>
      <c r="BN39" t="e">
        <f>AND(Liste!#REF!,"AAAAAHa+3EE=")</f>
        <v>#REF!</v>
      </c>
      <c r="BO39" t="e">
        <f>AND(Liste!#REF!,"AAAAAHa+3EI=")</f>
        <v>#REF!</v>
      </c>
      <c r="BP39" t="e">
        <f>AND(Liste!#REF!,"AAAAAHa+3EM=")</f>
        <v>#REF!</v>
      </c>
      <c r="BQ39">
        <f>IF(Liste!282:282,"AAAAAHa+3EQ=",0)</f>
        <v>0</v>
      </c>
      <c r="BR39" t="e">
        <f>AND(Liste!A282,"AAAAAHa+3EU=")</f>
        <v>#VALUE!</v>
      </c>
      <c r="BS39" t="e">
        <f>AND(Liste!#REF!,"AAAAAHa+3EY=")</f>
        <v>#REF!</v>
      </c>
      <c r="BT39" t="e">
        <f>AND(Liste!#REF!,"AAAAAHa+3Ec=")</f>
        <v>#REF!</v>
      </c>
      <c r="BU39" t="e">
        <f>AND(Liste!#REF!,"AAAAAHa+3Eg=")</f>
        <v>#REF!</v>
      </c>
      <c r="BV39" t="e">
        <f>AND(Liste!F338,"AAAAAHa+3Ek=")</f>
        <v>#VALUE!</v>
      </c>
      <c r="BW39" t="e">
        <f>AND(Liste!G338,"AAAAAHa+3Eo=")</f>
        <v>#VALUE!</v>
      </c>
      <c r="BX39" t="e">
        <f>AND(Liste!H338,"AAAAAHa+3Es=")</f>
        <v>#VALUE!</v>
      </c>
      <c r="BY39" t="e">
        <f>AND(Liste!I338,"AAAAAHa+3Ew=")</f>
        <v>#VALUE!</v>
      </c>
      <c r="BZ39" t="e">
        <f>AND(Liste!J338,"AAAAAHa+3E0=")</f>
        <v>#VALUE!</v>
      </c>
      <c r="CA39" t="e">
        <f>AND(Liste!#REF!,"AAAAAHa+3E4=")</f>
        <v>#REF!</v>
      </c>
      <c r="CB39" t="e">
        <f>AND(Liste!#REF!,"AAAAAHa+3E8=")</f>
        <v>#REF!</v>
      </c>
      <c r="CC39" t="e">
        <f>AND(Liste!#REF!,"AAAAAHa+3FA=")</f>
        <v>#REF!</v>
      </c>
      <c r="CD39" t="e">
        <f>AND(Liste!#REF!,"AAAAAHa+3FE=")</f>
        <v>#REF!</v>
      </c>
      <c r="CE39" t="e">
        <f>AND(Liste!#REF!,"AAAAAHa+3FI=")</f>
        <v>#REF!</v>
      </c>
      <c r="CF39" t="e">
        <f>AND(Liste!#REF!,"AAAAAHa+3FM=")</f>
        <v>#REF!</v>
      </c>
      <c r="CG39" t="e">
        <f>AND(Liste!#REF!,"AAAAAHa+3FQ=")</f>
        <v>#REF!</v>
      </c>
      <c r="CH39" t="e">
        <f>AND(Liste!#REF!,"AAAAAHa+3FU=")</f>
        <v>#REF!</v>
      </c>
      <c r="CI39" t="e">
        <f>AND(Liste!#REF!,"AAAAAHa+3FY=")</f>
        <v>#REF!</v>
      </c>
      <c r="CJ39" t="e">
        <f>AND(Liste!#REF!,"AAAAAHa+3Fc=")</f>
        <v>#REF!</v>
      </c>
      <c r="CK39" t="e">
        <f>AND(Liste!#REF!,"AAAAAHa+3Fg=")</f>
        <v>#REF!</v>
      </c>
      <c r="CL39" t="e">
        <f>AND(Liste!#REF!,"AAAAAHa+3Fk=")</f>
        <v>#REF!</v>
      </c>
      <c r="CM39" t="e">
        <f>AND(Liste!#REF!,"AAAAAHa+3Fo=")</f>
        <v>#REF!</v>
      </c>
      <c r="CN39" t="e">
        <f>AND(Liste!#REF!,"AAAAAHa+3Fs=")</f>
        <v>#REF!</v>
      </c>
      <c r="CO39" t="e">
        <f>AND(Liste!#REF!,"AAAAAHa+3Fw=")</f>
        <v>#REF!</v>
      </c>
      <c r="CP39" t="e">
        <f>AND(Liste!#REF!,"AAAAAHa+3F0=")</f>
        <v>#REF!</v>
      </c>
      <c r="CQ39" t="e">
        <f>AND(Liste!#REF!,"AAAAAHa+3F4=")</f>
        <v>#REF!</v>
      </c>
      <c r="CR39" t="e">
        <f>AND(Liste!#REF!,"AAAAAHa+3F8=")</f>
        <v>#REF!</v>
      </c>
      <c r="CS39" t="e">
        <f>AND(Liste!#REF!,"AAAAAHa+3GA=")</f>
        <v>#REF!</v>
      </c>
      <c r="CT39" t="e">
        <f>AND(Liste!#REF!,"AAAAAHa+3GE=")</f>
        <v>#REF!</v>
      </c>
      <c r="CU39" t="e">
        <f>AND(Liste!#REF!,"AAAAAHa+3GI=")</f>
        <v>#REF!</v>
      </c>
      <c r="CV39">
        <f>IF(Liste!283:283,"AAAAAHa+3GM=",0)</f>
        <v>0</v>
      </c>
      <c r="CW39" t="b">
        <f>AND(Liste!A283,"AAAAAHa+3GQ=")</f>
        <v>1</v>
      </c>
      <c r="CX39" t="e">
        <f>AND(Liste!#REF!,"AAAAAHa+3GU=")</f>
        <v>#REF!</v>
      </c>
      <c r="CY39" t="e">
        <f>AND(Liste!#REF!,"AAAAAHa+3GY=")</f>
        <v>#REF!</v>
      </c>
      <c r="CZ39" t="e">
        <f>AND(Liste!#REF!,"AAAAAHa+3Gc=")</f>
        <v>#REF!</v>
      </c>
      <c r="DA39" t="e">
        <f>AND(Liste!F339,"AAAAAHa+3Gg=")</f>
        <v>#VALUE!</v>
      </c>
      <c r="DB39" t="e">
        <f>AND(Liste!G339,"AAAAAHa+3Gk=")</f>
        <v>#VALUE!</v>
      </c>
      <c r="DC39" t="e">
        <f>AND(Liste!H339,"AAAAAHa+3Go=")</f>
        <v>#VALUE!</v>
      </c>
      <c r="DD39" t="e">
        <f>AND(Liste!I339,"AAAAAHa+3Gs=")</f>
        <v>#VALUE!</v>
      </c>
      <c r="DE39" t="e">
        <f>AND(Liste!J339,"AAAAAHa+3Gw=")</f>
        <v>#VALUE!</v>
      </c>
      <c r="DF39" t="e">
        <f>AND(Liste!#REF!,"AAAAAHa+3G0=")</f>
        <v>#REF!</v>
      </c>
      <c r="DG39" t="e">
        <f>AND(Liste!#REF!,"AAAAAHa+3G4=")</f>
        <v>#REF!</v>
      </c>
      <c r="DH39" t="e">
        <f>AND(Liste!#REF!,"AAAAAHa+3G8=")</f>
        <v>#REF!</v>
      </c>
      <c r="DI39" t="e">
        <f>AND(Liste!#REF!,"AAAAAHa+3HA=")</f>
        <v>#REF!</v>
      </c>
      <c r="DJ39" t="e">
        <f>AND(Liste!#REF!,"AAAAAHa+3HE=")</f>
        <v>#REF!</v>
      </c>
      <c r="DK39" t="e">
        <f>AND(Liste!#REF!,"AAAAAHa+3HI=")</f>
        <v>#REF!</v>
      </c>
      <c r="DL39" t="e">
        <f>AND(Liste!#REF!,"AAAAAHa+3HM=")</f>
        <v>#REF!</v>
      </c>
      <c r="DM39" t="e">
        <f>AND(Liste!#REF!,"AAAAAHa+3HQ=")</f>
        <v>#REF!</v>
      </c>
      <c r="DN39" t="e">
        <f>AND(Liste!#REF!,"AAAAAHa+3HU=")</f>
        <v>#REF!</v>
      </c>
      <c r="DO39" t="e">
        <f>AND(Liste!#REF!,"AAAAAHa+3HY=")</f>
        <v>#REF!</v>
      </c>
      <c r="DP39" t="e">
        <f>AND(Liste!#REF!,"AAAAAHa+3Hc=")</f>
        <v>#REF!</v>
      </c>
      <c r="DQ39" t="e">
        <f>AND(Liste!#REF!,"AAAAAHa+3Hg=")</f>
        <v>#REF!</v>
      </c>
      <c r="DR39" t="e">
        <f>AND(Liste!#REF!,"AAAAAHa+3Hk=")</f>
        <v>#REF!</v>
      </c>
      <c r="DS39" t="e">
        <f>AND(Liste!#REF!,"AAAAAHa+3Ho=")</f>
        <v>#REF!</v>
      </c>
      <c r="DT39" t="e">
        <f>AND(Liste!#REF!,"AAAAAHa+3Hs=")</f>
        <v>#REF!</v>
      </c>
      <c r="DU39" t="e">
        <f>AND(Liste!#REF!,"AAAAAHa+3Hw=")</f>
        <v>#REF!</v>
      </c>
      <c r="DV39" t="e">
        <f>AND(Liste!#REF!,"AAAAAHa+3H0=")</f>
        <v>#REF!</v>
      </c>
      <c r="DW39" t="e">
        <f>AND(Liste!#REF!,"AAAAAHa+3H4=")</f>
        <v>#REF!</v>
      </c>
      <c r="DX39" t="e">
        <f>AND(Liste!#REF!,"AAAAAHa+3H8=")</f>
        <v>#REF!</v>
      </c>
      <c r="DY39" t="e">
        <f>AND(Liste!#REF!,"AAAAAHa+3IA=")</f>
        <v>#REF!</v>
      </c>
      <c r="DZ39" t="e">
        <f>AND(Liste!#REF!,"AAAAAHa+3IE=")</f>
        <v>#REF!</v>
      </c>
      <c r="EA39">
        <f>IF(Liste!284:284,"AAAAAHa+3II=",0)</f>
        <v>0</v>
      </c>
      <c r="EB39" t="b">
        <f>AND(Liste!A284,"AAAAAHa+3IM=")</f>
        <v>1</v>
      </c>
      <c r="EC39" t="e">
        <f>AND(Liste!#REF!,"AAAAAHa+3IQ=")</f>
        <v>#REF!</v>
      </c>
      <c r="ED39" t="e">
        <f>AND(Liste!#REF!,"AAAAAHa+3IU=")</f>
        <v>#REF!</v>
      </c>
      <c r="EE39" t="e">
        <f>AND(Liste!#REF!,"AAAAAHa+3IY=")</f>
        <v>#REF!</v>
      </c>
      <c r="EF39" t="e">
        <f>AND(Liste!F340,"AAAAAHa+3Ic=")</f>
        <v>#VALUE!</v>
      </c>
      <c r="EG39" t="e">
        <f>AND(Liste!G340,"AAAAAHa+3Ig=")</f>
        <v>#VALUE!</v>
      </c>
      <c r="EH39" t="e">
        <f>AND(Liste!H340,"AAAAAHa+3Ik=")</f>
        <v>#VALUE!</v>
      </c>
      <c r="EI39" t="e">
        <f>AND(Liste!I340,"AAAAAHa+3Io=")</f>
        <v>#VALUE!</v>
      </c>
      <c r="EJ39" t="e">
        <f>AND(Liste!J340,"AAAAAHa+3Is=")</f>
        <v>#VALUE!</v>
      </c>
      <c r="EK39" t="e">
        <f>AND(Liste!#REF!,"AAAAAHa+3Iw=")</f>
        <v>#REF!</v>
      </c>
      <c r="EL39" t="e">
        <f>AND(Liste!#REF!,"AAAAAHa+3I0=")</f>
        <v>#REF!</v>
      </c>
      <c r="EM39" t="e">
        <f>AND(Liste!#REF!,"AAAAAHa+3I4=")</f>
        <v>#REF!</v>
      </c>
      <c r="EN39" t="e">
        <f>AND(Liste!#REF!,"AAAAAHa+3I8=")</f>
        <v>#REF!</v>
      </c>
      <c r="EO39" t="e">
        <f>AND(Liste!#REF!,"AAAAAHa+3JA=")</f>
        <v>#REF!</v>
      </c>
      <c r="EP39" t="e">
        <f>AND(Liste!#REF!,"AAAAAHa+3JE=")</f>
        <v>#REF!</v>
      </c>
      <c r="EQ39" t="e">
        <f>AND(Liste!#REF!,"AAAAAHa+3JI=")</f>
        <v>#REF!</v>
      </c>
      <c r="ER39" t="e">
        <f>AND(Liste!#REF!,"AAAAAHa+3JM=")</f>
        <v>#REF!</v>
      </c>
      <c r="ES39" t="e">
        <f>AND(Liste!#REF!,"AAAAAHa+3JQ=")</f>
        <v>#REF!</v>
      </c>
      <c r="ET39" t="e">
        <f>AND(Liste!#REF!,"AAAAAHa+3JU=")</f>
        <v>#REF!</v>
      </c>
      <c r="EU39" t="e">
        <f>AND(Liste!#REF!,"AAAAAHa+3JY=")</f>
        <v>#REF!</v>
      </c>
      <c r="EV39" t="e">
        <f>AND(Liste!#REF!,"AAAAAHa+3Jc=")</f>
        <v>#REF!</v>
      </c>
      <c r="EW39" t="e">
        <f>AND(Liste!#REF!,"AAAAAHa+3Jg=")</f>
        <v>#REF!</v>
      </c>
      <c r="EX39" t="e">
        <f>AND(Liste!#REF!,"AAAAAHa+3Jk=")</f>
        <v>#REF!</v>
      </c>
      <c r="EY39" t="e">
        <f>AND(Liste!#REF!,"AAAAAHa+3Jo=")</f>
        <v>#REF!</v>
      </c>
      <c r="EZ39" t="e">
        <f>AND(Liste!#REF!,"AAAAAHa+3Js=")</f>
        <v>#REF!</v>
      </c>
      <c r="FA39" t="e">
        <f>AND(Liste!#REF!,"AAAAAHa+3Jw=")</f>
        <v>#REF!</v>
      </c>
      <c r="FB39" t="e">
        <f>AND(Liste!#REF!,"AAAAAHa+3J0=")</f>
        <v>#REF!</v>
      </c>
      <c r="FC39" t="e">
        <f>AND(Liste!#REF!,"AAAAAHa+3J4=")</f>
        <v>#REF!</v>
      </c>
      <c r="FD39" t="e">
        <f>AND(Liste!#REF!,"AAAAAHa+3J8=")</f>
        <v>#REF!</v>
      </c>
      <c r="FE39" t="e">
        <f>AND(Liste!#REF!,"AAAAAHa+3KA=")</f>
        <v>#REF!</v>
      </c>
      <c r="FF39">
        <f>IF(Liste!285:285,"AAAAAHa+3KE=",0)</f>
        <v>0</v>
      </c>
      <c r="FG39" t="b">
        <f>AND(Liste!A285,"AAAAAHa+3KI=")</f>
        <v>1</v>
      </c>
      <c r="FH39" t="e">
        <f>AND(Liste!#REF!,"AAAAAHa+3KM=")</f>
        <v>#REF!</v>
      </c>
      <c r="FI39" t="e">
        <f>AND(Liste!#REF!,"AAAAAHa+3KQ=")</f>
        <v>#REF!</v>
      </c>
      <c r="FJ39" t="e">
        <f>AND(Liste!#REF!,"AAAAAHa+3KU=")</f>
        <v>#REF!</v>
      </c>
      <c r="FK39" t="e">
        <f>AND(Liste!F341,"AAAAAHa+3KY=")</f>
        <v>#VALUE!</v>
      </c>
      <c r="FL39" t="e">
        <f>AND(Liste!G341,"AAAAAHa+3Kc=")</f>
        <v>#VALUE!</v>
      </c>
      <c r="FM39" t="e">
        <f>AND(Liste!H341,"AAAAAHa+3Kg=")</f>
        <v>#VALUE!</v>
      </c>
      <c r="FN39" t="e">
        <f>AND(Liste!I341,"AAAAAHa+3Kk=")</f>
        <v>#VALUE!</v>
      </c>
      <c r="FO39" t="e">
        <f>AND(Liste!J341,"AAAAAHa+3Ko=")</f>
        <v>#VALUE!</v>
      </c>
      <c r="FP39" t="e">
        <f>AND(Liste!#REF!,"AAAAAHa+3Ks=")</f>
        <v>#REF!</v>
      </c>
      <c r="FQ39" t="e">
        <f>AND(Liste!#REF!,"AAAAAHa+3Kw=")</f>
        <v>#REF!</v>
      </c>
      <c r="FR39" t="e">
        <f>AND(Liste!#REF!,"AAAAAHa+3K0=")</f>
        <v>#REF!</v>
      </c>
      <c r="FS39" t="e">
        <f>AND(Liste!#REF!,"AAAAAHa+3K4=")</f>
        <v>#REF!</v>
      </c>
      <c r="FT39" t="e">
        <f>AND(Liste!#REF!,"AAAAAHa+3K8=")</f>
        <v>#REF!</v>
      </c>
      <c r="FU39" t="e">
        <f>AND(Liste!#REF!,"AAAAAHa+3LA=")</f>
        <v>#REF!</v>
      </c>
      <c r="FV39" t="e">
        <f>AND(Liste!#REF!,"AAAAAHa+3LE=")</f>
        <v>#REF!</v>
      </c>
      <c r="FW39" t="e">
        <f>AND(Liste!#REF!,"AAAAAHa+3LI=")</f>
        <v>#REF!</v>
      </c>
      <c r="FX39" t="e">
        <f>AND(Liste!#REF!,"AAAAAHa+3LM=")</f>
        <v>#REF!</v>
      </c>
      <c r="FY39" t="e">
        <f>AND(Liste!#REF!,"AAAAAHa+3LQ=")</f>
        <v>#REF!</v>
      </c>
      <c r="FZ39" t="e">
        <f>AND(Liste!#REF!,"AAAAAHa+3LU=")</f>
        <v>#REF!</v>
      </c>
      <c r="GA39" t="e">
        <f>AND(Liste!#REF!,"AAAAAHa+3LY=")</f>
        <v>#REF!</v>
      </c>
      <c r="GB39" t="e">
        <f>AND(Liste!#REF!,"AAAAAHa+3Lc=")</f>
        <v>#REF!</v>
      </c>
      <c r="GC39" t="e">
        <f>AND(Liste!#REF!,"AAAAAHa+3Lg=")</f>
        <v>#REF!</v>
      </c>
      <c r="GD39" t="e">
        <f>AND(Liste!#REF!,"AAAAAHa+3Lk=")</f>
        <v>#REF!</v>
      </c>
      <c r="GE39" t="e">
        <f>AND(Liste!#REF!,"AAAAAHa+3Lo=")</f>
        <v>#REF!</v>
      </c>
      <c r="GF39" t="e">
        <f>AND(Liste!#REF!,"AAAAAHa+3Ls=")</f>
        <v>#REF!</v>
      </c>
      <c r="GG39" t="e">
        <f>AND(Liste!#REF!,"AAAAAHa+3Lw=")</f>
        <v>#REF!</v>
      </c>
      <c r="GH39" t="e">
        <f>AND(Liste!#REF!,"AAAAAHa+3L0=")</f>
        <v>#REF!</v>
      </c>
      <c r="GI39" t="e">
        <f>AND(Liste!#REF!,"AAAAAHa+3L4=")</f>
        <v>#REF!</v>
      </c>
      <c r="GJ39" t="e">
        <f>AND(Liste!#REF!,"AAAAAHa+3L8=")</f>
        <v>#REF!</v>
      </c>
      <c r="GK39">
        <f>IF(Liste!286:286,"AAAAAHa+3MA=",0)</f>
        <v>0</v>
      </c>
      <c r="GL39" t="b">
        <f>AND(Liste!A286,"AAAAAHa+3ME=")</f>
        <v>1</v>
      </c>
      <c r="GM39" t="e">
        <f>AND(Liste!#REF!,"AAAAAHa+3MI=")</f>
        <v>#REF!</v>
      </c>
      <c r="GN39" t="e">
        <f>AND(Liste!#REF!,"AAAAAHa+3MM=")</f>
        <v>#REF!</v>
      </c>
      <c r="GO39" t="e">
        <f>AND(Liste!#REF!,"AAAAAHa+3MQ=")</f>
        <v>#REF!</v>
      </c>
      <c r="GP39" t="e">
        <f>AND(Liste!F342,"AAAAAHa+3MU=")</f>
        <v>#VALUE!</v>
      </c>
      <c r="GQ39" t="e">
        <f>AND(Liste!G342,"AAAAAHa+3MY=")</f>
        <v>#VALUE!</v>
      </c>
      <c r="GR39" t="e">
        <f>AND(Liste!H342,"AAAAAHa+3Mc=")</f>
        <v>#VALUE!</v>
      </c>
      <c r="GS39" t="e">
        <f>AND(Liste!I342,"AAAAAHa+3Mg=")</f>
        <v>#VALUE!</v>
      </c>
      <c r="GT39" t="e">
        <f>AND(Liste!J342,"AAAAAHa+3Mk=")</f>
        <v>#VALUE!</v>
      </c>
      <c r="GU39" t="e">
        <f>AND(Liste!#REF!,"AAAAAHa+3Mo=")</f>
        <v>#REF!</v>
      </c>
      <c r="GV39" t="e">
        <f>AND(Liste!#REF!,"AAAAAHa+3Ms=")</f>
        <v>#REF!</v>
      </c>
      <c r="GW39" t="e">
        <f>AND(Liste!#REF!,"AAAAAHa+3Mw=")</f>
        <v>#REF!</v>
      </c>
      <c r="GX39" t="e">
        <f>AND(Liste!#REF!,"AAAAAHa+3M0=")</f>
        <v>#REF!</v>
      </c>
      <c r="GY39" t="e">
        <f>AND(Liste!#REF!,"AAAAAHa+3M4=")</f>
        <v>#REF!</v>
      </c>
      <c r="GZ39" t="e">
        <f>AND(Liste!#REF!,"AAAAAHa+3M8=")</f>
        <v>#REF!</v>
      </c>
      <c r="HA39" t="e">
        <f>AND(Liste!#REF!,"AAAAAHa+3NA=")</f>
        <v>#REF!</v>
      </c>
      <c r="HB39" t="e">
        <f>AND(Liste!#REF!,"AAAAAHa+3NE=")</f>
        <v>#REF!</v>
      </c>
      <c r="HC39" t="e">
        <f>AND(Liste!#REF!,"AAAAAHa+3NI=")</f>
        <v>#REF!</v>
      </c>
      <c r="HD39" t="e">
        <f>AND(Liste!#REF!,"AAAAAHa+3NM=")</f>
        <v>#REF!</v>
      </c>
      <c r="HE39" t="e">
        <f>AND(Liste!#REF!,"AAAAAHa+3NQ=")</f>
        <v>#REF!</v>
      </c>
      <c r="HF39" t="e">
        <f>AND(Liste!#REF!,"AAAAAHa+3NU=")</f>
        <v>#REF!</v>
      </c>
      <c r="HG39" t="e">
        <f>AND(Liste!#REF!,"AAAAAHa+3NY=")</f>
        <v>#REF!</v>
      </c>
      <c r="HH39" t="e">
        <f>AND(Liste!#REF!,"AAAAAHa+3Nc=")</f>
        <v>#REF!</v>
      </c>
      <c r="HI39" t="e">
        <f>AND(Liste!#REF!,"AAAAAHa+3Ng=")</f>
        <v>#REF!</v>
      </c>
      <c r="HJ39" t="e">
        <f>AND(Liste!#REF!,"AAAAAHa+3Nk=")</f>
        <v>#REF!</v>
      </c>
      <c r="HK39" t="e">
        <f>AND(Liste!#REF!,"AAAAAHa+3No=")</f>
        <v>#REF!</v>
      </c>
      <c r="HL39" t="e">
        <f>AND(Liste!#REF!,"AAAAAHa+3Ns=")</f>
        <v>#REF!</v>
      </c>
      <c r="HM39" t="e">
        <f>AND(Liste!#REF!,"AAAAAHa+3Nw=")</f>
        <v>#REF!</v>
      </c>
      <c r="HN39" t="e">
        <f>AND(Liste!#REF!,"AAAAAHa+3N0=")</f>
        <v>#REF!</v>
      </c>
      <c r="HO39" t="e">
        <f>AND(Liste!#REF!,"AAAAAHa+3N4=")</f>
        <v>#REF!</v>
      </c>
      <c r="HP39">
        <f>IF(Liste!287:287,"AAAAAHa+3N8=",0)</f>
        <v>0</v>
      </c>
      <c r="HQ39" t="b">
        <f>AND(Liste!A287,"AAAAAHa+3OA=")</f>
        <v>1</v>
      </c>
      <c r="HR39" t="e">
        <f>AND(Liste!#REF!,"AAAAAHa+3OE=")</f>
        <v>#REF!</v>
      </c>
      <c r="HS39" t="e">
        <f>AND(Liste!#REF!,"AAAAAHa+3OI=")</f>
        <v>#REF!</v>
      </c>
      <c r="HT39" t="e">
        <f>AND(Liste!#REF!,"AAAAAHa+3OM=")</f>
        <v>#REF!</v>
      </c>
      <c r="HU39" t="e">
        <f>AND(Liste!F343,"AAAAAHa+3OQ=")</f>
        <v>#VALUE!</v>
      </c>
      <c r="HV39" t="e">
        <f>AND(Liste!G343,"AAAAAHa+3OU=")</f>
        <v>#VALUE!</v>
      </c>
      <c r="HW39" t="e">
        <f>AND(Liste!H343,"AAAAAHa+3OY=")</f>
        <v>#VALUE!</v>
      </c>
      <c r="HX39" t="e">
        <f>AND(Liste!I343,"AAAAAHa+3Oc=")</f>
        <v>#VALUE!</v>
      </c>
      <c r="HY39" t="e">
        <f>AND(Liste!J343,"AAAAAHa+3Og=")</f>
        <v>#VALUE!</v>
      </c>
      <c r="HZ39" t="e">
        <f>AND(Liste!#REF!,"AAAAAHa+3Ok=")</f>
        <v>#REF!</v>
      </c>
      <c r="IA39" t="e">
        <f>AND(Liste!#REF!,"AAAAAHa+3Oo=")</f>
        <v>#REF!</v>
      </c>
      <c r="IB39" t="e">
        <f>AND(Liste!#REF!,"AAAAAHa+3Os=")</f>
        <v>#REF!</v>
      </c>
      <c r="IC39" t="e">
        <f>AND(Liste!#REF!,"AAAAAHa+3Ow=")</f>
        <v>#REF!</v>
      </c>
      <c r="ID39" t="e">
        <f>AND(Liste!#REF!,"AAAAAHa+3O0=")</f>
        <v>#REF!</v>
      </c>
      <c r="IE39" t="e">
        <f>AND(Liste!#REF!,"AAAAAHa+3O4=")</f>
        <v>#REF!</v>
      </c>
      <c r="IF39" t="e">
        <f>AND(Liste!#REF!,"AAAAAHa+3O8=")</f>
        <v>#REF!</v>
      </c>
      <c r="IG39" t="e">
        <f>AND(Liste!#REF!,"AAAAAHa+3PA=")</f>
        <v>#REF!</v>
      </c>
      <c r="IH39" t="e">
        <f>AND(Liste!#REF!,"AAAAAHa+3PE=")</f>
        <v>#REF!</v>
      </c>
      <c r="II39" t="e">
        <f>AND(Liste!#REF!,"AAAAAHa+3PI=")</f>
        <v>#REF!</v>
      </c>
      <c r="IJ39" t="e">
        <f>AND(Liste!#REF!,"AAAAAHa+3PM=")</f>
        <v>#REF!</v>
      </c>
      <c r="IK39" t="e">
        <f>AND(Liste!#REF!,"AAAAAHa+3PQ=")</f>
        <v>#REF!</v>
      </c>
      <c r="IL39" t="e">
        <f>AND(Liste!#REF!,"AAAAAHa+3PU=")</f>
        <v>#REF!</v>
      </c>
      <c r="IM39" t="e">
        <f>AND(Liste!#REF!,"AAAAAHa+3PY=")</f>
        <v>#REF!</v>
      </c>
      <c r="IN39" t="e">
        <f>AND(Liste!#REF!,"AAAAAHa+3Pc=")</f>
        <v>#REF!</v>
      </c>
      <c r="IO39" t="e">
        <f>AND(Liste!#REF!,"AAAAAHa+3Pg=")</f>
        <v>#REF!</v>
      </c>
      <c r="IP39" t="e">
        <f>AND(Liste!#REF!,"AAAAAHa+3Pk=")</f>
        <v>#REF!</v>
      </c>
      <c r="IQ39" t="e">
        <f>AND(Liste!#REF!,"AAAAAHa+3Po=")</f>
        <v>#REF!</v>
      </c>
      <c r="IR39" t="e">
        <f>AND(Liste!#REF!,"AAAAAHa+3Ps=")</f>
        <v>#REF!</v>
      </c>
      <c r="IS39" t="e">
        <f>AND(Liste!#REF!,"AAAAAHa+3Pw=")</f>
        <v>#REF!</v>
      </c>
      <c r="IT39" t="e">
        <f>AND(Liste!#REF!,"AAAAAHa+3P0=")</f>
        <v>#REF!</v>
      </c>
      <c r="IU39">
        <f>IF(Liste!288:288,"AAAAAHa+3P4=",0)</f>
        <v>0</v>
      </c>
      <c r="IV39" t="b">
        <f>AND(Liste!A288,"AAAAAHa+3P8=")</f>
        <v>1</v>
      </c>
    </row>
    <row r="40" spans="1:256" x14ac:dyDescent="0.2">
      <c r="A40" t="e">
        <f>AND(Liste!#REF!,"AAAAAHfp/wA=")</f>
        <v>#REF!</v>
      </c>
      <c r="B40" t="e">
        <f>AND(Liste!#REF!,"AAAAAHfp/wE=")</f>
        <v>#REF!</v>
      </c>
      <c r="C40" t="e">
        <f>AND(Liste!#REF!,"AAAAAHfp/wI=")</f>
        <v>#REF!</v>
      </c>
      <c r="D40" t="e">
        <f>AND(Liste!F344,"AAAAAHfp/wM=")</f>
        <v>#VALUE!</v>
      </c>
      <c r="E40" t="e">
        <f>AND(Liste!G344,"AAAAAHfp/wQ=")</f>
        <v>#VALUE!</v>
      </c>
      <c r="F40" t="e">
        <f>AND(Liste!H344,"AAAAAHfp/wU=")</f>
        <v>#VALUE!</v>
      </c>
      <c r="G40" t="e">
        <f>AND(Liste!I344,"AAAAAHfp/wY=")</f>
        <v>#VALUE!</v>
      </c>
      <c r="H40" t="e">
        <f>AND(Liste!J344,"AAAAAHfp/wc=")</f>
        <v>#VALUE!</v>
      </c>
      <c r="I40" t="e">
        <f>AND(Liste!#REF!,"AAAAAHfp/wg=")</f>
        <v>#REF!</v>
      </c>
      <c r="J40" t="e">
        <f>AND(Liste!#REF!,"AAAAAHfp/wk=")</f>
        <v>#REF!</v>
      </c>
      <c r="K40" t="e">
        <f>AND(Liste!#REF!,"AAAAAHfp/wo=")</f>
        <v>#REF!</v>
      </c>
      <c r="L40" t="e">
        <f>AND(Liste!#REF!,"AAAAAHfp/ws=")</f>
        <v>#REF!</v>
      </c>
      <c r="M40" t="e">
        <f>AND(Liste!#REF!,"AAAAAHfp/ww=")</f>
        <v>#REF!</v>
      </c>
      <c r="N40" t="e">
        <f>AND(Liste!#REF!,"AAAAAHfp/w0=")</f>
        <v>#REF!</v>
      </c>
      <c r="O40" t="e">
        <f>AND(Liste!#REF!,"AAAAAHfp/w4=")</f>
        <v>#REF!</v>
      </c>
      <c r="P40" t="e">
        <f>AND(Liste!#REF!,"AAAAAHfp/w8=")</f>
        <v>#REF!</v>
      </c>
      <c r="Q40" t="e">
        <f>AND(Liste!#REF!,"AAAAAHfp/xA=")</f>
        <v>#REF!</v>
      </c>
      <c r="R40" t="e">
        <f>AND(Liste!#REF!,"AAAAAHfp/xE=")</f>
        <v>#REF!</v>
      </c>
      <c r="S40" t="e">
        <f>AND(Liste!#REF!,"AAAAAHfp/xI=")</f>
        <v>#REF!</v>
      </c>
      <c r="T40" t="e">
        <f>AND(Liste!#REF!,"AAAAAHfp/xM=")</f>
        <v>#REF!</v>
      </c>
      <c r="U40" t="e">
        <f>AND(Liste!#REF!,"AAAAAHfp/xQ=")</f>
        <v>#REF!</v>
      </c>
      <c r="V40" t="e">
        <f>AND(Liste!#REF!,"AAAAAHfp/xU=")</f>
        <v>#REF!</v>
      </c>
      <c r="W40" t="e">
        <f>AND(Liste!#REF!,"AAAAAHfp/xY=")</f>
        <v>#REF!</v>
      </c>
      <c r="X40" t="e">
        <f>AND(Liste!#REF!,"AAAAAHfp/xc=")</f>
        <v>#REF!</v>
      </c>
      <c r="Y40" t="e">
        <f>AND(Liste!#REF!,"AAAAAHfp/xg=")</f>
        <v>#REF!</v>
      </c>
      <c r="Z40" t="e">
        <f>AND(Liste!#REF!,"AAAAAHfp/xk=")</f>
        <v>#REF!</v>
      </c>
      <c r="AA40" t="e">
        <f>AND(Liste!#REF!,"AAAAAHfp/xo=")</f>
        <v>#REF!</v>
      </c>
      <c r="AB40" t="e">
        <f>AND(Liste!#REF!,"AAAAAHfp/xs=")</f>
        <v>#REF!</v>
      </c>
      <c r="AC40" t="e">
        <f>AND(Liste!#REF!,"AAAAAHfp/xw=")</f>
        <v>#REF!</v>
      </c>
      <c r="AD40">
        <f>IF(Liste!289:289,"AAAAAHfp/x0=",0)</f>
        <v>0</v>
      </c>
      <c r="AE40" t="b">
        <f>AND(Liste!A289,"AAAAAHfp/x4=")</f>
        <v>1</v>
      </c>
      <c r="AF40" t="e">
        <f>AND(Liste!#REF!,"AAAAAHfp/x8=")</f>
        <v>#REF!</v>
      </c>
      <c r="AG40" t="e">
        <f>AND(Liste!#REF!,"AAAAAHfp/yA=")</f>
        <v>#REF!</v>
      </c>
      <c r="AH40" t="e">
        <f>AND(Liste!#REF!,"AAAAAHfp/yE=")</f>
        <v>#REF!</v>
      </c>
      <c r="AI40" t="e">
        <f>AND(Liste!F355,"AAAAAHfp/yI=")</f>
        <v>#VALUE!</v>
      </c>
      <c r="AJ40" t="e">
        <f>AND(Liste!G355,"AAAAAHfp/yM=")</f>
        <v>#VALUE!</v>
      </c>
      <c r="AK40" t="e">
        <f>AND(Liste!H355,"AAAAAHfp/yQ=")</f>
        <v>#VALUE!</v>
      </c>
      <c r="AL40" t="e">
        <f>AND(Liste!I355,"AAAAAHfp/yU=")</f>
        <v>#VALUE!</v>
      </c>
      <c r="AM40" t="e">
        <f>AND(Liste!J355,"AAAAAHfp/yY=")</f>
        <v>#VALUE!</v>
      </c>
      <c r="AN40" t="e">
        <f>AND(Liste!#REF!,"AAAAAHfp/yc=")</f>
        <v>#REF!</v>
      </c>
      <c r="AO40" t="e">
        <f>AND(Liste!#REF!,"AAAAAHfp/yg=")</f>
        <v>#REF!</v>
      </c>
      <c r="AP40" t="e">
        <f>AND(Liste!#REF!,"AAAAAHfp/yk=")</f>
        <v>#REF!</v>
      </c>
      <c r="AQ40" t="e">
        <f>AND(Liste!#REF!,"AAAAAHfp/yo=")</f>
        <v>#REF!</v>
      </c>
      <c r="AR40" t="e">
        <f>AND(Liste!#REF!,"AAAAAHfp/ys=")</f>
        <v>#REF!</v>
      </c>
      <c r="AS40" t="e">
        <f>AND(Liste!#REF!,"AAAAAHfp/yw=")</f>
        <v>#REF!</v>
      </c>
      <c r="AT40" t="e">
        <f>AND(Liste!#REF!,"AAAAAHfp/y0=")</f>
        <v>#REF!</v>
      </c>
      <c r="AU40" t="e">
        <f>AND(Liste!#REF!,"AAAAAHfp/y4=")</f>
        <v>#REF!</v>
      </c>
      <c r="AV40" t="e">
        <f>AND(Liste!#REF!,"AAAAAHfp/y8=")</f>
        <v>#REF!</v>
      </c>
      <c r="AW40" t="e">
        <f>AND(Liste!#REF!,"AAAAAHfp/zA=")</f>
        <v>#REF!</v>
      </c>
      <c r="AX40" t="e">
        <f>AND(Liste!#REF!,"AAAAAHfp/zE=")</f>
        <v>#REF!</v>
      </c>
      <c r="AY40" t="e">
        <f>AND(Liste!#REF!,"AAAAAHfp/zI=")</f>
        <v>#REF!</v>
      </c>
      <c r="AZ40" t="e">
        <f>AND(Liste!#REF!,"AAAAAHfp/zM=")</f>
        <v>#REF!</v>
      </c>
      <c r="BA40" t="e">
        <f>AND(Liste!#REF!,"AAAAAHfp/zQ=")</f>
        <v>#REF!</v>
      </c>
      <c r="BB40" t="e">
        <f>AND(Liste!#REF!,"AAAAAHfp/zU=")</f>
        <v>#REF!</v>
      </c>
      <c r="BC40" t="e">
        <f>AND(Liste!#REF!,"AAAAAHfp/zY=")</f>
        <v>#REF!</v>
      </c>
      <c r="BD40" t="e">
        <f>AND(Liste!#REF!,"AAAAAHfp/zc=")</f>
        <v>#REF!</v>
      </c>
      <c r="BE40" t="e">
        <f>AND(Liste!#REF!,"AAAAAHfp/zg=")</f>
        <v>#REF!</v>
      </c>
      <c r="BF40" t="e">
        <f>AND(Liste!#REF!,"AAAAAHfp/zk=")</f>
        <v>#REF!</v>
      </c>
      <c r="BG40" t="e">
        <f>AND(Liste!#REF!,"AAAAAHfp/zo=")</f>
        <v>#REF!</v>
      </c>
      <c r="BH40" t="e">
        <f>AND(Liste!#REF!,"AAAAAHfp/zs=")</f>
        <v>#REF!</v>
      </c>
      <c r="BI40">
        <f>IF(Liste!301:301,"AAAAAHfp/zw=",0)</f>
        <v>0</v>
      </c>
      <c r="BJ40" t="b">
        <f>AND(Liste!A301,"AAAAAHfp/z0=")</f>
        <v>1</v>
      </c>
      <c r="BK40" t="e">
        <f>AND(Liste!#REF!,"AAAAAHfp/z4=")</f>
        <v>#REF!</v>
      </c>
      <c r="BL40" t="e">
        <f>AND(Liste!#REF!,"AAAAAHfp/z8=")</f>
        <v>#REF!</v>
      </c>
      <c r="BM40" t="e">
        <f>AND(Liste!#REF!,"AAAAAHfp/0A=")</f>
        <v>#REF!</v>
      </c>
      <c r="BN40" t="e">
        <f>AND(Liste!F357,"AAAAAHfp/0E=")</f>
        <v>#VALUE!</v>
      </c>
      <c r="BO40" t="e">
        <f>AND(Liste!G357,"AAAAAHfp/0I=")</f>
        <v>#VALUE!</v>
      </c>
      <c r="BP40" t="e">
        <f>AND(Liste!H357,"AAAAAHfp/0M=")</f>
        <v>#VALUE!</v>
      </c>
      <c r="BQ40" t="e">
        <f>AND(Liste!I357,"AAAAAHfp/0Q=")</f>
        <v>#VALUE!</v>
      </c>
      <c r="BR40" t="e">
        <f>AND(Liste!J357,"AAAAAHfp/0U=")</f>
        <v>#VALUE!</v>
      </c>
      <c r="BS40" t="e">
        <f>AND(Liste!#REF!,"AAAAAHfp/0Y=")</f>
        <v>#REF!</v>
      </c>
      <c r="BT40" t="e">
        <f>AND(Liste!#REF!,"AAAAAHfp/0c=")</f>
        <v>#REF!</v>
      </c>
      <c r="BU40" t="e">
        <f>AND(Liste!#REF!,"AAAAAHfp/0g=")</f>
        <v>#REF!</v>
      </c>
      <c r="BV40" t="e">
        <f>AND(Liste!#REF!,"AAAAAHfp/0k=")</f>
        <v>#REF!</v>
      </c>
      <c r="BW40" t="e">
        <f>AND(Liste!#REF!,"AAAAAHfp/0o=")</f>
        <v>#REF!</v>
      </c>
      <c r="BX40" t="e">
        <f>AND(Liste!#REF!,"AAAAAHfp/0s=")</f>
        <v>#REF!</v>
      </c>
      <c r="BY40" t="e">
        <f>AND(Liste!#REF!,"AAAAAHfp/0w=")</f>
        <v>#REF!</v>
      </c>
      <c r="BZ40" t="e">
        <f>AND(Liste!#REF!,"AAAAAHfp/00=")</f>
        <v>#REF!</v>
      </c>
      <c r="CA40" t="e">
        <f>AND(Liste!#REF!,"AAAAAHfp/04=")</f>
        <v>#REF!</v>
      </c>
      <c r="CB40" t="e">
        <f>AND(Liste!#REF!,"AAAAAHfp/08=")</f>
        <v>#REF!</v>
      </c>
      <c r="CC40" t="e">
        <f>AND(Liste!#REF!,"AAAAAHfp/1A=")</f>
        <v>#REF!</v>
      </c>
      <c r="CD40" t="e">
        <f>AND(Liste!#REF!,"AAAAAHfp/1E=")</f>
        <v>#REF!</v>
      </c>
      <c r="CE40" t="e">
        <f>AND(Liste!#REF!,"AAAAAHfp/1I=")</f>
        <v>#REF!</v>
      </c>
      <c r="CF40" t="e">
        <f>AND(Liste!#REF!,"AAAAAHfp/1M=")</f>
        <v>#REF!</v>
      </c>
      <c r="CG40" t="e">
        <f>AND(Liste!#REF!,"AAAAAHfp/1Q=")</f>
        <v>#REF!</v>
      </c>
      <c r="CH40" t="e">
        <f>AND(Liste!#REF!,"AAAAAHfp/1U=")</f>
        <v>#REF!</v>
      </c>
      <c r="CI40" t="e">
        <f>AND(Liste!#REF!,"AAAAAHfp/1Y=")</f>
        <v>#REF!</v>
      </c>
      <c r="CJ40" t="e">
        <f>AND(Liste!#REF!,"AAAAAHfp/1c=")</f>
        <v>#REF!</v>
      </c>
      <c r="CK40" t="e">
        <f>AND(Liste!#REF!,"AAAAAHfp/1g=")</f>
        <v>#REF!</v>
      </c>
      <c r="CL40" t="e">
        <f>AND(Liste!#REF!,"AAAAAHfp/1k=")</f>
        <v>#REF!</v>
      </c>
      <c r="CM40" t="e">
        <f>AND(Liste!#REF!,"AAAAAHfp/1o=")</f>
        <v>#REF!</v>
      </c>
      <c r="CN40">
        <f>IF(Liste!302:302,"AAAAAHfp/1s=",0)</f>
        <v>0</v>
      </c>
      <c r="CO40" t="b">
        <f>AND(Liste!A302,"AAAAAHfp/1w=")</f>
        <v>1</v>
      </c>
      <c r="CP40" t="e">
        <f>AND(Liste!#REF!,"AAAAAHfp/10=")</f>
        <v>#REF!</v>
      </c>
      <c r="CQ40" t="e">
        <f>AND(Liste!#REF!,"AAAAAHfp/14=")</f>
        <v>#REF!</v>
      </c>
      <c r="CR40" t="e">
        <f>AND(Liste!#REF!,"AAAAAHfp/18=")</f>
        <v>#REF!</v>
      </c>
      <c r="CS40" t="e">
        <f>AND(Liste!F358,"AAAAAHfp/2A=")</f>
        <v>#VALUE!</v>
      </c>
      <c r="CT40" t="e">
        <f>AND(Liste!G358,"AAAAAHfp/2E=")</f>
        <v>#VALUE!</v>
      </c>
      <c r="CU40" t="e">
        <f>AND(Liste!H358,"AAAAAHfp/2I=")</f>
        <v>#VALUE!</v>
      </c>
      <c r="CV40" t="e">
        <f>AND(Liste!I358,"AAAAAHfp/2M=")</f>
        <v>#VALUE!</v>
      </c>
      <c r="CW40" t="e">
        <f>AND(Liste!J358,"AAAAAHfp/2Q=")</f>
        <v>#VALUE!</v>
      </c>
      <c r="CX40" t="e">
        <f>AND(Liste!#REF!,"AAAAAHfp/2U=")</f>
        <v>#REF!</v>
      </c>
      <c r="CY40" t="e">
        <f>AND(Liste!#REF!,"AAAAAHfp/2Y=")</f>
        <v>#REF!</v>
      </c>
      <c r="CZ40" t="e">
        <f>AND(Liste!#REF!,"AAAAAHfp/2c=")</f>
        <v>#REF!</v>
      </c>
      <c r="DA40" t="e">
        <f>AND(Liste!#REF!,"AAAAAHfp/2g=")</f>
        <v>#REF!</v>
      </c>
      <c r="DB40" t="e">
        <f>AND(Liste!#REF!,"AAAAAHfp/2k=")</f>
        <v>#REF!</v>
      </c>
      <c r="DC40" t="e">
        <f>AND(Liste!#REF!,"AAAAAHfp/2o=")</f>
        <v>#REF!</v>
      </c>
      <c r="DD40" t="e">
        <f>AND(Liste!#REF!,"AAAAAHfp/2s=")</f>
        <v>#REF!</v>
      </c>
      <c r="DE40" t="e">
        <f>AND(Liste!#REF!,"AAAAAHfp/2w=")</f>
        <v>#REF!</v>
      </c>
      <c r="DF40" t="e">
        <f>AND(Liste!#REF!,"AAAAAHfp/20=")</f>
        <v>#REF!</v>
      </c>
      <c r="DG40" t="e">
        <f>AND(Liste!#REF!,"AAAAAHfp/24=")</f>
        <v>#REF!</v>
      </c>
      <c r="DH40" t="e">
        <f>AND(Liste!#REF!,"AAAAAHfp/28=")</f>
        <v>#REF!</v>
      </c>
      <c r="DI40" t="e">
        <f>AND(Liste!#REF!,"AAAAAHfp/3A=")</f>
        <v>#REF!</v>
      </c>
      <c r="DJ40" t="e">
        <f>AND(Liste!#REF!,"AAAAAHfp/3E=")</f>
        <v>#REF!</v>
      </c>
      <c r="DK40" t="e">
        <f>AND(Liste!#REF!,"AAAAAHfp/3I=")</f>
        <v>#REF!</v>
      </c>
      <c r="DL40" t="e">
        <f>AND(Liste!#REF!,"AAAAAHfp/3M=")</f>
        <v>#REF!</v>
      </c>
      <c r="DM40" t="e">
        <f>AND(Liste!#REF!,"AAAAAHfp/3Q=")</f>
        <v>#REF!</v>
      </c>
      <c r="DN40" t="e">
        <f>AND(Liste!#REF!,"AAAAAHfp/3U=")</f>
        <v>#REF!</v>
      </c>
      <c r="DO40" t="e">
        <f>AND(Liste!#REF!,"AAAAAHfp/3Y=")</f>
        <v>#REF!</v>
      </c>
      <c r="DP40" t="e">
        <f>AND(Liste!#REF!,"AAAAAHfp/3c=")</f>
        <v>#REF!</v>
      </c>
      <c r="DQ40" t="e">
        <f>AND(Liste!#REF!,"AAAAAHfp/3g=")</f>
        <v>#REF!</v>
      </c>
      <c r="DR40" t="e">
        <f>AND(Liste!#REF!,"AAAAAHfp/3k=")</f>
        <v>#REF!</v>
      </c>
      <c r="DS40">
        <f>IF(Liste!303:303,"AAAAAHfp/3o=",0)</f>
        <v>0</v>
      </c>
      <c r="DT40" t="b">
        <f>AND(Liste!A303,"AAAAAHfp/3s=")</f>
        <v>1</v>
      </c>
      <c r="DU40" t="e">
        <f>AND(Liste!#REF!,"AAAAAHfp/3w=")</f>
        <v>#REF!</v>
      </c>
      <c r="DV40" t="e">
        <f>AND(Liste!#REF!,"AAAAAHfp/30=")</f>
        <v>#REF!</v>
      </c>
      <c r="DW40" t="e">
        <f>AND(Liste!#REF!,"AAAAAHfp/34=")</f>
        <v>#REF!</v>
      </c>
      <c r="DX40" t="e">
        <f>AND(Liste!F359,"AAAAAHfp/38=")</f>
        <v>#VALUE!</v>
      </c>
      <c r="DY40" t="e">
        <f>AND(Liste!G359,"AAAAAHfp/4A=")</f>
        <v>#VALUE!</v>
      </c>
      <c r="DZ40" t="e">
        <f>AND(Liste!H359,"AAAAAHfp/4E=")</f>
        <v>#VALUE!</v>
      </c>
      <c r="EA40" t="e">
        <f>AND(Liste!I359,"AAAAAHfp/4I=")</f>
        <v>#VALUE!</v>
      </c>
      <c r="EB40" t="e">
        <f>AND(Liste!J359,"AAAAAHfp/4M=")</f>
        <v>#VALUE!</v>
      </c>
      <c r="EC40" t="e">
        <f>AND(Liste!#REF!,"AAAAAHfp/4Q=")</f>
        <v>#REF!</v>
      </c>
      <c r="ED40" t="e">
        <f>AND(Liste!#REF!,"AAAAAHfp/4U=")</f>
        <v>#REF!</v>
      </c>
      <c r="EE40" t="e">
        <f>AND(Liste!#REF!,"AAAAAHfp/4Y=")</f>
        <v>#REF!</v>
      </c>
      <c r="EF40" t="e">
        <f>AND(Liste!#REF!,"AAAAAHfp/4c=")</f>
        <v>#REF!</v>
      </c>
      <c r="EG40" t="e">
        <f>AND(Liste!#REF!,"AAAAAHfp/4g=")</f>
        <v>#REF!</v>
      </c>
      <c r="EH40" t="e">
        <f>AND(Liste!#REF!,"AAAAAHfp/4k=")</f>
        <v>#REF!</v>
      </c>
      <c r="EI40" t="e">
        <f>AND(Liste!#REF!,"AAAAAHfp/4o=")</f>
        <v>#REF!</v>
      </c>
      <c r="EJ40" t="e">
        <f>AND(Liste!#REF!,"AAAAAHfp/4s=")</f>
        <v>#REF!</v>
      </c>
      <c r="EK40" t="e">
        <f>AND(Liste!#REF!,"AAAAAHfp/4w=")</f>
        <v>#REF!</v>
      </c>
      <c r="EL40" t="e">
        <f>AND(Liste!#REF!,"AAAAAHfp/40=")</f>
        <v>#REF!</v>
      </c>
      <c r="EM40" t="e">
        <f>AND(Liste!#REF!,"AAAAAHfp/44=")</f>
        <v>#REF!</v>
      </c>
      <c r="EN40" t="e">
        <f>AND(Liste!#REF!,"AAAAAHfp/48=")</f>
        <v>#REF!</v>
      </c>
      <c r="EO40" t="e">
        <f>AND(Liste!#REF!,"AAAAAHfp/5A=")</f>
        <v>#REF!</v>
      </c>
      <c r="EP40" t="e">
        <f>AND(Liste!#REF!,"AAAAAHfp/5E=")</f>
        <v>#REF!</v>
      </c>
      <c r="EQ40" t="e">
        <f>AND(Liste!#REF!,"AAAAAHfp/5I=")</f>
        <v>#REF!</v>
      </c>
      <c r="ER40" t="e">
        <f>AND(Liste!#REF!,"AAAAAHfp/5M=")</f>
        <v>#REF!</v>
      </c>
      <c r="ES40" t="e">
        <f>AND(Liste!#REF!,"AAAAAHfp/5Q=")</f>
        <v>#REF!</v>
      </c>
      <c r="ET40" t="e">
        <f>AND(Liste!#REF!,"AAAAAHfp/5U=")</f>
        <v>#REF!</v>
      </c>
      <c r="EU40" t="e">
        <f>AND(Liste!#REF!,"AAAAAHfp/5Y=")</f>
        <v>#REF!</v>
      </c>
      <c r="EV40" t="e">
        <f>AND(Liste!#REF!,"AAAAAHfp/5c=")</f>
        <v>#REF!</v>
      </c>
      <c r="EW40" t="e">
        <f>AND(Liste!#REF!,"AAAAAHfp/5g=")</f>
        <v>#REF!</v>
      </c>
      <c r="EX40">
        <f>IF(Liste!304:304,"AAAAAHfp/5k=",0)</f>
        <v>0</v>
      </c>
      <c r="EY40" t="b">
        <f>AND(Liste!A304,"AAAAAHfp/5o=")</f>
        <v>1</v>
      </c>
      <c r="EZ40" t="e">
        <f>AND(Liste!#REF!,"AAAAAHfp/5s=")</f>
        <v>#REF!</v>
      </c>
      <c r="FA40" t="e">
        <f>AND(Liste!#REF!,"AAAAAHfp/5w=")</f>
        <v>#REF!</v>
      </c>
      <c r="FB40" t="e">
        <f>AND(Liste!#REF!,"AAAAAHfp/50=")</f>
        <v>#REF!</v>
      </c>
      <c r="FC40" t="e">
        <f>AND(Liste!F360,"AAAAAHfp/54=")</f>
        <v>#VALUE!</v>
      </c>
      <c r="FD40" t="e">
        <f>AND(Liste!G360,"AAAAAHfp/58=")</f>
        <v>#VALUE!</v>
      </c>
      <c r="FE40" t="e">
        <f>AND(Liste!H360,"AAAAAHfp/6A=")</f>
        <v>#VALUE!</v>
      </c>
      <c r="FF40" t="e">
        <f>AND(Liste!I360,"AAAAAHfp/6E=")</f>
        <v>#VALUE!</v>
      </c>
      <c r="FG40" t="e">
        <f>AND(Liste!J360,"AAAAAHfp/6I=")</f>
        <v>#VALUE!</v>
      </c>
      <c r="FH40" t="e">
        <f>AND(Liste!#REF!,"AAAAAHfp/6M=")</f>
        <v>#REF!</v>
      </c>
      <c r="FI40" t="e">
        <f>AND(Liste!#REF!,"AAAAAHfp/6Q=")</f>
        <v>#REF!</v>
      </c>
      <c r="FJ40" t="e">
        <f>AND(Liste!#REF!,"AAAAAHfp/6U=")</f>
        <v>#REF!</v>
      </c>
      <c r="FK40" t="e">
        <f>AND(Liste!#REF!,"AAAAAHfp/6Y=")</f>
        <v>#REF!</v>
      </c>
      <c r="FL40" t="e">
        <f>AND(Liste!#REF!,"AAAAAHfp/6c=")</f>
        <v>#REF!</v>
      </c>
      <c r="FM40" t="e">
        <f>AND(Liste!#REF!,"AAAAAHfp/6g=")</f>
        <v>#REF!</v>
      </c>
      <c r="FN40" t="e">
        <f>AND(Liste!#REF!,"AAAAAHfp/6k=")</f>
        <v>#REF!</v>
      </c>
      <c r="FO40" t="e">
        <f>AND(Liste!#REF!,"AAAAAHfp/6o=")</f>
        <v>#REF!</v>
      </c>
      <c r="FP40" t="e">
        <f>AND(Liste!#REF!,"AAAAAHfp/6s=")</f>
        <v>#REF!</v>
      </c>
      <c r="FQ40" t="e">
        <f>AND(Liste!#REF!,"AAAAAHfp/6w=")</f>
        <v>#REF!</v>
      </c>
      <c r="FR40" t="e">
        <f>AND(Liste!#REF!,"AAAAAHfp/60=")</f>
        <v>#REF!</v>
      </c>
      <c r="FS40" t="e">
        <f>AND(Liste!#REF!,"AAAAAHfp/64=")</f>
        <v>#REF!</v>
      </c>
      <c r="FT40" t="e">
        <f>AND(Liste!#REF!,"AAAAAHfp/68=")</f>
        <v>#REF!</v>
      </c>
      <c r="FU40" t="e">
        <f>AND(Liste!#REF!,"AAAAAHfp/7A=")</f>
        <v>#REF!</v>
      </c>
      <c r="FV40" t="e">
        <f>AND(Liste!#REF!,"AAAAAHfp/7E=")</f>
        <v>#REF!</v>
      </c>
      <c r="FW40" t="e">
        <f>AND(Liste!#REF!,"AAAAAHfp/7I=")</f>
        <v>#REF!</v>
      </c>
      <c r="FX40" t="e">
        <f>AND(Liste!#REF!,"AAAAAHfp/7M=")</f>
        <v>#REF!</v>
      </c>
      <c r="FY40" t="e">
        <f>AND(Liste!#REF!,"AAAAAHfp/7Q=")</f>
        <v>#REF!</v>
      </c>
      <c r="FZ40" t="e">
        <f>AND(Liste!#REF!,"AAAAAHfp/7U=")</f>
        <v>#REF!</v>
      </c>
      <c r="GA40" t="e">
        <f>AND(Liste!#REF!,"AAAAAHfp/7Y=")</f>
        <v>#REF!</v>
      </c>
      <c r="GB40" t="e">
        <f>AND(Liste!#REF!,"AAAAAHfp/7c=")</f>
        <v>#REF!</v>
      </c>
      <c r="GC40">
        <f>IF(Liste!305:305,"AAAAAHfp/7g=",0)</f>
        <v>0</v>
      </c>
      <c r="GD40" t="b">
        <f>AND(Liste!A305,"AAAAAHfp/7k=")</f>
        <v>1</v>
      </c>
      <c r="GE40" t="e">
        <f>AND(Liste!#REF!,"AAAAAHfp/7o=")</f>
        <v>#REF!</v>
      </c>
      <c r="GF40" t="e">
        <f>AND(Liste!#REF!,"AAAAAHfp/7s=")</f>
        <v>#REF!</v>
      </c>
      <c r="GG40" t="e">
        <f>AND(Liste!#REF!,"AAAAAHfp/7w=")</f>
        <v>#REF!</v>
      </c>
      <c r="GH40" t="e">
        <f>AND(Liste!F361,"AAAAAHfp/70=")</f>
        <v>#VALUE!</v>
      </c>
      <c r="GI40" t="e">
        <f>AND(Liste!G361,"AAAAAHfp/74=")</f>
        <v>#VALUE!</v>
      </c>
      <c r="GJ40" t="e">
        <f>AND(Liste!H361,"AAAAAHfp/78=")</f>
        <v>#VALUE!</v>
      </c>
      <c r="GK40" t="e">
        <f>AND(Liste!I361,"AAAAAHfp/8A=")</f>
        <v>#VALUE!</v>
      </c>
      <c r="GL40" t="e">
        <f>AND(Liste!J361,"AAAAAHfp/8E=")</f>
        <v>#VALUE!</v>
      </c>
      <c r="GM40" t="e">
        <f>AND(Liste!#REF!,"AAAAAHfp/8I=")</f>
        <v>#REF!</v>
      </c>
      <c r="GN40" t="e">
        <f>AND(Liste!#REF!,"AAAAAHfp/8M=")</f>
        <v>#REF!</v>
      </c>
      <c r="GO40" t="e">
        <f>AND(Liste!#REF!,"AAAAAHfp/8Q=")</f>
        <v>#REF!</v>
      </c>
      <c r="GP40" t="e">
        <f>AND(Liste!#REF!,"AAAAAHfp/8U=")</f>
        <v>#REF!</v>
      </c>
      <c r="GQ40" t="e">
        <f>AND(Liste!#REF!,"AAAAAHfp/8Y=")</f>
        <v>#REF!</v>
      </c>
      <c r="GR40" t="e">
        <f>AND(Liste!#REF!,"AAAAAHfp/8c=")</f>
        <v>#REF!</v>
      </c>
      <c r="GS40" t="e">
        <f>AND(Liste!#REF!,"AAAAAHfp/8g=")</f>
        <v>#REF!</v>
      </c>
      <c r="GT40" t="e">
        <f>AND(Liste!#REF!,"AAAAAHfp/8k=")</f>
        <v>#REF!</v>
      </c>
      <c r="GU40" t="e">
        <f>AND(Liste!#REF!,"AAAAAHfp/8o=")</f>
        <v>#REF!</v>
      </c>
      <c r="GV40" t="e">
        <f>AND(Liste!#REF!,"AAAAAHfp/8s=")</f>
        <v>#REF!</v>
      </c>
      <c r="GW40" t="e">
        <f>AND(Liste!#REF!,"AAAAAHfp/8w=")</f>
        <v>#REF!</v>
      </c>
      <c r="GX40" t="e">
        <f>AND(Liste!#REF!,"AAAAAHfp/80=")</f>
        <v>#REF!</v>
      </c>
      <c r="GY40" t="e">
        <f>AND(Liste!#REF!,"AAAAAHfp/84=")</f>
        <v>#REF!</v>
      </c>
      <c r="GZ40" t="e">
        <f>AND(Liste!#REF!,"AAAAAHfp/88=")</f>
        <v>#REF!</v>
      </c>
      <c r="HA40" t="e">
        <f>AND(Liste!#REF!,"AAAAAHfp/9A=")</f>
        <v>#REF!</v>
      </c>
      <c r="HB40" t="e">
        <f>AND(Liste!#REF!,"AAAAAHfp/9E=")</f>
        <v>#REF!</v>
      </c>
      <c r="HC40" t="e">
        <f>AND(Liste!#REF!,"AAAAAHfp/9I=")</f>
        <v>#REF!</v>
      </c>
      <c r="HD40" t="e">
        <f>AND(Liste!#REF!,"AAAAAHfp/9M=")</f>
        <v>#REF!</v>
      </c>
      <c r="HE40" t="e">
        <f>AND(Liste!#REF!,"AAAAAHfp/9Q=")</f>
        <v>#REF!</v>
      </c>
      <c r="HF40" t="e">
        <f>AND(Liste!#REF!,"AAAAAHfp/9U=")</f>
        <v>#REF!</v>
      </c>
      <c r="HG40" t="e">
        <f>AND(Liste!#REF!,"AAAAAHfp/9Y=")</f>
        <v>#REF!</v>
      </c>
      <c r="HH40">
        <f>IF(Liste!306:306,"AAAAAHfp/9c=",0)</f>
        <v>0</v>
      </c>
      <c r="HI40" t="b">
        <f>AND(Liste!A306,"AAAAAHfp/9g=")</f>
        <v>1</v>
      </c>
      <c r="HJ40" t="e">
        <f>AND(Liste!#REF!,"AAAAAHfp/9k=")</f>
        <v>#REF!</v>
      </c>
      <c r="HK40" t="e">
        <f>AND(Liste!#REF!,"AAAAAHfp/9o=")</f>
        <v>#REF!</v>
      </c>
      <c r="HL40" t="e">
        <f>AND(Liste!#REF!,"AAAAAHfp/9s=")</f>
        <v>#REF!</v>
      </c>
      <c r="HM40" t="e">
        <f>AND(Liste!F362,"AAAAAHfp/9w=")</f>
        <v>#VALUE!</v>
      </c>
      <c r="HN40" t="e">
        <f>AND(Liste!G362,"AAAAAHfp/90=")</f>
        <v>#VALUE!</v>
      </c>
      <c r="HO40" t="e">
        <f>AND(Liste!H362,"AAAAAHfp/94=")</f>
        <v>#VALUE!</v>
      </c>
      <c r="HP40" t="e">
        <f>AND(Liste!I362,"AAAAAHfp/98=")</f>
        <v>#VALUE!</v>
      </c>
      <c r="HQ40" t="e">
        <f>AND(Liste!J362,"AAAAAHfp/+A=")</f>
        <v>#VALUE!</v>
      </c>
      <c r="HR40" t="e">
        <f>AND(Liste!#REF!,"AAAAAHfp/+E=")</f>
        <v>#REF!</v>
      </c>
      <c r="HS40" t="e">
        <f>AND(Liste!#REF!,"AAAAAHfp/+I=")</f>
        <v>#REF!</v>
      </c>
      <c r="HT40" t="e">
        <f>AND(Liste!#REF!,"AAAAAHfp/+M=")</f>
        <v>#REF!</v>
      </c>
      <c r="HU40" t="e">
        <f>AND(Liste!#REF!,"AAAAAHfp/+Q=")</f>
        <v>#REF!</v>
      </c>
      <c r="HV40" t="e">
        <f>AND(Liste!#REF!,"AAAAAHfp/+U=")</f>
        <v>#REF!</v>
      </c>
      <c r="HW40" t="e">
        <f>AND(Liste!#REF!,"AAAAAHfp/+Y=")</f>
        <v>#REF!</v>
      </c>
      <c r="HX40" t="e">
        <f>AND(Liste!#REF!,"AAAAAHfp/+c=")</f>
        <v>#REF!</v>
      </c>
      <c r="HY40" t="e">
        <f>AND(Liste!#REF!,"AAAAAHfp/+g=")</f>
        <v>#REF!</v>
      </c>
      <c r="HZ40" t="e">
        <f>AND(Liste!#REF!,"AAAAAHfp/+k=")</f>
        <v>#REF!</v>
      </c>
      <c r="IA40" t="e">
        <f>AND(Liste!#REF!,"AAAAAHfp/+o=")</f>
        <v>#REF!</v>
      </c>
      <c r="IB40" t="e">
        <f>AND(Liste!#REF!,"AAAAAHfp/+s=")</f>
        <v>#REF!</v>
      </c>
      <c r="IC40" t="e">
        <f>AND(Liste!#REF!,"AAAAAHfp/+w=")</f>
        <v>#REF!</v>
      </c>
      <c r="ID40" t="e">
        <f>AND(Liste!#REF!,"AAAAAHfp/+0=")</f>
        <v>#REF!</v>
      </c>
      <c r="IE40" t="e">
        <f>AND(Liste!#REF!,"AAAAAHfp/+4=")</f>
        <v>#REF!</v>
      </c>
      <c r="IF40" t="e">
        <f>AND(Liste!#REF!,"AAAAAHfp/+8=")</f>
        <v>#REF!</v>
      </c>
      <c r="IG40" t="e">
        <f>AND(Liste!#REF!,"AAAAAHfp//A=")</f>
        <v>#REF!</v>
      </c>
      <c r="IH40" t="e">
        <f>AND(Liste!#REF!,"AAAAAHfp//E=")</f>
        <v>#REF!</v>
      </c>
      <c r="II40" t="e">
        <f>AND(Liste!#REF!,"AAAAAHfp//I=")</f>
        <v>#REF!</v>
      </c>
      <c r="IJ40" t="e">
        <f>AND(Liste!#REF!,"AAAAAHfp//M=")</f>
        <v>#REF!</v>
      </c>
      <c r="IK40" t="e">
        <f>AND(Liste!#REF!,"AAAAAHfp//Q=")</f>
        <v>#REF!</v>
      </c>
      <c r="IL40" t="e">
        <f>AND(Liste!#REF!,"AAAAAHfp//U=")</f>
        <v>#REF!</v>
      </c>
      <c r="IM40">
        <f>IF(Liste!307:307,"AAAAAHfp//Y=",0)</f>
        <v>0</v>
      </c>
      <c r="IN40" t="b">
        <f>AND(Liste!A307,"AAAAAHfp//c=")</f>
        <v>1</v>
      </c>
      <c r="IO40" t="e">
        <f>AND(Liste!#REF!,"AAAAAHfp//g=")</f>
        <v>#REF!</v>
      </c>
      <c r="IP40" t="e">
        <f>AND(Liste!#REF!,"AAAAAHfp//k=")</f>
        <v>#REF!</v>
      </c>
      <c r="IQ40" t="e">
        <f>AND(Liste!#REF!,"AAAAAHfp//o=")</f>
        <v>#REF!</v>
      </c>
      <c r="IR40" t="e">
        <f>AND(Liste!F363,"AAAAAHfp//s=")</f>
        <v>#VALUE!</v>
      </c>
      <c r="IS40" t="e">
        <f>AND(Liste!G363,"AAAAAHfp//w=")</f>
        <v>#VALUE!</v>
      </c>
      <c r="IT40" t="e">
        <f>AND(Liste!H363,"AAAAAHfp//0=")</f>
        <v>#VALUE!</v>
      </c>
      <c r="IU40" t="e">
        <f>AND(Liste!I363,"AAAAAHfp//4=")</f>
        <v>#VALUE!</v>
      </c>
      <c r="IV40" t="e">
        <f>AND(Liste!J363,"AAAAAHfp//8=")</f>
        <v>#VALUE!</v>
      </c>
    </row>
    <row r="41" spans="1:256" x14ac:dyDescent="0.2">
      <c r="A41" t="e">
        <f>AND(Liste!#REF!,"AAAAABj//wA=")</f>
        <v>#REF!</v>
      </c>
      <c r="B41" t="e">
        <f>AND(Liste!#REF!,"AAAAABj//wE=")</f>
        <v>#REF!</v>
      </c>
      <c r="C41" t="e">
        <f>AND(Liste!#REF!,"AAAAABj//wI=")</f>
        <v>#REF!</v>
      </c>
      <c r="D41" t="e">
        <f>AND(Liste!#REF!,"AAAAABj//wM=")</f>
        <v>#REF!</v>
      </c>
      <c r="E41" t="e">
        <f>AND(Liste!#REF!,"AAAAABj//wQ=")</f>
        <v>#REF!</v>
      </c>
      <c r="F41" t="e">
        <f>AND(Liste!#REF!,"AAAAABj//wU=")</f>
        <v>#REF!</v>
      </c>
      <c r="G41" t="e">
        <f>AND(Liste!#REF!,"AAAAABj//wY=")</f>
        <v>#REF!</v>
      </c>
      <c r="H41" t="e">
        <f>AND(Liste!#REF!,"AAAAABj//wc=")</f>
        <v>#REF!</v>
      </c>
      <c r="I41" t="e">
        <f>AND(Liste!#REF!,"AAAAABj//wg=")</f>
        <v>#REF!</v>
      </c>
      <c r="J41" t="e">
        <f>AND(Liste!#REF!,"AAAAABj//wk=")</f>
        <v>#REF!</v>
      </c>
      <c r="K41" t="e">
        <f>AND(Liste!#REF!,"AAAAABj//wo=")</f>
        <v>#REF!</v>
      </c>
      <c r="L41" t="e">
        <f>AND(Liste!#REF!,"AAAAABj//ws=")</f>
        <v>#REF!</v>
      </c>
      <c r="M41" t="e">
        <f>AND(Liste!#REF!,"AAAAABj//ww=")</f>
        <v>#REF!</v>
      </c>
      <c r="N41" t="e">
        <f>AND(Liste!#REF!,"AAAAABj//w0=")</f>
        <v>#REF!</v>
      </c>
      <c r="O41" t="e">
        <f>AND(Liste!#REF!,"AAAAABj//w4=")</f>
        <v>#REF!</v>
      </c>
      <c r="P41" t="e">
        <f>AND(Liste!#REF!,"AAAAABj//w8=")</f>
        <v>#REF!</v>
      </c>
      <c r="Q41" t="e">
        <f>AND(Liste!#REF!,"AAAAABj//xA=")</f>
        <v>#REF!</v>
      </c>
      <c r="R41" t="e">
        <f>AND(Liste!#REF!,"AAAAABj//xE=")</f>
        <v>#REF!</v>
      </c>
      <c r="S41" t="e">
        <f>AND(Liste!#REF!,"AAAAABj//xI=")</f>
        <v>#REF!</v>
      </c>
      <c r="T41" t="e">
        <f>AND(Liste!#REF!,"AAAAABj//xM=")</f>
        <v>#REF!</v>
      </c>
      <c r="U41" t="e">
        <f>AND(Liste!#REF!,"AAAAABj//xQ=")</f>
        <v>#REF!</v>
      </c>
      <c r="V41">
        <f>IF(Liste!308:308,"AAAAABj//xU=",0)</f>
        <v>0</v>
      </c>
      <c r="W41" t="b">
        <f>AND(Liste!A308,"AAAAABj//xY=")</f>
        <v>1</v>
      </c>
      <c r="X41" t="e">
        <f>AND(Liste!#REF!,"AAAAABj//xc=")</f>
        <v>#REF!</v>
      </c>
      <c r="Y41" t="e">
        <f>AND(Liste!#REF!,"AAAAABj//xg=")</f>
        <v>#REF!</v>
      </c>
      <c r="Z41" t="e">
        <f>AND(Liste!#REF!,"AAAAABj//xk=")</f>
        <v>#REF!</v>
      </c>
      <c r="AA41" t="e">
        <f>AND(Liste!F364,"AAAAABj//xo=")</f>
        <v>#VALUE!</v>
      </c>
      <c r="AB41" t="e">
        <f>AND(Liste!G364,"AAAAABj//xs=")</f>
        <v>#VALUE!</v>
      </c>
      <c r="AC41" t="e">
        <f>AND(Liste!H364,"AAAAABj//xw=")</f>
        <v>#VALUE!</v>
      </c>
      <c r="AD41" t="e">
        <f>AND(Liste!I364,"AAAAABj//x0=")</f>
        <v>#VALUE!</v>
      </c>
      <c r="AE41" t="e">
        <f>AND(Liste!J364,"AAAAABj//x4=")</f>
        <v>#VALUE!</v>
      </c>
      <c r="AF41" t="e">
        <f>AND(Liste!#REF!,"AAAAABj//x8=")</f>
        <v>#REF!</v>
      </c>
      <c r="AG41" t="e">
        <f>AND(Liste!#REF!,"AAAAABj//yA=")</f>
        <v>#REF!</v>
      </c>
      <c r="AH41" t="e">
        <f>AND(Liste!#REF!,"AAAAABj//yE=")</f>
        <v>#REF!</v>
      </c>
      <c r="AI41" t="e">
        <f>AND(Liste!#REF!,"AAAAABj//yI=")</f>
        <v>#REF!</v>
      </c>
      <c r="AJ41" t="e">
        <f>AND(Liste!#REF!,"AAAAABj//yM=")</f>
        <v>#REF!</v>
      </c>
      <c r="AK41" t="e">
        <f>AND(Liste!#REF!,"AAAAABj//yQ=")</f>
        <v>#REF!</v>
      </c>
      <c r="AL41" t="e">
        <f>AND(Liste!#REF!,"AAAAABj//yU=")</f>
        <v>#REF!</v>
      </c>
      <c r="AM41" t="e">
        <f>AND(Liste!#REF!,"AAAAABj//yY=")</f>
        <v>#REF!</v>
      </c>
      <c r="AN41" t="e">
        <f>AND(Liste!#REF!,"AAAAABj//yc=")</f>
        <v>#REF!</v>
      </c>
      <c r="AO41" t="e">
        <f>AND(Liste!#REF!,"AAAAABj//yg=")</f>
        <v>#REF!</v>
      </c>
      <c r="AP41" t="e">
        <f>AND(Liste!#REF!,"AAAAABj//yk=")</f>
        <v>#REF!</v>
      </c>
      <c r="AQ41" t="e">
        <f>AND(Liste!#REF!,"AAAAABj//yo=")</f>
        <v>#REF!</v>
      </c>
      <c r="AR41" t="e">
        <f>AND(Liste!#REF!,"AAAAABj//ys=")</f>
        <v>#REF!</v>
      </c>
      <c r="AS41" t="e">
        <f>AND(Liste!#REF!,"AAAAABj//yw=")</f>
        <v>#REF!</v>
      </c>
      <c r="AT41" t="e">
        <f>AND(Liste!#REF!,"AAAAABj//y0=")</f>
        <v>#REF!</v>
      </c>
      <c r="AU41" t="e">
        <f>AND(Liste!#REF!,"AAAAABj//y4=")</f>
        <v>#REF!</v>
      </c>
      <c r="AV41" t="e">
        <f>AND(Liste!#REF!,"AAAAABj//y8=")</f>
        <v>#REF!</v>
      </c>
      <c r="AW41" t="e">
        <f>AND(Liste!#REF!,"AAAAABj//zA=")</f>
        <v>#REF!</v>
      </c>
      <c r="AX41" t="e">
        <f>AND(Liste!#REF!,"AAAAABj//zE=")</f>
        <v>#REF!</v>
      </c>
      <c r="AY41" t="e">
        <f>AND(Liste!#REF!,"AAAAABj//zI=")</f>
        <v>#REF!</v>
      </c>
      <c r="AZ41" t="e">
        <f>AND(Liste!#REF!,"AAAAABj//zM=")</f>
        <v>#REF!</v>
      </c>
      <c r="BA41" t="e">
        <f>IF(Liste!#REF!,"AAAAABj//zQ=",0)</f>
        <v>#REF!</v>
      </c>
      <c r="BB41" t="e">
        <f>AND(Liste!#REF!,"AAAAABj//zU=")</f>
        <v>#REF!</v>
      </c>
      <c r="BC41" t="e">
        <f>AND(Liste!#REF!,"AAAAABj//zY=")</f>
        <v>#REF!</v>
      </c>
      <c r="BD41" t="e">
        <f>AND(Liste!#REF!,"AAAAABj//zc=")</f>
        <v>#REF!</v>
      </c>
      <c r="BE41" t="e">
        <f>AND(Liste!#REF!,"AAAAABj//zg=")</f>
        <v>#REF!</v>
      </c>
      <c r="BF41" t="e">
        <f>AND(Liste!#REF!,"AAAAABj//zk=")</f>
        <v>#REF!</v>
      </c>
      <c r="BG41" t="e">
        <f>AND(Liste!#REF!,"AAAAABj//zo=")</f>
        <v>#REF!</v>
      </c>
      <c r="BH41" t="e">
        <f>AND(Liste!#REF!,"AAAAABj//zs=")</f>
        <v>#REF!</v>
      </c>
      <c r="BI41" t="e">
        <f>AND(Liste!#REF!,"AAAAABj//zw=")</f>
        <v>#REF!</v>
      </c>
      <c r="BJ41" t="e">
        <f>AND(Liste!#REF!,"AAAAABj//z0=")</f>
        <v>#REF!</v>
      </c>
      <c r="BK41" t="e">
        <f>AND(Liste!#REF!,"AAAAABj//z4=")</f>
        <v>#REF!</v>
      </c>
      <c r="BL41" t="e">
        <f>AND(Liste!#REF!,"AAAAABj//z8=")</f>
        <v>#REF!</v>
      </c>
      <c r="BM41" t="e">
        <f>AND(Liste!#REF!,"AAAAABj//0A=")</f>
        <v>#REF!</v>
      </c>
      <c r="BN41" t="e">
        <f>AND(Liste!#REF!,"AAAAABj//0E=")</f>
        <v>#REF!</v>
      </c>
      <c r="BO41" t="e">
        <f>AND(Liste!#REF!,"AAAAABj//0I=")</f>
        <v>#REF!</v>
      </c>
      <c r="BP41" t="e">
        <f>AND(Liste!#REF!,"AAAAABj//0M=")</f>
        <v>#REF!</v>
      </c>
      <c r="BQ41" t="e">
        <f>AND(Liste!#REF!,"AAAAABj//0Q=")</f>
        <v>#REF!</v>
      </c>
      <c r="BR41" t="e">
        <f>AND(Liste!#REF!,"AAAAABj//0U=")</f>
        <v>#REF!</v>
      </c>
      <c r="BS41" t="e">
        <f>AND(Liste!#REF!,"AAAAABj//0Y=")</f>
        <v>#REF!</v>
      </c>
      <c r="BT41" t="e">
        <f>AND(Liste!#REF!,"AAAAABj//0c=")</f>
        <v>#REF!</v>
      </c>
      <c r="BU41" t="e">
        <f>AND(Liste!#REF!,"AAAAABj//0g=")</f>
        <v>#REF!</v>
      </c>
      <c r="BV41" t="e">
        <f>AND(Liste!#REF!,"AAAAABj//0k=")</f>
        <v>#REF!</v>
      </c>
      <c r="BW41" t="e">
        <f>AND(Liste!#REF!,"AAAAABj//0o=")</f>
        <v>#REF!</v>
      </c>
      <c r="BX41" t="e">
        <f>AND(Liste!#REF!,"AAAAABj//0s=")</f>
        <v>#REF!</v>
      </c>
      <c r="BY41" t="e">
        <f>AND(Liste!#REF!,"AAAAABj//0w=")</f>
        <v>#REF!</v>
      </c>
      <c r="BZ41" t="e">
        <f>AND(Liste!#REF!,"AAAAABj//00=")</f>
        <v>#REF!</v>
      </c>
      <c r="CA41" t="e">
        <f>AND(Liste!#REF!,"AAAAABj//04=")</f>
        <v>#REF!</v>
      </c>
      <c r="CB41" t="e">
        <f>AND(Liste!#REF!,"AAAAABj//08=")</f>
        <v>#REF!</v>
      </c>
      <c r="CC41" t="e">
        <f>AND(Liste!#REF!,"AAAAABj//1A=")</f>
        <v>#REF!</v>
      </c>
      <c r="CD41" t="e">
        <f>AND(Liste!#REF!,"AAAAABj//1E=")</f>
        <v>#REF!</v>
      </c>
      <c r="CE41" t="e">
        <f>AND(Liste!#REF!,"AAAAABj//1I=")</f>
        <v>#REF!</v>
      </c>
      <c r="CF41" t="e">
        <f>IF(Liste!#REF!,"AAAAABj//1M=",0)</f>
        <v>#REF!</v>
      </c>
      <c r="CG41" t="e">
        <f>AND(Liste!#REF!,"AAAAABj//1Q=")</f>
        <v>#REF!</v>
      </c>
      <c r="CH41" t="e">
        <f>AND(Liste!#REF!,"AAAAABj//1U=")</f>
        <v>#REF!</v>
      </c>
      <c r="CI41" t="e">
        <f>AND(Liste!#REF!,"AAAAABj//1Y=")</f>
        <v>#REF!</v>
      </c>
      <c r="CJ41" t="e">
        <f>AND(Liste!#REF!,"AAAAABj//1c=")</f>
        <v>#REF!</v>
      </c>
      <c r="CK41" t="e">
        <f>AND(Liste!#REF!,"AAAAABj//1g=")</f>
        <v>#REF!</v>
      </c>
      <c r="CL41" t="e">
        <f>AND(Liste!#REF!,"AAAAABj//1k=")</f>
        <v>#REF!</v>
      </c>
      <c r="CM41" t="e">
        <f>AND(Liste!#REF!,"AAAAABj//1o=")</f>
        <v>#REF!</v>
      </c>
      <c r="CN41" t="e">
        <f>AND(Liste!#REF!,"AAAAABj//1s=")</f>
        <v>#REF!</v>
      </c>
      <c r="CO41" t="e">
        <f>AND(Liste!#REF!,"AAAAABj//1w=")</f>
        <v>#REF!</v>
      </c>
      <c r="CP41" t="e">
        <f>AND(Liste!#REF!,"AAAAABj//10=")</f>
        <v>#REF!</v>
      </c>
      <c r="CQ41" t="e">
        <f>AND(Liste!#REF!,"AAAAABj//14=")</f>
        <v>#REF!</v>
      </c>
      <c r="CR41" t="e">
        <f>AND(Liste!#REF!,"AAAAABj//18=")</f>
        <v>#REF!</v>
      </c>
      <c r="CS41" t="e">
        <f>AND(Liste!#REF!,"AAAAABj//2A=")</f>
        <v>#REF!</v>
      </c>
      <c r="CT41" t="e">
        <f>AND(Liste!#REF!,"AAAAABj//2E=")</f>
        <v>#REF!</v>
      </c>
      <c r="CU41" t="e">
        <f>AND(Liste!#REF!,"AAAAABj//2I=")</f>
        <v>#REF!</v>
      </c>
      <c r="CV41" t="e">
        <f>AND(Liste!#REF!,"AAAAABj//2M=")</f>
        <v>#REF!</v>
      </c>
      <c r="CW41" t="e">
        <f>AND(Liste!#REF!,"AAAAABj//2Q=")</f>
        <v>#REF!</v>
      </c>
      <c r="CX41" t="e">
        <f>AND(Liste!#REF!,"AAAAABj//2U=")</f>
        <v>#REF!</v>
      </c>
      <c r="CY41" t="e">
        <f>AND(Liste!#REF!,"AAAAABj//2Y=")</f>
        <v>#REF!</v>
      </c>
      <c r="CZ41" t="e">
        <f>AND(Liste!#REF!,"AAAAABj//2c=")</f>
        <v>#REF!</v>
      </c>
      <c r="DA41" t="e">
        <f>AND(Liste!#REF!,"AAAAABj//2g=")</f>
        <v>#REF!</v>
      </c>
      <c r="DB41" t="e">
        <f>AND(Liste!#REF!,"AAAAABj//2k=")</f>
        <v>#REF!</v>
      </c>
      <c r="DC41" t="e">
        <f>AND(Liste!#REF!,"AAAAABj//2o=")</f>
        <v>#REF!</v>
      </c>
      <c r="DD41" t="e">
        <f>AND(Liste!#REF!,"AAAAABj//2s=")</f>
        <v>#REF!</v>
      </c>
      <c r="DE41" t="e">
        <f>AND(Liste!#REF!,"AAAAABj//2w=")</f>
        <v>#REF!</v>
      </c>
      <c r="DF41" t="e">
        <f>AND(Liste!#REF!,"AAAAABj//20=")</f>
        <v>#REF!</v>
      </c>
      <c r="DG41" t="e">
        <f>AND(Liste!#REF!,"AAAAABj//24=")</f>
        <v>#REF!</v>
      </c>
      <c r="DH41" t="e">
        <f>AND(Liste!#REF!,"AAAAABj//28=")</f>
        <v>#REF!</v>
      </c>
      <c r="DI41" t="e">
        <f>AND(Liste!#REF!,"AAAAABj//3A=")</f>
        <v>#REF!</v>
      </c>
      <c r="DJ41" t="e">
        <f>AND(Liste!#REF!,"AAAAABj//3E=")</f>
        <v>#REF!</v>
      </c>
      <c r="DK41" t="e">
        <f>IF(Liste!#REF!,"AAAAABj//3I=",0)</f>
        <v>#REF!</v>
      </c>
      <c r="DL41" t="e">
        <f>AND(Liste!#REF!,"AAAAABj//3M=")</f>
        <v>#REF!</v>
      </c>
      <c r="DM41" t="e">
        <f>AND(Liste!#REF!,"AAAAABj//3Q=")</f>
        <v>#REF!</v>
      </c>
      <c r="DN41" t="e">
        <f>AND(Liste!#REF!,"AAAAABj//3U=")</f>
        <v>#REF!</v>
      </c>
      <c r="DO41" t="e">
        <f>AND(Liste!#REF!,"AAAAABj//3Y=")</f>
        <v>#REF!</v>
      </c>
      <c r="DP41" t="e">
        <f>AND(Liste!#REF!,"AAAAABj//3c=")</f>
        <v>#REF!</v>
      </c>
      <c r="DQ41" t="e">
        <f>AND(Liste!#REF!,"AAAAABj//3g=")</f>
        <v>#REF!</v>
      </c>
      <c r="DR41" t="e">
        <f>AND(Liste!#REF!,"AAAAABj//3k=")</f>
        <v>#REF!</v>
      </c>
      <c r="DS41" t="e">
        <f>AND(Liste!#REF!,"AAAAABj//3o=")</f>
        <v>#REF!</v>
      </c>
      <c r="DT41" t="e">
        <f>AND(Liste!#REF!,"AAAAABj//3s=")</f>
        <v>#REF!</v>
      </c>
      <c r="DU41" t="e">
        <f>AND(Liste!#REF!,"AAAAABj//3w=")</f>
        <v>#REF!</v>
      </c>
      <c r="DV41" t="e">
        <f>AND(Liste!#REF!,"AAAAABj//30=")</f>
        <v>#REF!</v>
      </c>
      <c r="DW41" t="e">
        <f>AND(Liste!#REF!,"AAAAABj//34=")</f>
        <v>#REF!</v>
      </c>
      <c r="DX41" t="e">
        <f>AND(Liste!#REF!,"AAAAABj//38=")</f>
        <v>#REF!</v>
      </c>
      <c r="DY41" t="e">
        <f>AND(Liste!#REF!,"AAAAABj//4A=")</f>
        <v>#REF!</v>
      </c>
      <c r="DZ41" t="e">
        <f>AND(Liste!#REF!,"AAAAABj//4E=")</f>
        <v>#REF!</v>
      </c>
      <c r="EA41" t="e">
        <f>AND(Liste!#REF!,"AAAAABj//4I=")</f>
        <v>#REF!</v>
      </c>
      <c r="EB41" t="e">
        <f>AND(Liste!#REF!,"AAAAABj//4M=")</f>
        <v>#REF!</v>
      </c>
      <c r="EC41" t="e">
        <f>AND(Liste!#REF!,"AAAAABj//4Q=")</f>
        <v>#REF!</v>
      </c>
      <c r="ED41" t="e">
        <f>AND(Liste!#REF!,"AAAAABj//4U=")</f>
        <v>#REF!</v>
      </c>
      <c r="EE41" t="e">
        <f>AND(Liste!#REF!,"AAAAABj//4Y=")</f>
        <v>#REF!</v>
      </c>
      <c r="EF41" t="e">
        <f>AND(Liste!#REF!,"AAAAABj//4c=")</f>
        <v>#REF!</v>
      </c>
      <c r="EG41" t="e">
        <f>AND(Liste!#REF!,"AAAAABj//4g=")</f>
        <v>#REF!</v>
      </c>
      <c r="EH41" t="e">
        <f>AND(Liste!#REF!,"AAAAABj//4k=")</f>
        <v>#REF!</v>
      </c>
      <c r="EI41" t="e">
        <f>AND(Liste!#REF!,"AAAAABj//4o=")</f>
        <v>#REF!</v>
      </c>
      <c r="EJ41" t="e">
        <f>AND(Liste!#REF!,"AAAAABj//4s=")</f>
        <v>#REF!</v>
      </c>
      <c r="EK41" t="e">
        <f>AND(Liste!#REF!,"AAAAABj//4w=")</f>
        <v>#REF!</v>
      </c>
      <c r="EL41" t="e">
        <f>AND(Liste!#REF!,"AAAAABj//40=")</f>
        <v>#REF!</v>
      </c>
      <c r="EM41" t="e">
        <f>AND(Liste!#REF!,"AAAAABj//44=")</f>
        <v>#REF!</v>
      </c>
      <c r="EN41" t="e">
        <f>AND(Liste!#REF!,"AAAAABj//48=")</f>
        <v>#REF!</v>
      </c>
      <c r="EO41" t="e">
        <f>AND(Liste!#REF!,"AAAAABj//5A=")</f>
        <v>#REF!</v>
      </c>
      <c r="EP41" t="e">
        <f>IF(Liste!#REF!,"AAAAABj//5E=",0)</f>
        <v>#REF!</v>
      </c>
      <c r="EQ41" t="e">
        <f>AND(Liste!#REF!,"AAAAABj//5I=")</f>
        <v>#REF!</v>
      </c>
      <c r="ER41" t="e">
        <f>AND(Liste!#REF!,"AAAAABj//5M=")</f>
        <v>#REF!</v>
      </c>
      <c r="ES41" t="e">
        <f>AND(Liste!#REF!,"AAAAABj//5Q=")</f>
        <v>#REF!</v>
      </c>
      <c r="ET41" t="e">
        <f>AND(Liste!#REF!,"AAAAABj//5U=")</f>
        <v>#REF!</v>
      </c>
      <c r="EU41" t="e">
        <f>AND(Liste!#REF!,"AAAAABj//5Y=")</f>
        <v>#REF!</v>
      </c>
      <c r="EV41" t="e">
        <f>AND(Liste!#REF!,"AAAAABj//5c=")</f>
        <v>#REF!</v>
      </c>
      <c r="EW41" t="e">
        <f>AND(Liste!#REF!,"AAAAABj//5g=")</f>
        <v>#REF!</v>
      </c>
      <c r="EX41" t="e">
        <f>AND(Liste!#REF!,"AAAAABj//5k=")</f>
        <v>#REF!</v>
      </c>
      <c r="EY41" t="e">
        <f>AND(Liste!#REF!,"AAAAABj//5o=")</f>
        <v>#REF!</v>
      </c>
      <c r="EZ41" t="e">
        <f>AND(Liste!#REF!,"AAAAABj//5s=")</f>
        <v>#REF!</v>
      </c>
      <c r="FA41" t="e">
        <f>AND(Liste!#REF!,"AAAAABj//5w=")</f>
        <v>#REF!</v>
      </c>
      <c r="FB41" t="e">
        <f>AND(Liste!#REF!,"AAAAABj//50=")</f>
        <v>#REF!</v>
      </c>
      <c r="FC41" t="e">
        <f>AND(Liste!#REF!,"AAAAABj//54=")</f>
        <v>#REF!</v>
      </c>
      <c r="FD41" t="e">
        <f>AND(Liste!#REF!,"AAAAABj//58=")</f>
        <v>#REF!</v>
      </c>
      <c r="FE41" t="e">
        <f>AND(Liste!#REF!,"AAAAABj//6A=")</f>
        <v>#REF!</v>
      </c>
      <c r="FF41" t="e">
        <f>AND(Liste!#REF!,"AAAAABj//6E=")</f>
        <v>#REF!</v>
      </c>
      <c r="FG41" t="e">
        <f>AND(Liste!#REF!,"AAAAABj//6I=")</f>
        <v>#REF!</v>
      </c>
      <c r="FH41" t="e">
        <f>AND(Liste!#REF!,"AAAAABj//6M=")</f>
        <v>#REF!</v>
      </c>
      <c r="FI41" t="e">
        <f>AND(Liste!#REF!,"AAAAABj//6Q=")</f>
        <v>#REF!</v>
      </c>
      <c r="FJ41" t="e">
        <f>AND(Liste!#REF!,"AAAAABj//6U=")</f>
        <v>#REF!</v>
      </c>
      <c r="FK41" t="e">
        <f>AND(Liste!#REF!,"AAAAABj//6Y=")</f>
        <v>#REF!</v>
      </c>
      <c r="FL41" t="e">
        <f>AND(Liste!#REF!,"AAAAABj//6c=")</f>
        <v>#REF!</v>
      </c>
      <c r="FM41" t="e">
        <f>AND(Liste!#REF!,"AAAAABj//6g=")</f>
        <v>#REF!</v>
      </c>
      <c r="FN41" t="e">
        <f>AND(Liste!#REF!,"AAAAABj//6k=")</f>
        <v>#REF!</v>
      </c>
      <c r="FO41" t="e">
        <f>AND(Liste!#REF!,"AAAAABj//6o=")</f>
        <v>#REF!</v>
      </c>
      <c r="FP41" t="e">
        <f>AND(Liste!#REF!,"AAAAABj//6s=")</f>
        <v>#REF!</v>
      </c>
      <c r="FQ41" t="e">
        <f>AND(Liste!#REF!,"AAAAABj//6w=")</f>
        <v>#REF!</v>
      </c>
      <c r="FR41" t="e">
        <f>AND(Liste!#REF!,"AAAAABj//60=")</f>
        <v>#REF!</v>
      </c>
      <c r="FS41" t="e">
        <f>AND(Liste!#REF!,"AAAAABj//64=")</f>
        <v>#REF!</v>
      </c>
      <c r="FT41" t="e">
        <f>AND(Liste!#REF!,"AAAAABj//68=")</f>
        <v>#REF!</v>
      </c>
      <c r="FU41" t="e">
        <f>IF(Liste!#REF!,"AAAAABj//7A=",0)</f>
        <v>#REF!</v>
      </c>
      <c r="FV41" t="e">
        <f>AND(Liste!#REF!,"AAAAABj//7E=")</f>
        <v>#REF!</v>
      </c>
      <c r="FW41" t="e">
        <f>AND(Liste!#REF!,"AAAAABj//7I=")</f>
        <v>#REF!</v>
      </c>
      <c r="FX41" t="e">
        <f>AND(Liste!#REF!,"AAAAABj//7M=")</f>
        <v>#REF!</v>
      </c>
      <c r="FY41" t="e">
        <f>AND(Liste!#REF!,"AAAAABj//7Q=")</f>
        <v>#REF!</v>
      </c>
      <c r="FZ41" t="e">
        <f>AND(Liste!#REF!,"AAAAABj//7U=")</f>
        <v>#REF!</v>
      </c>
      <c r="GA41" t="e">
        <f>AND(Liste!#REF!,"AAAAABj//7Y=")</f>
        <v>#REF!</v>
      </c>
      <c r="GB41" t="e">
        <f>AND(Liste!#REF!,"AAAAABj//7c=")</f>
        <v>#REF!</v>
      </c>
      <c r="GC41" t="e">
        <f>AND(Liste!#REF!,"AAAAABj//7g=")</f>
        <v>#REF!</v>
      </c>
      <c r="GD41" t="e">
        <f>AND(Liste!#REF!,"AAAAABj//7k=")</f>
        <v>#REF!</v>
      </c>
      <c r="GE41" t="e">
        <f>AND(Liste!#REF!,"AAAAABj//7o=")</f>
        <v>#REF!</v>
      </c>
      <c r="GF41" t="e">
        <f>AND(Liste!#REF!,"AAAAABj//7s=")</f>
        <v>#REF!</v>
      </c>
      <c r="GG41" t="e">
        <f>AND(Liste!#REF!,"AAAAABj//7w=")</f>
        <v>#REF!</v>
      </c>
      <c r="GH41" t="e">
        <f>AND(Liste!#REF!,"AAAAABj//70=")</f>
        <v>#REF!</v>
      </c>
      <c r="GI41" t="e">
        <f>AND(Liste!#REF!,"AAAAABj//74=")</f>
        <v>#REF!</v>
      </c>
      <c r="GJ41" t="e">
        <f>AND(Liste!#REF!,"AAAAABj//78=")</f>
        <v>#REF!</v>
      </c>
      <c r="GK41" t="e">
        <f>AND(Liste!#REF!,"AAAAABj//8A=")</f>
        <v>#REF!</v>
      </c>
      <c r="GL41" t="e">
        <f>AND(Liste!#REF!,"AAAAABj//8E=")</f>
        <v>#REF!</v>
      </c>
      <c r="GM41" t="e">
        <f>AND(Liste!#REF!,"AAAAABj//8I=")</f>
        <v>#REF!</v>
      </c>
      <c r="GN41" t="e">
        <f>AND(Liste!#REF!,"AAAAABj//8M=")</f>
        <v>#REF!</v>
      </c>
      <c r="GO41" t="e">
        <f>AND(Liste!#REF!,"AAAAABj//8Q=")</f>
        <v>#REF!</v>
      </c>
      <c r="GP41" t="e">
        <f>AND(Liste!#REF!,"AAAAABj//8U=")</f>
        <v>#REF!</v>
      </c>
      <c r="GQ41" t="e">
        <f>AND(Liste!#REF!,"AAAAABj//8Y=")</f>
        <v>#REF!</v>
      </c>
      <c r="GR41" t="e">
        <f>AND(Liste!#REF!,"AAAAABj//8c=")</f>
        <v>#REF!</v>
      </c>
      <c r="GS41" t="e">
        <f>AND(Liste!#REF!,"AAAAABj//8g=")</f>
        <v>#REF!</v>
      </c>
      <c r="GT41" t="e">
        <f>AND(Liste!#REF!,"AAAAABj//8k=")</f>
        <v>#REF!</v>
      </c>
      <c r="GU41" t="e">
        <f>AND(Liste!#REF!,"AAAAABj//8o=")</f>
        <v>#REF!</v>
      </c>
      <c r="GV41" t="e">
        <f>AND(Liste!#REF!,"AAAAABj//8s=")</f>
        <v>#REF!</v>
      </c>
      <c r="GW41" t="e">
        <f>AND(Liste!#REF!,"AAAAABj//8w=")</f>
        <v>#REF!</v>
      </c>
      <c r="GX41" t="e">
        <f>AND(Liste!#REF!,"AAAAABj//80=")</f>
        <v>#REF!</v>
      </c>
      <c r="GY41" t="e">
        <f>AND(Liste!#REF!,"AAAAABj//84=")</f>
        <v>#REF!</v>
      </c>
      <c r="GZ41" t="e">
        <f>IF(Liste!#REF!,"AAAAABj//88=",0)</f>
        <v>#REF!</v>
      </c>
      <c r="HA41" t="e">
        <f>AND(Liste!#REF!,"AAAAABj//9A=")</f>
        <v>#REF!</v>
      </c>
      <c r="HB41" t="e">
        <f>AND(Liste!#REF!,"AAAAABj//9E=")</f>
        <v>#REF!</v>
      </c>
      <c r="HC41" t="e">
        <f>AND(Liste!#REF!,"AAAAABj//9I=")</f>
        <v>#REF!</v>
      </c>
      <c r="HD41" t="e">
        <f>AND(Liste!#REF!,"AAAAABj//9M=")</f>
        <v>#REF!</v>
      </c>
      <c r="HE41" t="e">
        <f>AND(Liste!#REF!,"AAAAABj//9Q=")</f>
        <v>#REF!</v>
      </c>
      <c r="HF41" t="e">
        <f>AND(Liste!#REF!,"AAAAABj//9U=")</f>
        <v>#REF!</v>
      </c>
      <c r="HG41" t="e">
        <f>AND(Liste!#REF!,"AAAAABj//9Y=")</f>
        <v>#REF!</v>
      </c>
      <c r="HH41" t="e">
        <f>AND(Liste!#REF!,"AAAAABj//9c=")</f>
        <v>#REF!</v>
      </c>
      <c r="HI41" t="e">
        <f>AND(Liste!#REF!,"AAAAABj//9g=")</f>
        <v>#REF!</v>
      </c>
      <c r="HJ41" t="e">
        <f>AND(Liste!#REF!,"AAAAABj//9k=")</f>
        <v>#REF!</v>
      </c>
      <c r="HK41" t="e">
        <f>AND(Liste!#REF!,"AAAAABj//9o=")</f>
        <v>#REF!</v>
      </c>
      <c r="HL41" t="e">
        <f>AND(Liste!#REF!,"AAAAABj//9s=")</f>
        <v>#REF!</v>
      </c>
      <c r="HM41" t="e">
        <f>AND(Liste!#REF!,"AAAAABj//9w=")</f>
        <v>#REF!</v>
      </c>
      <c r="HN41" t="e">
        <f>AND(Liste!#REF!,"AAAAABj//90=")</f>
        <v>#REF!</v>
      </c>
      <c r="HO41" t="e">
        <f>AND(Liste!#REF!,"AAAAABj//94=")</f>
        <v>#REF!</v>
      </c>
      <c r="HP41" t="e">
        <f>AND(Liste!#REF!,"AAAAABj//98=")</f>
        <v>#REF!</v>
      </c>
      <c r="HQ41" t="e">
        <f>AND(Liste!#REF!,"AAAAABj//+A=")</f>
        <v>#REF!</v>
      </c>
      <c r="HR41" t="e">
        <f>AND(Liste!#REF!,"AAAAABj//+E=")</f>
        <v>#REF!</v>
      </c>
      <c r="HS41" t="e">
        <f>AND(Liste!#REF!,"AAAAABj//+I=")</f>
        <v>#REF!</v>
      </c>
      <c r="HT41" t="e">
        <f>AND(Liste!#REF!,"AAAAABj//+M=")</f>
        <v>#REF!</v>
      </c>
      <c r="HU41" t="e">
        <f>AND(Liste!#REF!,"AAAAABj//+Q=")</f>
        <v>#REF!</v>
      </c>
      <c r="HV41" t="e">
        <f>AND(Liste!#REF!,"AAAAABj//+U=")</f>
        <v>#REF!</v>
      </c>
      <c r="HW41" t="e">
        <f>AND(Liste!#REF!,"AAAAABj//+Y=")</f>
        <v>#REF!</v>
      </c>
      <c r="HX41" t="e">
        <f>AND(Liste!#REF!,"AAAAABj//+c=")</f>
        <v>#REF!</v>
      </c>
      <c r="HY41" t="e">
        <f>AND(Liste!#REF!,"AAAAABj//+g=")</f>
        <v>#REF!</v>
      </c>
      <c r="HZ41" t="e">
        <f>AND(Liste!#REF!,"AAAAABj//+k=")</f>
        <v>#REF!</v>
      </c>
      <c r="IA41" t="e">
        <f>AND(Liste!#REF!,"AAAAABj//+o=")</f>
        <v>#REF!</v>
      </c>
      <c r="IB41" t="e">
        <f>AND(Liste!#REF!,"AAAAABj//+s=")</f>
        <v>#REF!</v>
      </c>
      <c r="IC41" t="e">
        <f>AND(Liste!#REF!,"AAAAABj//+w=")</f>
        <v>#REF!</v>
      </c>
      <c r="ID41" t="e">
        <f>AND(Liste!#REF!,"AAAAABj//+0=")</f>
        <v>#REF!</v>
      </c>
      <c r="IE41" t="e">
        <f>IF(Liste!#REF!,"AAAAABj//+4=",0)</f>
        <v>#REF!</v>
      </c>
      <c r="IF41" t="e">
        <f>AND(Liste!#REF!,"AAAAABj//+8=")</f>
        <v>#REF!</v>
      </c>
      <c r="IG41" t="e">
        <f>AND(Liste!#REF!,"AAAAABj///A=")</f>
        <v>#REF!</v>
      </c>
      <c r="IH41" t="e">
        <f>AND(Liste!#REF!,"AAAAABj///E=")</f>
        <v>#REF!</v>
      </c>
      <c r="II41" t="e">
        <f>AND(Liste!#REF!,"AAAAABj///I=")</f>
        <v>#REF!</v>
      </c>
      <c r="IJ41" t="e">
        <f>AND(Liste!#REF!,"AAAAABj///M=")</f>
        <v>#REF!</v>
      </c>
      <c r="IK41" t="e">
        <f>AND(Liste!#REF!,"AAAAABj///Q=")</f>
        <v>#REF!</v>
      </c>
      <c r="IL41" t="e">
        <f>AND(Liste!#REF!,"AAAAABj///U=")</f>
        <v>#REF!</v>
      </c>
      <c r="IM41" t="e">
        <f>AND(Liste!#REF!,"AAAAABj///Y=")</f>
        <v>#REF!</v>
      </c>
      <c r="IN41" t="e">
        <f>AND(Liste!#REF!,"AAAAABj///c=")</f>
        <v>#REF!</v>
      </c>
      <c r="IO41" t="e">
        <f>AND(Liste!#REF!,"AAAAABj///g=")</f>
        <v>#REF!</v>
      </c>
      <c r="IP41" t="e">
        <f>AND(Liste!#REF!,"AAAAABj///k=")</f>
        <v>#REF!</v>
      </c>
      <c r="IQ41" t="e">
        <f>AND(Liste!#REF!,"AAAAABj///o=")</f>
        <v>#REF!</v>
      </c>
      <c r="IR41" t="e">
        <f>AND(Liste!#REF!,"AAAAABj///s=")</f>
        <v>#REF!</v>
      </c>
      <c r="IS41" t="e">
        <f>AND(Liste!#REF!,"AAAAABj///w=")</f>
        <v>#REF!</v>
      </c>
      <c r="IT41" t="e">
        <f>AND(Liste!#REF!,"AAAAABj///0=")</f>
        <v>#REF!</v>
      </c>
      <c r="IU41" t="e">
        <f>AND(Liste!#REF!,"AAAAABj///4=")</f>
        <v>#REF!</v>
      </c>
      <c r="IV41" t="e">
        <f>AND(Liste!#REF!,"AAAAABj///8=")</f>
        <v>#REF!</v>
      </c>
    </row>
    <row r="42" spans="1:256" x14ac:dyDescent="0.2">
      <c r="A42" t="e">
        <f>AND(Liste!#REF!,"AAAAAGPn/gA=")</f>
        <v>#REF!</v>
      </c>
      <c r="B42" t="e">
        <f>AND(Liste!#REF!,"AAAAAGPn/gE=")</f>
        <v>#REF!</v>
      </c>
      <c r="C42" t="e">
        <f>AND(Liste!#REF!,"AAAAAGPn/gI=")</f>
        <v>#REF!</v>
      </c>
      <c r="D42" t="e">
        <f>AND(Liste!#REF!,"AAAAAGPn/gM=")</f>
        <v>#REF!</v>
      </c>
      <c r="E42" t="e">
        <f>AND(Liste!#REF!,"AAAAAGPn/gQ=")</f>
        <v>#REF!</v>
      </c>
      <c r="F42" t="e">
        <f>AND(Liste!#REF!,"AAAAAGPn/gU=")</f>
        <v>#REF!</v>
      </c>
      <c r="G42" t="e">
        <f>AND(Liste!#REF!,"AAAAAGPn/gY=")</f>
        <v>#REF!</v>
      </c>
      <c r="H42" t="e">
        <f>AND(Liste!#REF!,"AAAAAGPn/gc=")</f>
        <v>#REF!</v>
      </c>
      <c r="I42" t="e">
        <f>AND(Liste!#REF!,"AAAAAGPn/gg=")</f>
        <v>#REF!</v>
      </c>
      <c r="J42" t="e">
        <f>AND(Liste!#REF!,"AAAAAGPn/gk=")</f>
        <v>#REF!</v>
      </c>
      <c r="K42" t="e">
        <f>AND(Liste!#REF!,"AAAAAGPn/go=")</f>
        <v>#REF!</v>
      </c>
      <c r="L42" t="e">
        <f>AND(Liste!#REF!,"AAAAAGPn/gs=")</f>
        <v>#REF!</v>
      </c>
      <c r="M42" t="e">
        <f>AND(Liste!#REF!,"AAAAAGPn/gw=")</f>
        <v>#REF!</v>
      </c>
      <c r="N42" t="e">
        <f>IF(Liste!#REF!,"AAAAAGPn/g0=",0)</f>
        <v>#REF!</v>
      </c>
      <c r="O42" t="e">
        <f>AND(Liste!#REF!,"AAAAAGPn/g4=")</f>
        <v>#REF!</v>
      </c>
      <c r="P42" t="e">
        <f>AND(Liste!#REF!,"AAAAAGPn/g8=")</f>
        <v>#REF!</v>
      </c>
      <c r="Q42" t="e">
        <f>AND(Liste!#REF!,"AAAAAGPn/hA=")</f>
        <v>#REF!</v>
      </c>
      <c r="R42" t="e">
        <f>AND(Liste!#REF!,"AAAAAGPn/hE=")</f>
        <v>#REF!</v>
      </c>
      <c r="S42" t="e">
        <f>AND(Liste!#REF!,"AAAAAGPn/hI=")</f>
        <v>#REF!</v>
      </c>
      <c r="T42" t="e">
        <f>AND(Liste!#REF!,"AAAAAGPn/hM=")</f>
        <v>#REF!</v>
      </c>
      <c r="U42" t="e">
        <f>AND(Liste!#REF!,"AAAAAGPn/hQ=")</f>
        <v>#REF!</v>
      </c>
      <c r="V42" t="e">
        <f>AND(Liste!#REF!,"AAAAAGPn/hU=")</f>
        <v>#REF!</v>
      </c>
      <c r="W42" t="e">
        <f>AND(Liste!#REF!,"AAAAAGPn/hY=")</f>
        <v>#REF!</v>
      </c>
      <c r="X42" t="e">
        <f>AND(Liste!#REF!,"AAAAAGPn/hc=")</f>
        <v>#REF!</v>
      </c>
      <c r="Y42" t="e">
        <f>AND(Liste!#REF!,"AAAAAGPn/hg=")</f>
        <v>#REF!</v>
      </c>
      <c r="Z42" t="e">
        <f>AND(Liste!#REF!,"AAAAAGPn/hk=")</f>
        <v>#REF!</v>
      </c>
      <c r="AA42" t="e">
        <f>AND(Liste!#REF!,"AAAAAGPn/ho=")</f>
        <v>#REF!</v>
      </c>
      <c r="AB42" t="e">
        <f>AND(Liste!#REF!,"AAAAAGPn/hs=")</f>
        <v>#REF!</v>
      </c>
      <c r="AC42" t="e">
        <f>AND(Liste!#REF!,"AAAAAGPn/hw=")</f>
        <v>#REF!</v>
      </c>
      <c r="AD42" t="e">
        <f>AND(Liste!#REF!,"AAAAAGPn/h0=")</f>
        <v>#REF!</v>
      </c>
      <c r="AE42" t="e">
        <f>AND(Liste!#REF!,"AAAAAGPn/h4=")</f>
        <v>#REF!</v>
      </c>
      <c r="AF42" t="e">
        <f>AND(Liste!#REF!,"AAAAAGPn/h8=")</f>
        <v>#REF!</v>
      </c>
      <c r="AG42" t="e">
        <f>AND(Liste!#REF!,"AAAAAGPn/iA=")</f>
        <v>#REF!</v>
      </c>
      <c r="AH42" t="e">
        <f>AND(Liste!#REF!,"AAAAAGPn/iE=")</f>
        <v>#REF!</v>
      </c>
      <c r="AI42" t="e">
        <f>AND(Liste!#REF!,"AAAAAGPn/iI=")</f>
        <v>#REF!</v>
      </c>
      <c r="AJ42" t="e">
        <f>AND(Liste!#REF!,"AAAAAGPn/iM=")</f>
        <v>#REF!</v>
      </c>
      <c r="AK42" t="e">
        <f>AND(Liste!#REF!,"AAAAAGPn/iQ=")</f>
        <v>#REF!</v>
      </c>
      <c r="AL42" t="e">
        <f>AND(Liste!#REF!,"AAAAAGPn/iU=")</f>
        <v>#REF!</v>
      </c>
      <c r="AM42" t="e">
        <f>AND(Liste!#REF!,"AAAAAGPn/iY=")</f>
        <v>#REF!</v>
      </c>
      <c r="AN42" t="e">
        <f>AND(Liste!#REF!,"AAAAAGPn/ic=")</f>
        <v>#REF!</v>
      </c>
      <c r="AO42" t="e">
        <f>AND(Liste!#REF!,"AAAAAGPn/ig=")</f>
        <v>#REF!</v>
      </c>
      <c r="AP42" t="e">
        <f>AND(Liste!#REF!,"AAAAAGPn/ik=")</f>
        <v>#REF!</v>
      </c>
      <c r="AQ42" t="e">
        <f>AND(Liste!#REF!,"AAAAAGPn/io=")</f>
        <v>#REF!</v>
      </c>
      <c r="AR42" t="e">
        <f>AND(Liste!#REF!,"AAAAAGPn/is=")</f>
        <v>#REF!</v>
      </c>
      <c r="AS42" t="e">
        <f>IF(Liste!#REF!,"AAAAAGPn/iw=",0)</f>
        <v>#REF!</v>
      </c>
      <c r="AT42" t="e">
        <f>AND(Liste!#REF!,"AAAAAGPn/i0=")</f>
        <v>#REF!</v>
      </c>
      <c r="AU42" t="e">
        <f>AND(Liste!#REF!,"AAAAAGPn/i4=")</f>
        <v>#REF!</v>
      </c>
      <c r="AV42" t="e">
        <f>AND(Liste!#REF!,"AAAAAGPn/i8=")</f>
        <v>#REF!</v>
      </c>
      <c r="AW42" t="e">
        <f>AND(Liste!#REF!,"AAAAAGPn/jA=")</f>
        <v>#REF!</v>
      </c>
      <c r="AX42" t="e">
        <f>AND(Liste!#REF!,"AAAAAGPn/jE=")</f>
        <v>#REF!</v>
      </c>
      <c r="AY42" t="e">
        <f>AND(Liste!#REF!,"AAAAAGPn/jI=")</f>
        <v>#REF!</v>
      </c>
      <c r="AZ42" t="e">
        <f>AND(Liste!#REF!,"AAAAAGPn/jM=")</f>
        <v>#REF!</v>
      </c>
      <c r="BA42" t="e">
        <f>AND(Liste!#REF!,"AAAAAGPn/jQ=")</f>
        <v>#REF!</v>
      </c>
      <c r="BB42" t="e">
        <f>AND(Liste!#REF!,"AAAAAGPn/jU=")</f>
        <v>#REF!</v>
      </c>
      <c r="BC42" t="e">
        <f>AND(Liste!#REF!,"AAAAAGPn/jY=")</f>
        <v>#REF!</v>
      </c>
      <c r="BD42" t="e">
        <f>AND(Liste!#REF!,"AAAAAGPn/jc=")</f>
        <v>#REF!</v>
      </c>
      <c r="BE42" t="e">
        <f>AND(Liste!#REF!,"AAAAAGPn/jg=")</f>
        <v>#REF!</v>
      </c>
      <c r="BF42" t="e">
        <f>AND(Liste!#REF!,"AAAAAGPn/jk=")</f>
        <v>#REF!</v>
      </c>
      <c r="BG42" t="e">
        <f>AND(Liste!#REF!,"AAAAAGPn/jo=")</f>
        <v>#REF!</v>
      </c>
      <c r="BH42" t="e">
        <f>AND(Liste!#REF!,"AAAAAGPn/js=")</f>
        <v>#REF!</v>
      </c>
      <c r="BI42" t="e">
        <f>AND(Liste!#REF!,"AAAAAGPn/jw=")</f>
        <v>#REF!</v>
      </c>
      <c r="BJ42" t="e">
        <f>AND(Liste!#REF!,"AAAAAGPn/j0=")</f>
        <v>#REF!</v>
      </c>
      <c r="BK42" t="e">
        <f>AND(Liste!#REF!,"AAAAAGPn/j4=")</f>
        <v>#REF!</v>
      </c>
      <c r="BL42" t="e">
        <f>AND(Liste!#REF!,"AAAAAGPn/j8=")</f>
        <v>#REF!</v>
      </c>
      <c r="BM42" t="e">
        <f>AND(Liste!#REF!,"AAAAAGPn/kA=")</f>
        <v>#REF!</v>
      </c>
      <c r="BN42" t="e">
        <f>AND(Liste!#REF!,"AAAAAGPn/kE=")</f>
        <v>#REF!</v>
      </c>
      <c r="BO42" t="e">
        <f>AND(Liste!#REF!,"AAAAAGPn/kI=")</f>
        <v>#REF!</v>
      </c>
      <c r="BP42" t="e">
        <f>AND(Liste!#REF!,"AAAAAGPn/kM=")</f>
        <v>#REF!</v>
      </c>
      <c r="BQ42" t="e">
        <f>AND(Liste!#REF!,"AAAAAGPn/kQ=")</f>
        <v>#REF!</v>
      </c>
      <c r="BR42" t="e">
        <f>AND(Liste!#REF!,"AAAAAGPn/kU=")</f>
        <v>#REF!</v>
      </c>
      <c r="BS42" t="e">
        <f>AND(Liste!#REF!,"AAAAAGPn/kY=")</f>
        <v>#REF!</v>
      </c>
      <c r="BT42" t="e">
        <f>AND(Liste!#REF!,"AAAAAGPn/kc=")</f>
        <v>#REF!</v>
      </c>
      <c r="BU42" t="e">
        <f>AND(Liste!#REF!,"AAAAAGPn/kg=")</f>
        <v>#REF!</v>
      </c>
      <c r="BV42" t="e">
        <f>AND(Liste!#REF!,"AAAAAGPn/kk=")</f>
        <v>#REF!</v>
      </c>
      <c r="BW42" t="e">
        <f>AND(Liste!#REF!,"AAAAAGPn/ko=")</f>
        <v>#REF!</v>
      </c>
      <c r="BX42" t="e">
        <f>IF(Liste!#REF!,"AAAAAGPn/ks=",0)</f>
        <v>#REF!</v>
      </c>
      <c r="BY42" t="e">
        <f>AND(Liste!#REF!,"AAAAAGPn/kw=")</f>
        <v>#REF!</v>
      </c>
      <c r="BZ42" t="e">
        <f>AND(Liste!#REF!,"AAAAAGPn/k0=")</f>
        <v>#REF!</v>
      </c>
      <c r="CA42" t="e">
        <f>AND(Liste!#REF!,"AAAAAGPn/k4=")</f>
        <v>#REF!</v>
      </c>
      <c r="CB42" t="e">
        <f>AND(Liste!#REF!,"AAAAAGPn/k8=")</f>
        <v>#REF!</v>
      </c>
      <c r="CC42" t="e">
        <f>AND(Liste!#REF!,"AAAAAGPn/lA=")</f>
        <v>#REF!</v>
      </c>
      <c r="CD42" t="e">
        <f>AND(Liste!#REF!,"AAAAAGPn/lE=")</f>
        <v>#REF!</v>
      </c>
      <c r="CE42" t="e">
        <f>AND(Liste!#REF!,"AAAAAGPn/lI=")</f>
        <v>#REF!</v>
      </c>
      <c r="CF42" t="e">
        <f>AND(Liste!#REF!,"AAAAAGPn/lM=")</f>
        <v>#REF!</v>
      </c>
      <c r="CG42" t="e">
        <f>AND(Liste!#REF!,"AAAAAGPn/lQ=")</f>
        <v>#REF!</v>
      </c>
      <c r="CH42" t="e">
        <f>AND(Liste!#REF!,"AAAAAGPn/lU=")</f>
        <v>#REF!</v>
      </c>
      <c r="CI42" t="e">
        <f>AND(Liste!#REF!,"AAAAAGPn/lY=")</f>
        <v>#REF!</v>
      </c>
      <c r="CJ42" t="e">
        <f>AND(Liste!#REF!,"AAAAAGPn/lc=")</f>
        <v>#REF!</v>
      </c>
      <c r="CK42" t="e">
        <f>AND(Liste!#REF!,"AAAAAGPn/lg=")</f>
        <v>#REF!</v>
      </c>
      <c r="CL42" t="e">
        <f>AND(Liste!#REF!,"AAAAAGPn/lk=")</f>
        <v>#REF!</v>
      </c>
      <c r="CM42" t="e">
        <f>AND(Liste!#REF!,"AAAAAGPn/lo=")</f>
        <v>#REF!</v>
      </c>
      <c r="CN42" t="e">
        <f>AND(Liste!#REF!,"AAAAAGPn/ls=")</f>
        <v>#REF!</v>
      </c>
      <c r="CO42" t="e">
        <f>AND(Liste!#REF!,"AAAAAGPn/lw=")</f>
        <v>#REF!</v>
      </c>
      <c r="CP42" t="e">
        <f>AND(Liste!#REF!,"AAAAAGPn/l0=")</f>
        <v>#REF!</v>
      </c>
      <c r="CQ42" t="e">
        <f>AND(Liste!#REF!,"AAAAAGPn/l4=")</f>
        <v>#REF!</v>
      </c>
      <c r="CR42" t="e">
        <f>AND(Liste!#REF!,"AAAAAGPn/l8=")</f>
        <v>#REF!</v>
      </c>
      <c r="CS42" t="e">
        <f>AND(Liste!#REF!,"AAAAAGPn/mA=")</f>
        <v>#REF!</v>
      </c>
      <c r="CT42" t="e">
        <f>AND(Liste!#REF!,"AAAAAGPn/mE=")</f>
        <v>#REF!</v>
      </c>
      <c r="CU42" t="e">
        <f>AND(Liste!#REF!,"AAAAAGPn/mI=")</f>
        <v>#REF!</v>
      </c>
      <c r="CV42" t="e">
        <f>AND(Liste!#REF!,"AAAAAGPn/mM=")</f>
        <v>#REF!</v>
      </c>
      <c r="CW42" t="e">
        <f>AND(Liste!#REF!,"AAAAAGPn/mQ=")</f>
        <v>#REF!</v>
      </c>
      <c r="CX42" t="e">
        <f>AND(Liste!#REF!,"AAAAAGPn/mU=")</f>
        <v>#REF!</v>
      </c>
      <c r="CY42" t="e">
        <f>AND(Liste!#REF!,"AAAAAGPn/mY=")</f>
        <v>#REF!</v>
      </c>
      <c r="CZ42" t="e">
        <f>AND(Liste!#REF!,"AAAAAGPn/mc=")</f>
        <v>#REF!</v>
      </c>
      <c r="DA42" t="e">
        <f>AND(Liste!#REF!,"AAAAAGPn/mg=")</f>
        <v>#REF!</v>
      </c>
      <c r="DB42" t="e">
        <f>AND(Liste!#REF!,"AAAAAGPn/mk=")</f>
        <v>#REF!</v>
      </c>
      <c r="DC42" t="e">
        <f>IF(Liste!#REF!,"AAAAAGPn/mo=",0)</f>
        <v>#REF!</v>
      </c>
      <c r="DD42" t="e">
        <f>AND(Liste!#REF!,"AAAAAGPn/ms=")</f>
        <v>#REF!</v>
      </c>
      <c r="DE42" t="e">
        <f>AND(Liste!#REF!,"AAAAAGPn/mw=")</f>
        <v>#REF!</v>
      </c>
      <c r="DF42" t="e">
        <f>AND(Liste!#REF!,"AAAAAGPn/m0=")</f>
        <v>#REF!</v>
      </c>
      <c r="DG42" t="e">
        <f>AND(Liste!#REF!,"AAAAAGPn/m4=")</f>
        <v>#REF!</v>
      </c>
      <c r="DH42" t="e">
        <f>AND(Liste!#REF!,"AAAAAGPn/m8=")</f>
        <v>#REF!</v>
      </c>
      <c r="DI42" t="e">
        <f>AND(Liste!#REF!,"AAAAAGPn/nA=")</f>
        <v>#REF!</v>
      </c>
      <c r="DJ42" t="e">
        <f>AND(Liste!#REF!,"AAAAAGPn/nE=")</f>
        <v>#REF!</v>
      </c>
      <c r="DK42" t="e">
        <f>AND(Liste!#REF!,"AAAAAGPn/nI=")</f>
        <v>#REF!</v>
      </c>
      <c r="DL42" t="e">
        <f>AND(Liste!#REF!,"AAAAAGPn/nM=")</f>
        <v>#REF!</v>
      </c>
      <c r="DM42" t="e">
        <f>AND(Liste!#REF!,"AAAAAGPn/nQ=")</f>
        <v>#REF!</v>
      </c>
      <c r="DN42" t="e">
        <f>AND(Liste!#REF!,"AAAAAGPn/nU=")</f>
        <v>#REF!</v>
      </c>
      <c r="DO42" t="e">
        <f>AND(Liste!#REF!,"AAAAAGPn/nY=")</f>
        <v>#REF!</v>
      </c>
      <c r="DP42" t="e">
        <f>AND(Liste!#REF!,"AAAAAGPn/nc=")</f>
        <v>#REF!</v>
      </c>
      <c r="DQ42" t="e">
        <f>AND(Liste!#REF!,"AAAAAGPn/ng=")</f>
        <v>#REF!</v>
      </c>
      <c r="DR42" t="e">
        <f>AND(Liste!#REF!,"AAAAAGPn/nk=")</f>
        <v>#REF!</v>
      </c>
      <c r="DS42" t="e">
        <f>AND(Liste!#REF!,"AAAAAGPn/no=")</f>
        <v>#REF!</v>
      </c>
      <c r="DT42" t="e">
        <f>AND(Liste!#REF!,"AAAAAGPn/ns=")</f>
        <v>#REF!</v>
      </c>
      <c r="DU42" t="e">
        <f>AND(Liste!#REF!,"AAAAAGPn/nw=")</f>
        <v>#REF!</v>
      </c>
      <c r="DV42" t="e">
        <f>AND(Liste!#REF!,"AAAAAGPn/n0=")</f>
        <v>#REF!</v>
      </c>
      <c r="DW42" t="e">
        <f>AND(Liste!#REF!,"AAAAAGPn/n4=")</f>
        <v>#REF!</v>
      </c>
      <c r="DX42" t="e">
        <f>AND(Liste!#REF!,"AAAAAGPn/n8=")</f>
        <v>#REF!</v>
      </c>
      <c r="DY42" t="e">
        <f>AND(Liste!#REF!,"AAAAAGPn/oA=")</f>
        <v>#REF!</v>
      </c>
      <c r="DZ42" t="e">
        <f>AND(Liste!#REF!,"AAAAAGPn/oE=")</f>
        <v>#REF!</v>
      </c>
      <c r="EA42" t="e">
        <f>AND(Liste!#REF!,"AAAAAGPn/oI=")</f>
        <v>#REF!</v>
      </c>
      <c r="EB42" t="e">
        <f>AND(Liste!#REF!,"AAAAAGPn/oM=")</f>
        <v>#REF!</v>
      </c>
      <c r="EC42" t="e">
        <f>AND(Liste!#REF!,"AAAAAGPn/oQ=")</f>
        <v>#REF!</v>
      </c>
      <c r="ED42" t="e">
        <f>AND(Liste!#REF!,"AAAAAGPn/oU=")</f>
        <v>#REF!</v>
      </c>
      <c r="EE42" t="e">
        <f>AND(Liste!#REF!,"AAAAAGPn/oY=")</f>
        <v>#REF!</v>
      </c>
      <c r="EF42" t="e">
        <f>AND(Liste!#REF!,"AAAAAGPn/oc=")</f>
        <v>#REF!</v>
      </c>
      <c r="EG42" t="e">
        <f>AND(Liste!#REF!,"AAAAAGPn/og=")</f>
        <v>#REF!</v>
      </c>
      <c r="EH42" t="e">
        <f>IF(Liste!#REF!,"AAAAAGPn/ok=",0)</f>
        <v>#REF!</v>
      </c>
      <c r="EI42" t="e">
        <f>AND(Liste!#REF!,"AAAAAGPn/oo=")</f>
        <v>#REF!</v>
      </c>
      <c r="EJ42" t="e">
        <f>AND(Liste!#REF!,"AAAAAGPn/os=")</f>
        <v>#REF!</v>
      </c>
      <c r="EK42" t="e">
        <f>AND(Liste!#REF!,"AAAAAGPn/ow=")</f>
        <v>#REF!</v>
      </c>
      <c r="EL42" t="e">
        <f>AND(Liste!#REF!,"AAAAAGPn/o0=")</f>
        <v>#REF!</v>
      </c>
      <c r="EM42" t="e">
        <f>AND(Liste!#REF!,"AAAAAGPn/o4=")</f>
        <v>#REF!</v>
      </c>
      <c r="EN42" t="e">
        <f>AND(Liste!#REF!,"AAAAAGPn/o8=")</f>
        <v>#REF!</v>
      </c>
      <c r="EO42" t="e">
        <f>AND(Liste!#REF!,"AAAAAGPn/pA=")</f>
        <v>#REF!</v>
      </c>
      <c r="EP42" t="e">
        <f>AND(Liste!#REF!,"AAAAAGPn/pE=")</f>
        <v>#REF!</v>
      </c>
      <c r="EQ42" t="e">
        <f>AND(Liste!#REF!,"AAAAAGPn/pI=")</f>
        <v>#REF!</v>
      </c>
      <c r="ER42" t="e">
        <f>AND(Liste!#REF!,"AAAAAGPn/pM=")</f>
        <v>#REF!</v>
      </c>
      <c r="ES42" t="e">
        <f>AND(Liste!#REF!,"AAAAAGPn/pQ=")</f>
        <v>#REF!</v>
      </c>
      <c r="ET42" t="e">
        <f>AND(Liste!#REF!,"AAAAAGPn/pU=")</f>
        <v>#REF!</v>
      </c>
      <c r="EU42" t="e">
        <f>AND(Liste!#REF!,"AAAAAGPn/pY=")</f>
        <v>#REF!</v>
      </c>
      <c r="EV42" t="e">
        <f>AND(Liste!#REF!,"AAAAAGPn/pc=")</f>
        <v>#REF!</v>
      </c>
      <c r="EW42" t="e">
        <f>AND(Liste!#REF!,"AAAAAGPn/pg=")</f>
        <v>#REF!</v>
      </c>
      <c r="EX42" t="e">
        <f>AND(Liste!#REF!,"AAAAAGPn/pk=")</f>
        <v>#REF!</v>
      </c>
      <c r="EY42" t="e">
        <f>AND(Liste!#REF!,"AAAAAGPn/po=")</f>
        <v>#REF!</v>
      </c>
      <c r="EZ42" t="e">
        <f>AND(Liste!#REF!,"AAAAAGPn/ps=")</f>
        <v>#REF!</v>
      </c>
      <c r="FA42" t="e">
        <f>AND(Liste!#REF!,"AAAAAGPn/pw=")</f>
        <v>#REF!</v>
      </c>
      <c r="FB42" t="e">
        <f>AND(Liste!#REF!,"AAAAAGPn/p0=")</f>
        <v>#REF!</v>
      </c>
      <c r="FC42" t="e">
        <f>AND(Liste!#REF!,"AAAAAGPn/p4=")</f>
        <v>#REF!</v>
      </c>
      <c r="FD42" t="e">
        <f>AND(Liste!#REF!,"AAAAAGPn/p8=")</f>
        <v>#REF!</v>
      </c>
      <c r="FE42" t="e">
        <f>AND(Liste!#REF!,"AAAAAGPn/qA=")</f>
        <v>#REF!</v>
      </c>
      <c r="FF42" t="e">
        <f>AND(Liste!#REF!,"AAAAAGPn/qE=")</f>
        <v>#REF!</v>
      </c>
      <c r="FG42" t="e">
        <f>AND(Liste!#REF!,"AAAAAGPn/qI=")</f>
        <v>#REF!</v>
      </c>
      <c r="FH42" t="e">
        <f>AND(Liste!#REF!,"AAAAAGPn/qM=")</f>
        <v>#REF!</v>
      </c>
      <c r="FI42" t="e">
        <f>AND(Liste!#REF!,"AAAAAGPn/qQ=")</f>
        <v>#REF!</v>
      </c>
      <c r="FJ42" t="e">
        <f>AND(Liste!#REF!,"AAAAAGPn/qU=")</f>
        <v>#REF!</v>
      </c>
      <c r="FK42" t="e">
        <f>AND(Liste!#REF!,"AAAAAGPn/qY=")</f>
        <v>#REF!</v>
      </c>
      <c r="FL42" t="e">
        <f>AND(Liste!#REF!,"AAAAAGPn/qc=")</f>
        <v>#REF!</v>
      </c>
      <c r="FM42" t="e">
        <f>IF(Liste!#REF!,"AAAAAGPn/qg=",0)</f>
        <v>#REF!</v>
      </c>
      <c r="FN42" t="e">
        <f>AND(Liste!#REF!,"AAAAAGPn/qk=")</f>
        <v>#REF!</v>
      </c>
      <c r="FO42" t="e">
        <f>AND(Liste!#REF!,"AAAAAGPn/qo=")</f>
        <v>#REF!</v>
      </c>
      <c r="FP42" t="e">
        <f>AND(Liste!#REF!,"AAAAAGPn/qs=")</f>
        <v>#REF!</v>
      </c>
      <c r="FQ42" t="e">
        <f>AND(Liste!#REF!,"AAAAAGPn/qw=")</f>
        <v>#REF!</v>
      </c>
      <c r="FR42" t="e">
        <f>AND(Liste!#REF!,"AAAAAGPn/q0=")</f>
        <v>#REF!</v>
      </c>
      <c r="FS42" t="e">
        <f>AND(Liste!#REF!,"AAAAAGPn/q4=")</f>
        <v>#REF!</v>
      </c>
      <c r="FT42" t="e">
        <f>AND(Liste!#REF!,"AAAAAGPn/q8=")</f>
        <v>#REF!</v>
      </c>
      <c r="FU42" t="e">
        <f>AND(Liste!#REF!,"AAAAAGPn/rA=")</f>
        <v>#REF!</v>
      </c>
      <c r="FV42" t="e">
        <f>AND(Liste!#REF!,"AAAAAGPn/rE=")</f>
        <v>#REF!</v>
      </c>
      <c r="FW42" t="e">
        <f>AND(Liste!#REF!,"AAAAAGPn/rI=")</f>
        <v>#REF!</v>
      </c>
      <c r="FX42" t="e">
        <f>AND(Liste!#REF!,"AAAAAGPn/rM=")</f>
        <v>#REF!</v>
      </c>
      <c r="FY42" t="e">
        <f>AND(Liste!#REF!,"AAAAAGPn/rQ=")</f>
        <v>#REF!</v>
      </c>
      <c r="FZ42" t="e">
        <f>AND(Liste!#REF!,"AAAAAGPn/rU=")</f>
        <v>#REF!</v>
      </c>
      <c r="GA42" t="e">
        <f>AND(Liste!#REF!,"AAAAAGPn/rY=")</f>
        <v>#REF!</v>
      </c>
      <c r="GB42" t="e">
        <f>AND(Liste!#REF!,"AAAAAGPn/rc=")</f>
        <v>#REF!</v>
      </c>
      <c r="GC42" t="e">
        <f>AND(Liste!#REF!,"AAAAAGPn/rg=")</f>
        <v>#REF!</v>
      </c>
      <c r="GD42" t="e">
        <f>AND(Liste!#REF!,"AAAAAGPn/rk=")</f>
        <v>#REF!</v>
      </c>
      <c r="GE42" t="e">
        <f>AND(Liste!#REF!,"AAAAAGPn/ro=")</f>
        <v>#REF!</v>
      </c>
      <c r="GF42" t="e">
        <f>AND(Liste!#REF!,"AAAAAGPn/rs=")</f>
        <v>#REF!</v>
      </c>
      <c r="GG42" t="e">
        <f>AND(Liste!#REF!,"AAAAAGPn/rw=")</f>
        <v>#REF!</v>
      </c>
      <c r="GH42" t="e">
        <f>AND(Liste!#REF!,"AAAAAGPn/r0=")</f>
        <v>#REF!</v>
      </c>
      <c r="GI42" t="e">
        <f>AND(Liste!#REF!,"AAAAAGPn/r4=")</f>
        <v>#REF!</v>
      </c>
      <c r="GJ42" t="e">
        <f>AND(Liste!#REF!,"AAAAAGPn/r8=")</f>
        <v>#REF!</v>
      </c>
      <c r="GK42" t="e">
        <f>AND(Liste!#REF!,"AAAAAGPn/sA=")</f>
        <v>#REF!</v>
      </c>
      <c r="GL42" t="e">
        <f>AND(Liste!#REF!,"AAAAAGPn/sE=")</f>
        <v>#REF!</v>
      </c>
      <c r="GM42" t="e">
        <f>AND(Liste!#REF!,"AAAAAGPn/sI=")</f>
        <v>#REF!</v>
      </c>
      <c r="GN42" t="e">
        <f>AND(Liste!#REF!,"AAAAAGPn/sM=")</f>
        <v>#REF!</v>
      </c>
      <c r="GO42" t="e">
        <f>AND(Liste!#REF!,"AAAAAGPn/sQ=")</f>
        <v>#REF!</v>
      </c>
      <c r="GP42" t="e">
        <f>AND(Liste!#REF!,"AAAAAGPn/sU=")</f>
        <v>#REF!</v>
      </c>
      <c r="GQ42" t="e">
        <f>AND(Liste!#REF!,"AAAAAGPn/sY=")</f>
        <v>#REF!</v>
      </c>
      <c r="GR42" t="e">
        <f>IF(Liste!#REF!,"AAAAAGPn/sc=",0)</f>
        <v>#REF!</v>
      </c>
      <c r="GS42" t="e">
        <f>AND(Liste!#REF!,"AAAAAGPn/sg=")</f>
        <v>#REF!</v>
      </c>
      <c r="GT42" t="e">
        <f>AND(Liste!#REF!,"AAAAAGPn/sk=")</f>
        <v>#REF!</v>
      </c>
      <c r="GU42" t="e">
        <f>AND(Liste!#REF!,"AAAAAGPn/so=")</f>
        <v>#REF!</v>
      </c>
      <c r="GV42" t="e">
        <f>AND(Liste!#REF!,"AAAAAGPn/ss=")</f>
        <v>#REF!</v>
      </c>
      <c r="GW42" t="e">
        <f>AND(Liste!#REF!,"AAAAAGPn/sw=")</f>
        <v>#REF!</v>
      </c>
      <c r="GX42" t="e">
        <f>AND(Liste!#REF!,"AAAAAGPn/s0=")</f>
        <v>#REF!</v>
      </c>
      <c r="GY42" t="e">
        <f>AND(Liste!#REF!,"AAAAAGPn/s4=")</f>
        <v>#REF!</v>
      </c>
      <c r="GZ42" t="e">
        <f>AND(Liste!#REF!,"AAAAAGPn/s8=")</f>
        <v>#REF!</v>
      </c>
      <c r="HA42" t="e">
        <f>AND(Liste!#REF!,"AAAAAGPn/tA=")</f>
        <v>#REF!</v>
      </c>
      <c r="HB42" t="e">
        <f>AND(Liste!#REF!,"AAAAAGPn/tE=")</f>
        <v>#REF!</v>
      </c>
      <c r="HC42" t="e">
        <f>AND(Liste!#REF!,"AAAAAGPn/tI=")</f>
        <v>#REF!</v>
      </c>
      <c r="HD42" t="e">
        <f>AND(Liste!#REF!,"AAAAAGPn/tM=")</f>
        <v>#REF!</v>
      </c>
      <c r="HE42" t="e">
        <f>AND(Liste!#REF!,"AAAAAGPn/tQ=")</f>
        <v>#REF!</v>
      </c>
      <c r="HF42" t="e">
        <f>AND(Liste!#REF!,"AAAAAGPn/tU=")</f>
        <v>#REF!</v>
      </c>
      <c r="HG42" t="e">
        <f>AND(Liste!#REF!,"AAAAAGPn/tY=")</f>
        <v>#REF!</v>
      </c>
      <c r="HH42" t="e">
        <f>AND(Liste!#REF!,"AAAAAGPn/tc=")</f>
        <v>#REF!</v>
      </c>
      <c r="HI42" t="e">
        <f>AND(Liste!#REF!,"AAAAAGPn/tg=")</f>
        <v>#REF!</v>
      </c>
      <c r="HJ42" t="e">
        <f>AND(Liste!#REF!,"AAAAAGPn/tk=")</f>
        <v>#REF!</v>
      </c>
      <c r="HK42" t="e">
        <f>AND(Liste!#REF!,"AAAAAGPn/to=")</f>
        <v>#REF!</v>
      </c>
      <c r="HL42" t="e">
        <f>AND(Liste!#REF!,"AAAAAGPn/ts=")</f>
        <v>#REF!</v>
      </c>
      <c r="HM42" t="e">
        <f>AND(Liste!#REF!,"AAAAAGPn/tw=")</f>
        <v>#REF!</v>
      </c>
      <c r="HN42" t="e">
        <f>AND(Liste!#REF!,"AAAAAGPn/t0=")</f>
        <v>#REF!</v>
      </c>
      <c r="HO42" t="e">
        <f>AND(Liste!#REF!,"AAAAAGPn/t4=")</f>
        <v>#REF!</v>
      </c>
      <c r="HP42" t="e">
        <f>AND(Liste!#REF!,"AAAAAGPn/t8=")</f>
        <v>#REF!</v>
      </c>
      <c r="HQ42" t="e">
        <f>AND(Liste!#REF!,"AAAAAGPn/uA=")</f>
        <v>#REF!</v>
      </c>
      <c r="HR42" t="e">
        <f>AND(Liste!#REF!,"AAAAAGPn/uE=")</f>
        <v>#REF!</v>
      </c>
      <c r="HS42" t="e">
        <f>AND(Liste!#REF!,"AAAAAGPn/uI=")</f>
        <v>#REF!</v>
      </c>
      <c r="HT42" t="e">
        <f>AND(Liste!#REF!,"AAAAAGPn/uM=")</f>
        <v>#REF!</v>
      </c>
      <c r="HU42" t="e">
        <f>AND(Liste!#REF!,"AAAAAGPn/uQ=")</f>
        <v>#REF!</v>
      </c>
      <c r="HV42" t="e">
        <f>AND(Liste!#REF!,"AAAAAGPn/uU=")</f>
        <v>#REF!</v>
      </c>
      <c r="HW42">
        <f>IF(Liste!309:309,"AAAAAGPn/uY=",0)</f>
        <v>0</v>
      </c>
      <c r="HX42" t="e">
        <f>AND(Liste!A309,"AAAAAGPn/uc=")</f>
        <v>#VALUE!</v>
      </c>
      <c r="HY42" t="e">
        <f>AND(Liste!#REF!,"AAAAAGPn/ug=")</f>
        <v>#REF!</v>
      </c>
      <c r="HZ42" t="e">
        <f>AND(Liste!#REF!,"AAAAAGPn/uk=")</f>
        <v>#REF!</v>
      </c>
      <c r="IA42" t="e">
        <f>AND(Liste!#REF!,"AAAAAGPn/uo=")</f>
        <v>#REF!</v>
      </c>
      <c r="IB42" t="e">
        <f>AND(Liste!F365,"AAAAAGPn/us=")</f>
        <v>#VALUE!</v>
      </c>
      <c r="IC42" t="e">
        <f>AND(Liste!G365,"AAAAAGPn/uw=")</f>
        <v>#VALUE!</v>
      </c>
      <c r="ID42" t="e">
        <f>AND(Liste!H365,"AAAAAGPn/u0=")</f>
        <v>#VALUE!</v>
      </c>
      <c r="IE42" t="e">
        <f>AND(Liste!I365,"AAAAAGPn/u4=")</f>
        <v>#VALUE!</v>
      </c>
      <c r="IF42" t="e">
        <f>AND(Liste!J365,"AAAAAGPn/u8=")</f>
        <v>#VALUE!</v>
      </c>
      <c r="IG42" t="e">
        <f>AND(Liste!#REF!,"AAAAAGPn/vA=")</f>
        <v>#REF!</v>
      </c>
      <c r="IH42" t="e">
        <f>AND(Liste!#REF!,"AAAAAGPn/vE=")</f>
        <v>#REF!</v>
      </c>
      <c r="II42" t="e">
        <f>AND(Liste!#REF!,"AAAAAGPn/vI=")</f>
        <v>#REF!</v>
      </c>
      <c r="IJ42" t="e">
        <f>AND(Liste!#REF!,"AAAAAGPn/vM=")</f>
        <v>#REF!</v>
      </c>
      <c r="IK42" t="e">
        <f>AND(Liste!#REF!,"AAAAAGPn/vQ=")</f>
        <v>#REF!</v>
      </c>
      <c r="IL42" t="e">
        <f>AND(Liste!#REF!,"AAAAAGPn/vU=")</f>
        <v>#REF!</v>
      </c>
      <c r="IM42" t="e">
        <f>AND(Liste!#REF!,"AAAAAGPn/vY=")</f>
        <v>#REF!</v>
      </c>
      <c r="IN42" t="e">
        <f>AND(Liste!#REF!,"AAAAAGPn/vc=")</f>
        <v>#REF!</v>
      </c>
      <c r="IO42" t="e">
        <f>AND(Liste!#REF!,"AAAAAGPn/vg=")</f>
        <v>#REF!</v>
      </c>
      <c r="IP42" t="e">
        <f>AND(Liste!#REF!,"AAAAAGPn/vk=")</f>
        <v>#REF!</v>
      </c>
      <c r="IQ42" t="e">
        <f>AND(Liste!#REF!,"AAAAAGPn/vo=")</f>
        <v>#REF!</v>
      </c>
      <c r="IR42" t="e">
        <f>AND(Liste!#REF!,"AAAAAGPn/vs=")</f>
        <v>#REF!</v>
      </c>
      <c r="IS42" t="e">
        <f>AND(Liste!#REF!,"AAAAAGPn/vw=")</f>
        <v>#REF!</v>
      </c>
      <c r="IT42" t="e">
        <f>AND(Liste!#REF!,"AAAAAGPn/v0=")</f>
        <v>#REF!</v>
      </c>
      <c r="IU42" t="e">
        <f>AND(Liste!#REF!,"AAAAAGPn/v4=")</f>
        <v>#REF!</v>
      </c>
      <c r="IV42" t="e">
        <f>AND(Liste!#REF!,"AAAAAGPn/v8=")</f>
        <v>#REF!</v>
      </c>
    </row>
    <row r="43" spans="1:256" x14ac:dyDescent="0.2">
      <c r="A43" t="e">
        <f>AND(Liste!#REF!,"AAAAAH8+zwA=")</f>
        <v>#REF!</v>
      </c>
      <c r="B43" t="e">
        <f>AND(Liste!#REF!,"AAAAAH8+zwE=")</f>
        <v>#REF!</v>
      </c>
      <c r="C43" t="e">
        <f>AND(Liste!#REF!,"AAAAAH8+zwI=")</f>
        <v>#REF!</v>
      </c>
      <c r="D43" t="e">
        <f>AND(Liste!#REF!,"AAAAAH8+zwM=")</f>
        <v>#REF!</v>
      </c>
      <c r="E43" t="e">
        <f>AND(Liste!#REF!,"AAAAAH8+zwQ=")</f>
        <v>#REF!</v>
      </c>
      <c r="F43" t="e">
        <f>IF(Liste!310:310,"AAAAAH8+zwU=",0)</f>
        <v>#VALUE!</v>
      </c>
      <c r="G43" t="e">
        <f>AND(Liste!A310,"AAAAAH8+zwY=")</f>
        <v>#VALUE!</v>
      </c>
      <c r="H43" t="e">
        <f>AND(Liste!#REF!,"AAAAAH8+zwc=")</f>
        <v>#REF!</v>
      </c>
      <c r="I43" t="e">
        <f>AND(Liste!#REF!,"AAAAAH8+zwg=")</f>
        <v>#REF!</v>
      </c>
      <c r="J43" t="e">
        <f>AND(Liste!#REF!,"AAAAAH8+zwk=")</f>
        <v>#REF!</v>
      </c>
      <c r="K43" t="e">
        <f>AND(Liste!F366,"AAAAAH8+zwo=")</f>
        <v>#VALUE!</v>
      </c>
      <c r="L43" t="e">
        <f>AND(Liste!G366,"AAAAAH8+zws=")</f>
        <v>#VALUE!</v>
      </c>
      <c r="M43" t="e">
        <f>AND(Liste!H366,"AAAAAH8+zww=")</f>
        <v>#VALUE!</v>
      </c>
      <c r="N43" t="e">
        <f>AND(Liste!I366,"AAAAAH8+zw0=")</f>
        <v>#VALUE!</v>
      </c>
      <c r="O43" t="e">
        <f>AND(Liste!J366,"AAAAAH8+zw4=")</f>
        <v>#VALUE!</v>
      </c>
      <c r="P43" t="e">
        <f>AND(Liste!#REF!,"AAAAAH8+zw8=")</f>
        <v>#REF!</v>
      </c>
      <c r="Q43" t="e">
        <f>AND(Liste!#REF!,"AAAAAH8+zxA=")</f>
        <v>#REF!</v>
      </c>
      <c r="R43" t="e">
        <f>AND(Liste!#REF!,"AAAAAH8+zxE=")</f>
        <v>#REF!</v>
      </c>
      <c r="S43" t="e">
        <f>AND(Liste!#REF!,"AAAAAH8+zxI=")</f>
        <v>#REF!</v>
      </c>
      <c r="T43" t="e">
        <f>AND(Liste!#REF!,"AAAAAH8+zxM=")</f>
        <v>#REF!</v>
      </c>
      <c r="U43" t="e">
        <f>AND(Liste!#REF!,"AAAAAH8+zxQ=")</f>
        <v>#REF!</v>
      </c>
      <c r="V43" t="e">
        <f>AND(Liste!#REF!,"AAAAAH8+zxU=")</f>
        <v>#REF!</v>
      </c>
      <c r="W43" t="e">
        <f>AND(Liste!#REF!,"AAAAAH8+zxY=")</f>
        <v>#REF!</v>
      </c>
      <c r="X43" t="e">
        <f>AND(Liste!#REF!,"AAAAAH8+zxc=")</f>
        <v>#REF!</v>
      </c>
      <c r="Y43" t="e">
        <f>AND(Liste!#REF!,"AAAAAH8+zxg=")</f>
        <v>#REF!</v>
      </c>
      <c r="Z43" t="e">
        <f>AND(Liste!#REF!,"AAAAAH8+zxk=")</f>
        <v>#REF!</v>
      </c>
      <c r="AA43" t="e">
        <f>AND(Liste!#REF!,"AAAAAH8+zxo=")</f>
        <v>#REF!</v>
      </c>
      <c r="AB43" t="e">
        <f>AND(Liste!#REF!,"AAAAAH8+zxs=")</f>
        <v>#REF!</v>
      </c>
      <c r="AC43" t="e">
        <f>AND(Liste!#REF!,"AAAAAH8+zxw=")</f>
        <v>#REF!</v>
      </c>
      <c r="AD43" t="e">
        <f>AND(Liste!#REF!,"AAAAAH8+zx0=")</f>
        <v>#REF!</v>
      </c>
      <c r="AE43" t="e">
        <f>AND(Liste!#REF!,"AAAAAH8+zx4=")</f>
        <v>#REF!</v>
      </c>
      <c r="AF43" t="e">
        <f>AND(Liste!#REF!,"AAAAAH8+zx8=")</f>
        <v>#REF!</v>
      </c>
      <c r="AG43" t="e">
        <f>AND(Liste!#REF!,"AAAAAH8+zyA=")</f>
        <v>#REF!</v>
      </c>
      <c r="AH43" t="e">
        <f>AND(Liste!#REF!,"AAAAAH8+zyE=")</f>
        <v>#REF!</v>
      </c>
      <c r="AI43" t="e">
        <f>AND(Liste!#REF!,"AAAAAH8+zyI=")</f>
        <v>#REF!</v>
      </c>
      <c r="AJ43" t="e">
        <f>AND(Liste!#REF!,"AAAAAH8+zyM=")</f>
        <v>#REF!</v>
      </c>
      <c r="AK43">
        <f>IF(Liste!311:311,"AAAAAH8+zyQ=",0)</f>
        <v>0</v>
      </c>
      <c r="AL43" t="b">
        <f>AND(Liste!A311,"AAAAAH8+zyU=")</f>
        <v>1</v>
      </c>
      <c r="AM43" t="e">
        <f>AND(Liste!#REF!,"AAAAAH8+zyY=")</f>
        <v>#REF!</v>
      </c>
      <c r="AN43" t="e">
        <f>AND(Liste!#REF!,"AAAAAH8+zyc=")</f>
        <v>#REF!</v>
      </c>
      <c r="AO43" t="e">
        <f>AND(Liste!#REF!,"AAAAAH8+zyg=")</f>
        <v>#REF!</v>
      </c>
      <c r="AP43" t="e">
        <f>AND(Liste!F367,"AAAAAH8+zyk=")</f>
        <v>#VALUE!</v>
      </c>
      <c r="AQ43" t="e">
        <f>AND(Liste!G367,"AAAAAH8+zyo=")</f>
        <v>#VALUE!</v>
      </c>
      <c r="AR43" t="e">
        <f>AND(Liste!H367,"AAAAAH8+zys=")</f>
        <v>#VALUE!</v>
      </c>
      <c r="AS43" t="e">
        <f>AND(Liste!I367,"AAAAAH8+zyw=")</f>
        <v>#VALUE!</v>
      </c>
      <c r="AT43" t="e">
        <f>AND(Liste!J367,"AAAAAH8+zy0=")</f>
        <v>#VALUE!</v>
      </c>
      <c r="AU43" t="e">
        <f>AND(Liste!#REF!,"AAAAAH8+zy4=")</f>
        <v>#REF!</v>
      </c>
      <c r="AV43" t="e">
        <f>AND(Liste!#REF!,"AAAAAH8+zy8=")</f>
        <v>#REF!</v>
      </c>
      <c r="AW43" t="e">
        <f>AND(Liste!#REF!,"AAAAAH8+zzA=")</f>
        <v>#REF!</v>
      </c>
      <c r="AX43" t="e">
        <f>AND(Liste!#REF!,"AAAAAH8+zzE=")</f>
        <v>#REF!</v>
      </c>
      <c r="AY43" t="e">
        <f>AND(Liste!#REF!,"AAAAAH8+zzI=")</f>
        <v>#REF!</v>
      </c>
      <c r="AZ43" t="e">
        <f>AND(Liste!#REF!,"AAAAAH8+zzM=")</f>
        <v>#REF!</v>
      </c>
      <c r="BA43" t="e">
        <f>AND(Liste!#REF!,"AAAAAH8+zzQ=")</f>
        <v>#REF!</v>
      </c>
      <c r="BB43" t="e">
        <f>AND(Liste!#REF!,"AAAAAH8+zzU=")</f>
        <v>#REF!</v>
      </c>
      <c r="BC43" t="e">
        <f>AND(Liste!#REF!,"AAAAAH8+zzY=")</f>
        <v>#REF!</v>
      </c>
      <c r="BD43" t="e">
        <f>AND(Liste!#REF!,"AAAAAH8+zzc=")</f>
        <v>#REF!</v>
      </c>
      <c r="BE43" t="e">
        <f>AND(Liste!#REF!,"AAAAAH8+zzg=")</f>
        <v>#REF!</v>
      </c>
      <c r="BF43" t="e">
        <f>AND(Liste!#REF!,"AAAAAH8+zzk=")</f>
        <v>#REF!</v>
      </c>
      <c r="BG43" t="e">
        <f>AND(Liste!#REF!,"AAAAAH8+zzo=")</f>
        <v>#REF!</v>
      </c>
      <c r="BH43" t="e">
        <f>AND(Liste!#REF!,"AAAAAH8+zzs=")</f>
        <v>#REF!</v>
      </c>
      <c r="BI43" t="e">
        <f>AND(Liste!#REF!,"AAAAAH8+zzw=")</f>
        <v>#REF!</v>
      </c>
      <c r="BJ43" t="e">
        <f>AND(Liste!#REF!,"AAAAAH8+zz0=")</f>
        <v>#REF!</v>
      </c>
      <c r="BK43" t="e">
        <f>AND(Liste!#REF!,"AAAAAH8+zz4=")</f>
        <v>#REF!</v>
      </c>
      <c r="BL43" t="e">
        <f>AND(Liste!#REF!,"AAAAAH8+zz8=")</f>
        <v>#REF!</v>
      </c>
      <c r="BM43" t="e">
        <f>AND(Liste!#REF!,"AAAAAH8+z0A=")</f>
        <v>#REF!</v>
      </c>
      <c r="BN43" t="e">
        <f>AND(Liste!#REF!,"AAAAAH8+z0E=")</f>
        <v>#REF!</v>
      </c>
      <c r="BO43" t="e">
        <f>AND(Liste!#REF!,"AAAAAH8+z0I=")</f>
        <v>#REF!</v>
      </c>
      <c r="BP43">
        <f>IF(Liste!312:312,"AAAAAH8+z0M=",0)</f>
        <v>0</v>
      </c>
      <c r="BQ43" t="b">
        <f>AND(Liste!A312,"AAAAAH8+z0Q=")</f>
        <v>1</v>
      </c>
      <c r="BR43" t="e">
        <f>AND(Liste!#REF!,"AAAAAH8+z0U=")</f>
        <v>#REF!</v>
      </c>
      <c r="BS43" t="e">
        <f>AND(Liste!#REF!,"AAAAAH8+z0Y=")</f>
        <v>#REF!</v>
      </c>
      <c r="BT43" t="e">
        <f>AND(Liste!#REF!,"AAAAAH8+z0c=")</f>
        <v>#REF!</v>
      </c>
      <c r="BU43" t="e">
        <f>AND(Liste!F368,"AAAAAH8+z0g=")</f>
        <v>#VALUE!</v>
      </c>
      <c r="BV43" t="e">
        <f>AND(Liste!G368,"AAAAAH8+z0k=")</f>
        <v>#VALUE!</v>
      </c>
      <c r="BW43" t="e">
        <f>AND(Liste!H368,"AAAAAH8+z0o=")</f>
        <v>#VALUE!</v>
      </c>
      <c r="BX43" t="e">
        <f>AND(Liste!I368,"AAAAAH8+z0s=")</f>
        <v>#VALUE!</v>
      </c>
      <c r="BY43" t="e">
        <f>AND(Liste!J368,"AAAAAH8+z0w=")</f>
        <v>#VALUE!</v>
      </c>
      <c r="BZ43" t="e">
        <f>AND(Liste!#REF!,"AAAAAH8+z00=")</f>
        <v>#REF!</v>
      </c>
      <c r="CA43" t="e">
        <f>AND(Liste!#REF!,"AAAAAH8+z04=")</f>
        <v>#REF!</v>
      </c>
      <c r="CB43" t="e">
        <f>AND(Liste!#REF!,"AAAAAH8+z08=")</f>
        <v>#REF!</v>
      </c>
      <c r="CC43" t="e">
        <f>AND(Liste!#REF!,"AAAAAH8+z1A=")</f>
        <v>#REF!</v>
      </c>
      <c r="CD43" t="e">
        <f>AND(Liste!#REF!,"AAAAAH8+z1E=")</f>
        <v>#REF!</v>
      </c>
      <c r="CE43" t="e">
        <f>AND(Liste!#REF!,"AAAAAH8+z1I=")</f>
        <v>#REF!</v>
      </c>
      <c r="CF43" t="e">
        <f>AND(Liste!#REF!,"AAAAAH8+z1M=")</f>
        <v>#REF!</v>
      </c>
      <c r="CG43" t="e">
        <f>AND(Liste!#REF!,"AAAAAH8+z1Q=")</f>
        <v>#REF!</v>
      </c>
      <c r="CH43" t="e">
        <f>AND(Liste!#REF!,"AAAAAH8+z1U=")</f>
        <v>#REF!</v>
      </c>
      <c r="CI43" t="e">
        <f>AND(Liste!#REF!,"AAAAAH8+z1Y=")</f>
        <v>#REF!</v>
      </c>
      <c r="CJ43" t="e">
        <f>AND(Liste!#REF!,"AAAAAH8+z1c=")</f>
        <v>#REF!</v>
      </c>
      <c r="CK43" t="e">
        <f>AND(Liste!#REF!,"AAAAAH8+z1g=")</f>
        <v>#REF!</v>
      </c>
      <c r="CL43" t="e">
        <f>AND(Liste!#REF!,"AAAAAH8+z1k=")</f>
        <v>#REF!</v>
      </c>
      <c r="CM43" t="e">
        <f>AND(Liste!#REF!,"AAAAAH8+z1o=")</f>
        <v>#REF!</v>
      </c>
      <c r="CN43" t="e">
        <f>AND(Liste!#REF!,"AAAAAH8+z1s=")</f>
        <v>#REF!</v>
      </c>
      <c r="CO43" t="e">
        <f>AND(Liste!#REF!,"AAAAAH8+z1w=")</f>
        <v>#REF!</v>
      </c>
      <c r="CP43" t="e">
        <f>AND(Liste!#REF!,"AAAAAH8+z10=")</f>
        <v>#REF!</v>
      </c>
      <c r="CQ43" t="e">
        <f>AND(Liste!#REF!,"AAAAAH8+z14=")</f>
        <v>#REF!</v>
      </c>
      <c r="CR43" t="e">
        <f>AND(Liste!#REF!,"AAAAAH8+z18=")</f>
        <v>#REF!</v>
      </c>
      <c r="CS43" t="e">
        <f>AND(Liste!#REF!,"AAAAAH8+z2A=")</f>
        <v>#REF!</v>
      </c>
      <c r="CT43" t="e">
        <f>AND(Liste!#REF!,"AAAAAH8+z2E=")</f>
        <v>#REF!</v>
      </c>
      <c r="CU43">
        <f>IF(Liste!328:328,"AAAAAH8+z2I=",0)</f>
        <v>0</v>
      </c>
      <c r="CV43" t="b">
        <f>AND(Liste!A313,"AAAAAH8+z2M=")</f>
        <v>1</v>
      </c>
      <c r="CW43" t="e">
        <f>AND(Liste!#REF!,"AAAAAH8+z2Q=")</f>
        <v>#REF!</v>
      </c>
      <c r="CX43" t="e">
        <f>AND(Liste!#REF!,"AAAAAH8+z2U=")</f>
        <v>#REF!</v>
      </c>
      <c r="CY43" t="e">
        <f>AND(Liste!#REF!,"AAAAAH8+z2Y=")</f>
        <v>#REF!</v>
      </c>
      <c r="CZ43" t="e">
        <f>AND(Liste!F374,"AAAAAH8+z2c=")</f>
        <v>#VALUE!</v>
      </c>
      <c r="DA43" t="e">
        <f>AND(Liste!G374,"AAAAAH8+z2g=")</f>
        <v>#VALUE!</v>
      </c>
      <c r="DB43" t="e">
        <f>AND(Liste!H374,"AAAAAH8+z2k=")</f>
        <v>#VALUE!</v>
      </c>
      <c r="DC43" t="e">
        <f>AND(Liste!I374,"AAAAAH8+z2o=")</f>
        <v>#VALUE!</v>
      </c>
      <c r="DD43" t="e">
        <f>AND(Liste!J374,"AAAAAH8+z2s=")</f>
        <v>#VALUE!</v>
      </c>
      <c r="DE43" t="e">
        <f>AND(Liste!#REF!,"AAAAAH8+z2w=")</f>
        <v>#REF!</v>
      </c>
      <c r="DF43" t="e">
        <f>AND(Liste!#REF!,"AAAAAH8+z20=")</f>
        <v>#REF!</v>
      </c>
      <c r="DG43" t="e">
        <f>AND(Liste!#REF!,"AAAAAH8+z24=")</f>
        <v>#REF!</v>
      </c>
      <c r="DH43" t="e">
        <f>AND(Liste!#REF!,"AAAAAH8+z28=")</f>
        <v>#REF!</v>
      </c>
      <c r="DI43" t="e">
        <f>AND(Liste!#REF!,"AAAAAH8+z3A=")</f>
        <v>#REF!</v>
      </c>
      <c r="DJ43" t="e">
        <f>AND(Liste!#REF!,"AAAAAH8+z3E=")</f>
        <v>#REF!</v>
      </c>
      <c r="DK43" t="e">
        <f>AND(Liste!#REF!,"AAAAAH8+z3I=")</f>
        <v>#REF!</v>
      </c>
      <c r="DL43" t="e">
        <f>AND(Liste!#REF!,"AAAAAH8+z3M=")</f>
        <v>#REF!</v>
      </c>
      <c r="DM43" t="e">
        <f>AND(Liste!#REF!,"AAAAAH8+z3Q=")</f>
        <v>#REF!</v>
      </c>
      <c r="DN43" t="e">
        <f>AND(Liste!#REF!,"AAAAAH8+z3U=")</f>
        <v>#REF!</v>
      </c>
      <c r="DO43" t="e">
        <f>AND(Liste!#REF!,"AAAAAH8+z3Y=")</f>
        <v>#REF!</v>
      </c>
      <c r="DP43" t="e">
        <f>AND(Liste!#REF!,"AAAAAH8+z3c=")</f>
        <v>#REF!</v>
      </c>
      <c r="DQ43" t="e">
        <f>AND(Liste!#REF!,"AAAAAH8+z3g=")</f>
        <v>#REF!</v>
      </c>
      <c r="DR43" t="e">
        <f>AND(Liste!#REF!,"AAAAAH8+z3k=")</f>
        <v>#REF!</v>
      </c>
      <c r="DS43" t="e">
        <f>AND(Liste!#REF!,"AAAAAH8+z3o=")</f>
        <v>#REF!</v>
      </c>
      <c r="DT43" t="e">
        <f>AND(Liste!#REF!,"AAAAAH8+z3s=")</f>
        <v>#REF!</v>
      </c>
      <c r="DU43" t="e">
        <f>AND(Liste!#REF!,"AAAAAH8+z3w=")</f>
        <v>#REF!</v>
      </c>
      <c r="DV43" t="e">
        <f>AND(Liste!#REF!,"AAAAAH8+z30=")</f>
        <v>#REF!</v>
      </c>
      <c r="DW43" t="e">
        <f>AND(Liste!#REF!,"AAAAAH8+z34=")</f>
        <v>#REF!</v>
      </c>
      <c r="DX43" t="e">
        <f>AND(Liste!#REF!,"AAAAAH8+z38=")</f>
        <v>#REF!</v>
      </c>
      <c r="DY43" t="e">
        <f>AND(Liste!#REF!,"AAAAAH8+z4A=")</f>
        <v>#REF!</v>
      </c>
      <c r="DZ43">
        <f>IF(Liste!329:329,"AAAAAH8+z4E=",0)</f>
        <v>0</v>
      </c>
      <c r="EA43" t="b">
        <f>AND(Liste!A329,"AAAAAH8+z4I=")</f>
        <v>1</v>
      </c>
      <c r="EB43" t="e">
        <f>AND(Liste!#REF!,"AAAAAH8+z4M=")</f>
        <v>#REF!</v>
      </c>
      <c r="EC43" t="e">
        <f>AND(Liste!#REF!,"AAAAAH8+z4Q=")</f>
        <v>#REF!</v>
      </c>
      <c r="ED43" t="e">
        <f>AND(Liste!#REF!,"AAAAAH8+z4U=")</f>
        <v>#REF!</v>
      </c>
      <c r="EE43" t="e">
        <f>AND(Liste!F375,"AAAAAH8+z4Y=")</f>
        <v>#VALUE!</v>
      </c>
      <c r="EF43" t="e">
        <f>AND(Liste!G375,"AAAAAH8+z4c=")</f>
        <v>#VALUE!</v>
      </c>
      <c r="EG43" t="e">
        <f>AND(Liste!H375,"AAAAAH8+z4g=")</f>
        <v>#VALUE!</v>
      </c>
      <c r="EH43" t="e">
        <f>AND(Liste!I375,"AAAAAH8+z4k=")</f>
        <v>#VALUE!</v>
      </c>
      <c r="EI43" t="e">
        <f>AND(Liste!J375,"AAAAAH8+z4o=")</f>
        <v>#VALUE!</v>
      </c>
      <c r="EJ43" t="e">
        <f>AND(Liste!#REF!,"AAAAAH8+z4s=")</f>
        <v>#REF!</v>
      </c>
      <c r="EK43" t="e">
        <f>AND(Liste!#REF!,"AAAAAH8+z4w=")</f>
        <v>#REF!</v>
      </c>
      <c r="EL43" t="e">
        <f>AND(Liste!#REF!,"AAAAAH8+z40=")</f>
        <v>#REF!</v>
      </c>
      <c r="EM43" t="e">
        <f>AND(Liste!#REF!,"AAAAAH8+z44=")</f>
        <v>#REF!</v>
      </c>
      <c r="EN43" t="e">
        <f>AND(Liste!#REF!,"AAAAAH8+z48=")</f>
        <v>#REF!</v>
      </c>
      <c r="EO43" t="e">
        <f>AND(Liste!#REF!,"AAAAAH8+z5A=")</f>
        <v>#REF!</v>
      </c>
      <c r="EP43" t="e">
        <f>AND(Liste!#REF!,"AAAAAH8+z5E=")</f>
        <v>#REF!</v>
      </c>
      <c r="EQ43" t="e">
        <f>AND(Liste!#REF!,"AAAAAH8+z5I=")</f>
        <v>#REF!</v>
      </c>
      <c r="ER43" t="e">
        <f>AND(Liste!#REF!,"AAAAAH8+z5M=")</f>
        <v>#REF!</v>
      </c>
      <c r="ES43" t="e">
        <f>AND(Liste!#REF!,"AAAAAH8+z5Q=")</f>
        <v>#REF!</v>
      </c>
      <c r="ET43" t="e">
        <f>AND(Liste!#REF!,"AAAAAH8+z5U=")</f>
        <v>#REF!</v>
      </c>
      <c r="EU43" t="e">
        <f>AND(Liste!#REF!,"AAAAAH8+z5Y=")</f>
        <v>#REF!</v>
      </c>
      <c r="EV43" t="e">
        <f>AND(Liste!#REF!,"AAAAAH8+z5c=")</f>
        <v>#REF!</v>
      </c>
      <c r="EW43" t="e">
        <f>AND(Liste!#REF!,"AAAAAH8+z5g=")</f>
        <v>#REF!</v>
      </c>
      <c r="EX43" t="e">
        <f>AND(Liste!#REF!,"AAAAAH8+z5k=")</f>
        <v>#REF!</v>
      </c>
      <c r="EY43" t="e">
        <f>AND(Liste!#REF!,"AAAAAH8+z5o=")</f>
        <v>#REF!</v>
      </c>
      <c r="EZ43" t="e">
        <f>AND(Liste!#REF!,"AAAAAH8+z5s=")</f>
        <v>#REF!</v>
      </c>
      <c r="FA43" t="e">
        <f>AND(Liste!#REF!,"AAAAAH8+z5w=")</f>
        <v>#REF!</v>
      </c>
      <c r="FB43" t="e">
        <f>AND(Liste!#REF!,"AAAAAH8+z50=")</f>
        <v>#REF!</v>
      </c>
      <c r="FC43" t="e">
        <f>AND(Liste!#REF!,"AAAAAH8+z54=")</f>
        <v>#REF!</v>
      </c>
      <c r="FD43" t="e">
        <f>AND(Liste!#REF!,"AAAAAH8+z58=")</f>
        <v>#REF!</v>
      </c>
      <c r="FE43">
        <f>IF(Liste!330:330,"AAAAAH8+z6A=",0)</f>
        <v>0</v>
      </c>
      <c r="FF43" t="b">
        <f>AND(Liste!A330,"AAAAAH8+z6E=")</f>
        <v>1</v>
      </c>
      <c r="FG43" t="e">
        <f>AND(Liste!#REF!,"AAAAAH8+z6I=")</f>
        <v>#REF!</v>
      </c>
      <c r="FH43" t="e">
        <f>AND(Liste!#REF!,"AAAAAH8+z6M=")</f>
        <v>#REF!</v>
      </c>
      <c r="FI43" t="e">
        <f>AND(Liste!#REF!,"AAAAAH8+z6Q=")</f>
        <v>#REF!</v>
      </c>
      <c r="FJ43" t="e">
        <f>AND(Liste!F376,"AAAAAH8+z6U=")</f>
        <v>#VALUE!</v>
      </c>
      <c r="FK43" t="e">
        <f>AND(Liste!G376,"AAAAAH8+z6Y=")</f>
        <v>#VALUE!</v>
      </c>
      <c r="FL43" t="e">
        <f>AND(Liste!H376,"AAAAAH8+z6c=")</f>
        <v>#VALUE!</v>
      </c>
      <c r="FM43" t="e">
        <f>AND(Liste!I376,"AAAAAH8+z6g=")</f>
        <v>#VALUE!</v>
      </c>
      <c r="FN43" t="e">
        <f>AND(Liste!J376,"AAAAAH8+z6k=")</f>
        <v>#VALUE!</v>
      </c>
      <c r="FO43" t="e">
        <f>AND(Liste!#REF!,"AAAAAH8+z6o=")</f>
        <v>#REF!</v>
      </c>
      <c r="FP43" t="e">
        <f>AND(Liste!#REF!,"AAAAAH8+z6s=")</f>
        <v>#REF!</v>
      </c>
      <c r="FQ43" t="e">
        <f>AND(Liste!#REF!,"AAAAAH8+z6w=")</f>
        <v>#REF!</v>
      </c>
      <c r="FR43" t="e">
        <f>AND(Liste!#REF!,"AAAAAH8+z60=")</f>
        <v>#REF!</v>
      </c>
      <c r="FS43" t="e">
        <f>AND(Liste!#REF!,"AAAAAH8+z64=")</f>
        <v>#REF!</v>
      </c>
      <c r="FT43" t="e">
        <f>AND(Liste!#REF!,"AAAAAH8+z68=")</f>
        <v>#REF!</v>
      </c>
      <c r="FU43" t="e">
        <f>AND(Liste!#REF!,"AAAAAH8+z7A=")</f>
        <v>#REF!</v>
      </c>
      <c r="FV43" t="e">
        <f>AND(Liste!#REF!,"AAAAAH8+z7E=")</f>
        <v>#REF!</v>
      </c>
      <c r="FW43" t="e">
        <f>AND(Liste!#REF!,"AAAAAH8+z7I=")</f>
        <v>#REF!</v>
      </c>
      <c r="FX43" t="e">
        <f>AND(Liste!#REF!,"AAAAAH8+z7M=")</f>
        <v>#REF!</v>
      </c>
      <c r="FY43" t="e">
        <f>AND(Liste!#REF!,"AAAAAH8+z7Q=")</f>
        <v>#REF!</v>
      </c>
      <c r="FZ43" t="e">
        <f>AND(Liste!#REF!,"AAAAAH8+z7U=")</f>
        <v>#REF!</v>
      </c>
      <c r="GA43" t="e">
        <f>AND(Liste!#REF!,"AAAAAH8+z7Y=")</f>
        <v>#REF!</v>
      </c>
      <c r="GB43" t="e">
        <f>AND(Liste!#REF!,"AAAAAH8+z7c=")</f>
        <v>#REF!</v>
      </c>
      <c r="GC43" t="e">
        <f>AND(Liste!#REF!,"AAAAAH8+z7g=")</f>
        <v>#REF!</v>
      </c>
      <c r="GD43" t="e">
        <f>AND(Liste!#REF!,"AAAAAH8+z7k=")</f>
        <v>#REF!</v>
      </c>
      <c r="GE43" t="e">
        <f>AND(Liste!#REF!,"AAAAAH8+z7o=")</f>
        <v>#REF!</v>
      </c>
      <c r="GF43" t="e">
        <f>AND(Liste!#REF!,"AAAAAH8+z7s=")</f>
        <v>#REF!</v>
      </c>
      <c r="GG43" t="e">
        <f>AND(Liste!#REF!,"AAAAAH8+z7w=")</f>
        <v>#REF!</v>
      </c>
      <c r="GH43" t="e">
        <f>AND(Liste!#REF!,"AAAAAH8+z70=")</f>
        <v>#REF!</v>
      </c>
      <c r="GI43" t="e">
        <f>AND(Liste!#REF!,"AAAAAH8+z74=")</f>
        <v>#REF!</v>
      </c>
      <c r="GJ43">
        <f>IF(Liste!331:331,"AAAAAH8+z78=",0)</f>
        <v>0</v>
      </c>
      <c r="GK43" t="b">
        <f>AND(Liste!A331,"AAAAAH8+z8A=")</f>
        <v>1</v>
      </c>
      <c r="GL43" t="e">
        <f>AND(Liste!#REF!,"AAAAAH8+z8E=")</f>
        <v>#REF!</v>
      </c>
      <c r="GM43" t="e">
        <f>AND(Liste!#REF!,"AAAAAH8+z8I=")</f>
        <v>#REF!</v>
      </c>
      <c r="GN43" t="e">
        <f>AND(Liste!#REF!,"AAAAAH8+z8M=")</f>
        <v>#REF!</v>
      </c>
      <c r="GO43" t="e">
        <f>AND(Liste!F377,"AAAAAH8+z8Q=")</f>
        <v>#VALUE!</v>
      </c>
      <c r="GP43" t="e">
        <f>AND(Liste!G377,"AAAAAH8+z8U=")</f>
        <v>#VALUE!</v>
      </c>
      <c r="GQ43" t="e">
        <f>AND(Liste!H377,"AAAAAH8+z8Y=")</f>
        <v>#VALUE!</v>
      </c>
      <c r="GR43" t="e">
        <f>AND(Liste!I377,"AAAAAH8+z8c=")</f>
        <v>#VALUE!</v>
      </c>
      <c r="GS43" t="e">
        <f>AND(Liste!J377,"AAAAAH8+z8g=")</f>
        <v>#VALUE!</v>
      </c>
      <c r="GT43" t="e">
        <f>AND(Liste!#REF!,"AAAAAH8+z8k=")</f>
        <v>#REF!</v>
      </c>
      <c r="GU43" t="e">
        <f>AND(Liste!#REF!,"AAAAAH8+z8o=")</f>
        <v>#REF!</v>
      </c>
      <c r="GV43" t="e">
        <f>AND(Liste!#REF!,"AAAAAH8+z8s=")</f>
        <v>#REF!</v>
      </c>
      <c r="GW43" t="e">
        <f>AND(Liste!#REF!,"AAAAAH8+z8w=")</f>
        <v>#REF!</v>
      </c>
      <c r="GX43" t="e">
        <f>AND(Liste!#REF!,"AAAAAH8+z80=")</f>
        <v>#REF!</v>
      </c>
      <c r="GY43" t="e">
        <f>AND(Liste!#REF!,"AAAAAH8+z84=")</f>
        <v>#REF!</v>
      </c>
      <c r="GZ43" t="e">
        <f>AND(Liste!#REF!,"AAAAAH8+z88=")</f>
        <v>#REF!</v>
      </c>
      <c r="HA43" t="e">
        <f>AND(Liste!#REF!,"AAAAAH8+z9A=")</f>
        <v>#REF!</v>
      </c>
      <c r="HB43" t="e">
        <f>AND(Liste!#REF!,"AAAAAH8+z9E=")</f>
        <v>#REF!</v>
      </c>
      <c r="HC43" t="e">
        <f>AND(Liste!#REF!,"AAAAAH8+z9I=")</f>
        <v>#REF!</v>
      </c>
      <c r="HD43" t="e">
        <f>AND(Liste!#REF!,"AAAAAH8+z9M=")</f>
        <v>#REF!</v>
      </c>
      <c r="HE43" t="e">
        <f>AND(Liste!#REF!,"AAAAAH8+z9Q=")</f>
        <v>#REF!</v>
      </c>
      <c r="HF43" t="e">
        <f>AND(Liste!#REF!,"AAAAAH8+z9U=")</f>
        <v>#REF!</v>
      </c>
      <c r="HG43" t="e">
        <f>AND(Liste!#REF!,"AAAAAH8+z9Y=")</f>
        <v>#REF!</v>
      </c>
      <c r="HH43" t="e">
        <f>AND(Liste!#REF!,"AAAAAH8+z9c=")</f>
        <v>#REF!</v>
      </c>
      <c r="HI43" t="e">
        <f>AND(Liste!#REF!,"AAAAAH8+z9g=")</f>
        <v>#REF!</v>
      </c>
      <c r="HJ43" t="e">
        <f>AND(Liste!#REF!,"AAAAAH8+z9k=")</f>
        <v>#REF!</v>
      </c>
      <c r="HK43" t="e">
        <f>AND(Liste!#REF!,"AAAAAH8+z9o=")</f>
        <v>#REF!</v>
      </c>
      <c r="HL43" t="e">
        <f>AND(Liste!#REF!,"AAAAAH8+z9s=")</f>
        <v>#REF!</v>
      </c>
      <c r="HM43" t="e">
        <f>AND(Liste!#REF!,"AAAAAH8+z9w=")</f>
        <v>#REF!</v>
      </c>
      <c r="HN43" t="e">
        <f>AND(Liste!#REF!,"AAAAAH8+z90=")</f>
        <v>#REF!</v>
      </c>
      <c r="HO43">
        <f>IF(Liste!332:332,"AAAAAH8+z94=",0)</f>
        <v>0</v>
      </c>
      <c r="HP43" t="b">
        <f>AND(Liste!A332,"AAAAAH8+z98=")</f>
        <v>1</v>
      </c>
      <c r="HQ43" t="e">
        <f>AND(Liste!#REF!,"AAAAAH8+z+A=")</f>
        <v>#REF!</v>
      </c>
      <c r="HR43" t="e">
        <f>AND(Liste!#REF!,"AAAAAH8+z+E=")</f>
        <v>#REF!</v>
      </c>
      <c r="HS43" t="e">
        <f>AND(Liste!#REF!,"AAAAAH8+z+I=")</f>
        <v>#REF!</v>
      </c>
      <c r="HT43" t="e">
        <f>AND(Liste!F378,"AAAAAH8+z+M=")</f>
        <v>#VALUE!</v>
      </c>
      <c r="HU43" t="e">
        <f>AND(Liste!G378,"AAAAAH8+z+Q=")</f>
        <v>#VALUE!</v>
      </c>
      <c r="HV43" t="e">
        <f>AND(Liste!H378,"AAAAAH8+z+U=")</f>
        <v>#VALUE!</v>
      </c>
      <c r="HW43" t="e">
        <f>AND(Liste!I378,"AAAAAH8+z+Y=")</f>
        <v>#VALUE!</v>
      </c>
      <c r="HX43" t="e">
        <f>AND(Liste!J378,"AAAAAH8+z+c=")</f>
        <v>#VALUE!</v>
      </c>
      <c r="HY43" t="e">
        <f>AND(Liste!#REF!,"AAAAAH8+z+g=")</f>
        <v>#REF!</v>
      </c>
      <c r="HZ43" t="e">
        <f>AND(Liste!#REF!,"AAAAAH8+z+k=")</f>
        <v>#REF!</v>
      </c>
      <c r="IA43" t="e">
        <f>AND(Liste!#REF!,"AAAAAH8+z+o=")</f>
        <v>#REF!</v>
      </c>
      <c r="IB43" t="e">
        <f>AND(Liste!#REF!,"AAAAAH8+z+s=")</f>
        <v>#REF!</v>
      </c>
      <c r="IC43" t="e">
        <f>AND(Liste!#REF!,"AAAAAH8+z+w=")</f>
        <v>#REF!</v>
      </c>
      <c r="ID43" t="e">
        <f>AND(Liste!#REF!,"AAAAAH8+z+0=")</f>
        <v>#REF!</v>
      </c>
      <c r="IE43" t="e">
        <f>AND(Liste!#REF!,"AAAAAH8+z+4=")</f>
        <v>#REF!</v>
      </c>
      <c r="IF43" t="e">
        <f>AND(Liste!#REF!,"AAAAAH8+z+8=")</f>
        <v>#REF!</v>
      </c>
      <c r="IG43" t="e">
        <f>AND(Liste!#REF!,"AAAAAH8+z/A=")</f>
        <v>#REF!</v>
      </c>
      <c r="IH43" t="e">
        <f>AND(Liste!#REF!,"AAAAAH8+z/E=")</f>
        <v>#REF!</v>
      </c>
      <c r="II43" t="e">
        <f>AND(Liste!#REF!,"AAAAAH8+z/I=")</f>
        <v>#REF!</v>
      </c>
      <c r="IJ43" t="e">
        <f>AND(Liste!#REF!,"AAAAAH8+z/M=")</f>
        <v>#REF!</v>
      </c>
      <c r="IK43" t="e">
        <f>AND(Liste!#REF!,"AAAAAH8+z/Q=")</f>
        <v>#REF!</v>
      </c>
      <c r="IL43" t="e">
        <f>AND(Liste!#REF!,"AAAAAH8+z/U=")</f>
        <v>#REF!</v>
      </c>
      <c r="IM43" t="e">
        <f>AND(Liste!#REF!,"AAAAAH8+z/Y=")</f>
        <v>#REF!</v>
      </c>
      <c r="IN43" t="e">
        <f>AND(Liste!#REF!,"AAAAAH8+z/c=")</f>
        <v>#REF!</v>
      </c>
      <c r="IO43" t="e">
        <f>AND(Liste!#REF!,"AAAAAH8+z/g=")</f>
        <v>#REF!</v>
      </c>
      <c r="IP43" t="e">
        <f>AND(Liste!#REF!,"AAAAAH8+z/k=")</f>
        <v>#REF!</v>
      </c>
      <c r="IQ43" t="e">
        <f>AND(Liste!#REF!,"AAAAAH8+z/o=")</f>
        <v>#REF!</v>
      </c>
      <c r="IR43" t="e">
        <f>AND(Liste!#REF!,"AAAAAH8+z/s=")</f>
        <v>#REF!</v>
      </c>
      <c r="IS43" t="e">
        <f>AND(Liste!#REF!,"AAAAAH8+z/w=")</f>
        <v>#REF!</v>
      </c>
      <c r="IT43">
        <f>IF(Liste!333:333,"AAAAAH8+z/0=",0)</f>
        <v>0</v>
      </c>
      <c r="IU43" t="b">
        <f>AND(Liste!A333,"AAAAAH8+z/4=")</f>
        <v>1</v>
      </c>
      <c r="IV43" t="e">
        <f>AND(Liste!#REF!,"AAAAAH8+z/8=")</f>
        <v>#REF!</v>
      </c>
    </row>
    <row r="44" spans="1:256" x14ac:dyDescent="0.2">
      <c r="A44" t="e">
        <f>AND(Liste!#REF!,"AAAAAH+NdQA=")</f>
        <v>#REF!</v>
      </c>
      <c r="B44" t="e">
        <f>AND(Liste!#REF!,"AAAAAH+NdQE=")</f>
        <v>#REF!</v>
      </c>
      <c r="C44" t="e">
        <f>AND(Liste!F379,"AAAAAH+NdQI=")</f>
        <v>#VALUE!</v>
      </c>
      <c r="D44" t="e">
        <f>AND(Liste!G379,"AAAAAH+NdQM=")</f>
        <v>#VALUE!</v>
      </c>
      <c r="E44" t="e">
        <f>AND(Liste!H379,"AAAAAH+NdQQ=")</f>
        <v>#VALUE!</v>
      </c>
      <c r="F44" t="e">
        <f>AND(Liste!I379,"AAAAAH+NdQU=")</f>
        <v>#VALUE!</v>
      </c>
      <c r="G44" t="e">
        <f>AND(Liste!J379,"AAAAAH+NdQY=")</f>
        <v>#VALUE!</v>
      </c>
      <c r="H44" t="e">
        <f>AND(Liste!#REF!,"AAAAAH+NdQc=")</f>
        <v>#REF!</v>
      </c>
      <c r="I44" t="e">
        <f>AND(Liste!#REF!,"AAAAAH+NdQg=")</f>
        <v>#REF!</v>
      </c>
      <c r="J44" t="e">
        <f>AND(Liste!#REF!,"AAAAAH+NdQk=")</f>
        <v>#REF!</v>
      </c>
      <c r="K44" t="e">
        <f>AND(Liste!#REF!,"AAAAAH+NdQo=")</f>
        <v>#REF!</v>
      </c>
      <c r="L44" t="e">
        <f>AND(Liste!#REF!,"AAAAAH+NdQs=")</f>
        <v>#REF!</v>
      </c>
      <c r="M44" t="e">
        <f>AND(Liste!#REF!,"AAAAAH+NdQw=")</f>
        <v>#REF!</v>
      </c>
      <c r="N44" t="e">
        <f>AND(Liste!#REF!,"AAAAAH+NdQ0=")</f>
        <v>#REF!</v>
      </c>
      <c r="O44" t="e">
        <f>AND(Liste!#REF!,"AAAAAH+NdQ4=")</f>
        <v>#REF!</v>
      </c>
      <c r="P44" t="e">
        <f>AND(Liste!#REF!,"AAAAAH+NdQ8=")</f>
        <v>#REF!</v>
      </c>
      <c r="Q44" t="e">
        <f>AND(Liste!#REF!,"AAAAAH+NdRA=")</f>
        <v>#REF!</v>
      </c>
      <c r="R44" t="e">
        <f>AND(Liste!#REF!,"AAAAAH+NdRE=")</f>
        <v>#REF!</v>
      </c>
      <c r="S44" t="e">
        <f>AND(Liste!#REF!,"AAAAAH+NdRI=")</f>
        <v>#REF!</v>
      </c>
      <c r="T44" t="e">
        <f>AND(Liste!#REF!,"AAAAAH+NdRM=")</f>
        <v>#REF!</v>
      </c>
      <c r="U44" t="e">
        <f>AND(Liste!#REF!,"AAAAAH+NdRQ=")</f>
        <v>#REF!</v>
      </c>
      <c r="V44" t="e">
        <f>AND(Liste!#REF!,"AAAAAH+NdRU=")</f>
        <v>#REF!</v>
      </c>
      <c r="W44" t="e">
        <f>AND(Liste!#REF!,"AAAAAH+NdRY=")</f>
        <v>#REF!</v>
      </c>
      <c r="X44" t="e">
        <f>AND(Liste!#REF!,"AAAAAH+NdRc=")</f>
        <v>#REF!</v>
      </c>
      <c r="Y44" t="e">
        <f>AND(Liste!#REF!,"AAAAAH+NdRg=")</f>
        <v>#REF!</v>
      </c>
      <c r="Z44" t="e">
        <f>AND(Liste!#REF!,"AAAAAH+NdRk=")</f>
        <v>#REF!</v>
      </c>
      <c r="AA44" t="e">
        <f>AND(Liste!#REF!,"AAAAAH+NdRo=")</f>
        <v>#REF!</v>
      </c>
      <c r="AB44" t="e">
        <f>AND(Liste!#REF!,"AAAAAH+NdRs=")</f>
        <v>#REF!</v>
      </c>
      <c r="AC44">
        <f>IF(Liste!334:334,"AAAAAH+NdRw=",0)</f>
        <v>0</v>
      </c>
      <c r="AD44" t="b">
        <f>AND(Liste!A334,"AAAAAH+NdR0=")</f>
        <v>1</v>
      </c>
      <c r="AE44" t="e">
        <f>AND(Liste!#REF!,"AAAAAH+NdR4=")</f>
        <v>#REF!</v>
      </c>
      <c r="AF44" t="e">
        <f>AND(Liste!#REF!,"AAAAAH+NdR8=")</f>
        <v>#REF!</v>
      </c>
      <c r="AG44" t="e">
        <f>AND(Liste!#REF!,"AAAAAH+NdSA=")</f>
        <v>#REF!</v>
      </c>
      <c r="AH44" t="e">
        <f>AND(Liste!F380,"AAAAAH+NdSE=")</f>
        <v>#VALUE!</v>
      </c>
      <c r="AI44" t="e">
        <f>AND(Liste!G380,"AAAAAH+NdSI=")</f>
        <v>#VALUE!</v>
      </c>
      <c r="AJ44" t="e">
        <f>AND(Liste!H380,"AAAAAH+NdSM=")</f>
        <v>#VALUE!</v>
      </c>
      <c r="AK44" t="e">
        <f>AND(Liste!I380,"AAAAAH+NdSQ=")</f>
        <v>#VALUE!</v>
      </c>
      <c r="AL44" t="e">
        <f>AND(Liste!J380,"AAAAAH+NdSU=")</f>
        <v>#VALUE!</v>
      </c>
      <c r="AM44" t="e">
        <f>AND(Liste!#REF!,"AAAAAH+NdSY=")</f>
        <v>#REF!</v>
      </c>
      <c r="AN44" t="e">
        <f>AND(Liste!#REF!,"AAAAAH+NdSc=")</f>
        <v>#REF!</v>
      </c>
      <c r="AO44" t="e">
        <f>AND(Liste!#REF!,"AAAAAH+NdSg=")</f>
        <v>#REF!</v>
      </c>
      <c r="AP44" t="e">
        <f>AND(Liste!#REF!,"AAAAAH+NdSk=")</f>
        <v>#REF!</v>
      </c>
      <c r="AQ44" t="e">
        <f>AND(Liste!#REF!,"AAAAAH+NdSo=")</f>
        <v>#REF!</v>
      </c>
      <c r="AR44" t="e">
        <f>AND(Liste!#REF!,"AAAAAH+NdSs=")</f>
        <v>#REF!</v>
      </c>
      <c r="AS44" t="e">
        <f>AND(Liste!#REF!,"AAAAAH+NdSw=")</f>
        <v>#REF!</v>
      </c>
      <c r="AT44" t="e">
        <f>AND(Liste!#REF!,"AAAAAH+NdS0=")</f>
        <v>#REF!</v>
      </c>
      <c r="AU44" t="e">
        <f>AND(Liste!#REF!,"AAAAAH+NdS4=")</f>
        <v>#REF!</v>
      </c>
      <c r="AV44" t="e">
        <f>AND(Liste!#REF!,"AAAAAH+NdS8=")</f>
        <v>#REF!</v>
      </c>
      <c r="AW44" t="e">
        <f>AND(Liste!#REF!,"AAAAAH+NdTA=")</f>
        <v>#REF!</v>
      </c>
      <c r="AX44" t="e">
        <f>AND(Liste!#REF!,"AAAAAH+NdTE=")</f>
        <v>#REF!</v>
      </c>
      <c r="AY44" t="e">
        <f>AND(Liste!#REF!,"AAAAAH+NdTI=")</f>
        <v>#REF!</v>
      </c>
      <c r="AZ44" t="e">
        <f>AND(Liste!#REF!,"AAAAAH+NdTM=")</f>
        <v>#REF!</v>
      </c>
      <c r="BA44" t="e">
        <f>AND(Liste!#REF!,"AAAAAH+NdTQ=")</f>
        <v>#REF!</v>
      </c>
      <c r="BB44" t="e">
        <f>AND(Liste!#REF!,"AAAAAH+NdTU=")</f>
        <v>#REF!</v>
      </c>
      <c r="BC44" t="e">
        <f>AND(Liste!#REF!,"AAAAAH+NdTY=")</f>
        <v>#REF!</v>
      </c>
      <c r="BD44" t="e">
        <f>AND(Liste!#REF!,"AAAAAH+NdTc=")</f>
        <v>#REF!</v>
      </c>
      <c r="BE44" t="e">
        <f>AND(Liste!#REF!,"AAAAAH+NdTg=")</f>
        <v>#REF!</v>
      </c>
      <c r="BF44" t="e">
        <f>AND(Liste!#REF!,"AAAAAH+NdTk=")</f>
        <v>#REF!</v>
      </c>
      <c r="BG44" t="e">
        <f>AND(Liste!#REF!,"AAAAAH+NdTo=")</f>
        <v>#REF!</v>
      </c>
      <c r="BH44">
        <f>IF(Liste!335:335,"AAAAAH+NdTs=",0)</f>
        <v>0</v>
      </c>
      <c r="BI44" t="b">
        <f>AND(Liste!A335,"AAAAAH+NdTw=")</f>
        <v>1</v>
      </c>
      <c r="BJ44" t="e">
        <f>AND(Liste!#REF!,"AAAAAH+NdT0=")</f>
        <v>#REF!</v>
      </c>
      <c r="BK44" t="e">
        <f>AND(Liste!#REF!,"AAAAAH+NdT4=")</f>
        <v>#REF!</v>
      </c>
      <c r="BL44" t="e">
        <f>AND(Liste!#REF!,"AAAAAH+NdT8=")</f>
        <v>#REF!</v>
      </c>
      <c r="BM44" t="e">
        <f>AND(Liste!F381,"AAAAAH+NdUA=")</f>
        <v>#VALUE!</v>
      </c>
      <c r="BN44" t="e">
        <f>AND(Liste!G381,"AAAAAH+NdUE=")</f>
        <v>#VALUE!</v>
      </c>
      <c r="BO44" t="e">
        <f>AND(Liste!H381,"AAAAAH+NdUI=")</f>
        <v>#VALUE!</v>
      </c>
      <c r="BP44" t="e">
        <f>AND(Liste!I381,"AAAAAH+NdUM=")</f>
        <v>#VALUE!</v>
      </c>
      <c r="BQ44" t="e">
        <f>AND(Liste!J381,"AAAAAH+NdUQ=")</f>
        <v>#VALUE!</v>
      </c>
      <c r="BR44" t="e">
        <f>AND(Liste!#REF!,"AAAAAH+NdUU=")</f>
        <v>#REF!</v>
      </c>
      <c r="BS44" t="e">
        <f>AND(Liste!#REF!,"AAAAAH+NdUY=")</f>
        <v>#REF!</v>
      </c>
      <c r="BT44" t="e">
        <f>AND(Liste!#REF!,"AAAAAH+NdUc=")</f>
        <v>#REF!</v>
      </c>
      <c r="BU44" t="e">
        <f>AND(Liste!#REF!,"AAAAAH+NdUg=")</f>
        <v>#REF!</v>
      </c>
      <c r="BV44" t="e">
        <f>AND(Liste!#REF!,"AAAAAH+NdUk=")</f>
        <v>#REF!</v>
      </c>
      <c r="BW44" t="e">
        <f>AND(Liste!#REF!,"AAAAAH+NdUo=")</f>
        <v>#REF!</v>
      </c>
      <c r="BX44" t="e">
        <f>AND(Liste!#REF!,"AAAAAH+NdUs=")</f>
        <v>#REF!</v>
      </c>
      <c r="BY44" t="e">
        <f>AND(Liste!#REF!,"AAAAAH+NdUw=")</f>
        <v>#REF!</v>
      </c>
      <c r="BZ44" t="e">
        <f>AND(Liste!#REF!,"AAAAAH+NdU0=")</f>
        <v>#REF!</v>
      </c>
      <c r="CA44" t="e">
        <f>AND(Liste!#REF!,"AAAAAH+NdU4=")</f>
        <v>#REF!</v>
      </c>
      <c r="CB44" t="e">
        <f>AND(Liste!#REF!,"AAAAAH+NdU8=")</f>
        <v>#REF!</v>
      </c>
      <c r="CC44" t="e">
        <f>AND(Liste!#REF!,"AAAAAH+NdVA=")</f>
        <v>#REF!</v>
      </c>
      <c r="CD44" t="e">
        <f>AND(Liste!#REF!,"AAAAAH+NdVE=")</f>
        <v>#REF!</v>
      </c>
      <c r="CE44" t="e">
        <f>AND(Liste!#REF!,"AAAAAH+NdVI=")</f>
        <v>#REF!</v>
      </c>
      <c r="CF44" t="e">
        <f>AND(Liste!#REF!,"AAAAAH+NdVM=")</f>
        <v>#REF!</v>
      </c>
      <c r="CG44" t="e">
        <f>AND(Liste!#REF!,"AAAAAH+NdVQ=")</f>
        <v>#REF!</v>
      </c>
      <c r="CH44" t="e">
        <f>AND(Liste!#REF!,"AAAAAH+NdVU=")</f>
        <v>#REF!</v>
      </c>
      <c r="CI44" t="e">
        <f>AND(Liste!#REF!,"AAAAAH+NdVY=")</f>
        <v>#REF!</v>
      </c>
      <c r="CJ44" t="e">
        <f>AND(Liste!#REF!,"AAAAAH+NdVc=")</f>
        <v>#REF!</v>
      </c>
      <c r="CK44" t="e">
        <f>AND(Liste!#REF!,"AAAAAH+NdVg=")</f>
        <v>#REF!</v>
      </c>
      <c r="CL44" t="e">
        <f>AND(Liste!#REF!,"AAAAAH+NdVk=")</f>
        <v>#REF!</v>
      </c>
      <c r="CM44" t="e">
        <f>IF(Liste!#REF!,"AAAAAH+NdVo=",0)</f>
        <v>#REF!</v>
      </c>
      <c r="CN44" t="e">
        <f>AND(Liste!#REF!,"AAAAAH+NdVs=")</f>
        <v>#REF!</v>
      </c>
      <c r="CO44" t="e">
        <f>AND(Liste!#REF!,"AAAAAH+NdVw=")</f>
        <v>#REF!</v>
      </c>
      <c r="CP44" t="e">
        <f>AND(Liste!#REF!,"AAAAAH+NdV0=")</f>
        <v>#REF!</v>
      </c>
      <c r="CQ44" t="e">
        <f>AND(Liste!#REF!,"AAAAAH+NdV4=")</f>
        <v>#REF!</v>
      </c>
      <c r="CR44" t="e">
        <f>AND(Liste!F382,"AAAAAH+NdV8=")</f>
        <v>#VALUE!</v>
      </c>
      <c r="CS44" t="e">
        <f>AND(Liste!G382,"AAAAAH+NdWA=")</f>
        <v>#VALUE!</v>
      </c>
      <c r="CT44" t="e">
        <f>AND(Liste!H382,"AAAAAH+NdWE=")</f>
        <v>#VALUE!</v>
      </c>
      <c r="CU44" t="e">
        <f>AND(Liste!I382,"AAAAAH+NdWI=")</f>
        <v>#VALUE!</v>
      </c>
      <c r="CV44" t="e">
        <f>AND(Liste!J382,"AAAAAH+NdWM=")</f>
        <v>#VALUE!</v>
      </c>
      <c r="CW44" t="e">
        <f>AND(Liste!#REF!,"AAAAAH+NdWQ=")</f>
        <v>#REF!</v>
      </c>
      <c r="CX44" t="e">
        <f>AND(Liste!#REF!,"AAAAAH+NdWU=")</f>
        <v>#REF!</v>
      </c>
      <c r="CY44" t="e">
        <f>AND(Liste!#REF!,"AAAAAH+NdWY=")</f>
        <v>#REF!</v>
      </c>
      <c r="CZ44" t="e">
        <f>AND(Liste!#REF!,"AAAAAH+NdWc=")</f>
        <v>#REF!</v>
      </c>
      <c r="DA44" t="e">
        <f>AND(Liste!#REF!,"AAAAAH+NdWg=")</f>
        <v>#REF!</v>
      </c>
      <c r="DB44" t="e">
        <f>AND(Liste!#REF!,"AAAAAH+NdWk=")</f>
        <v>#REF!</v>
      </c>
      <c r="DC44" t="e">
        <f>AND(Liste!#REF!,"AAAAAH+NdWo=")</f>
        <v>#REF!</v>
      </c>
      <c r="DD44" t="e">
        <f>AND(Liste!#REF!,"AAAAAH+NdWs=")</f>
        <v>#REF!</v>
      </c>
      <c r="DE44" t="e">
        <f>AND(Liste!#REF!,"AAAAAH+NdWw=")</f>
        <v>#REF!</v>
      </c>
      <c r="DF44" t="e">
        <f>AND(Liste!#REF!,"AAAAAH+NdW0=")</f>
        <v>#REF!</v>
      </c>
      <c r="DG44" t="e">
        <f>AND(Liste!#REF!,"AAAAAH+NdW4=")</f>
        <v>#REF!</v>
      </c>
      <c r="DH44" t="e">
        <f>AND(Liste!#REF!,"AAAAAH+NdW8=")</f>
        <v>#REF!</v>
      </c>
      <c r="DI44" t="e">
        <f>AND(Liste!#REF!,"AAAAAH+NdXA=")</f>
        <v>#REF!</v>
      </c>
      <c r="DJ44" t="e">
        <f>AND(Liste!#REF!,"AAAAAH+NdXE=")</f>
        <v>#REF!</v>
      </c>
      <c r="DK44" t="e">
        <f>AND(Liste!#REF!,"AAAAAH+NdXI=")</f>
        <v>#REF!</v>
      </c>
      <c r="DL44" t="e">
        <f>AND(Liste!#REF!,"AAAAAH+NdXM=")</f>
        <v>#REF!</v>
      </c>
      <c r="DM44" t="e">
        <f>AND(Liste!#REF!,"AAAAAH+NdXQ=")</f>
        <v>#REF!</v>
      </c>
      <c r="DN44" t="e">
        <f>AND(Liste!#REF!,"AAAAAH+NdXU=")</f>
        <v>#REF!</v>
      </c>
      <c r="DO44" t="e">
        <f>AND(Liste!#REF!,"AAAAAH+NdXY=")</f>
        <v>#REF!</v>
      </c>
      <c r="DP44" t="e">
        <f>AND(Liste!#REF!,"AAAAAH+NdXc=")</f>
        <v>#REF!</v>
      </c>
      <c r="DQ44" t="e">
        <f>AND(Liste!#REF!,"AAAAAH+NdXg=")</f>
        <v>#REF!</v>
      </c>
      <c r="DR44" t="e">
        <f>IF(Liste!#REF!,"AAAAAH+NdXk=",0)</f>
        <v>#REF!</v>
      </c>
      <c r="DS44" t="e">
        <f>AND(Liste!#REF!,"AAAAAH+NdXo=")</f>
        <v>#REF!</v>
      </c>
      <c r="DT44" t="e">
        <f>AND(Liste!#REF!,"AAAAAH+NdXs=")</f>
        <v>#REF!</v>
      </c>
      <c r="DU44" t="e">
        <f>AND(Liste!#REF!,"AAAAAH+NdXw=")</f>
        <v>#REF!</v>
      </c>
      <c r="DV44" t="e">
        <f>AND(Liste!#REF!,"AAAAAH+NdX0=")</f>
        <v>#REF!</v>
      </c>
      <c r="DW44" t="e">
        <f>AND(Liste!#REF!,"AAAAAH+NdX4=")</f>
        <v>#REF!</v>
      </c>
      <c r="DX44" t="e">
        <f>AND(Liste!#REF!,"AAAAAH+NdX8=")</f>
        <v>#REF!</v>
      </c>
      <c r="DY44" t="e">
        <f>AND(Liste!#REF!,"AAAAAH+NdYA=")</f>
        <v>#REF!</v>
      </c>
      <c r="DZ44" t="e">
        <f>AND(Liste!#REF!,"AAAAAH+NdYE=")</f>
        <v>#REF!</v>
      </c>
      <c r="EA44" t="e">
        <f>AND(Liste!#REF!,"AAAAAH+NdYI=")</f>
        <v>#REF!</v>
      </c>
      <c r="EB44" t="e">
        <f>AND(Liste!#REF!,"AAAAAH+NdYM=")</f>
        <v>#REF!</v>
      </c>
      <c r="EC44" t="e">
        <f>AND(Liste!#REF!,"AAAAAH+NdYQ=")</f>
        <v>#REF!</v>
      </c>
      <c r="ED44" t="e">
        <f>AND(Liste!#REF!,"AAAAAH+NdYU=")</f>
        <v>#REF!</v>
      </c>
      <c r="EE44" t="e">
        <f>AND(Liste!#REF!,"AAAAAH+NdYY=")</f>
        <v>#REF!</v>
      </c>
      <c r="EF44" t="e">
        <f>AND(Liste!#REF!,"AAAAAH+NdYc=")</f>
        <v>#REF!</v>
      </c>
      <c r="EG44" t="e">
        <f>AND(Liste!#REF!,"AAAAAH+NdYg=")</f>
        <v>#REF!</v>
      </c>
      <c r="EH44" t="e">
        <f>AND(Liste!#REF!,"AAAAAH+NdYk=")</f>
        <v>#REF!</v>
      </c>
      <c r="EI44" t="e">
        <f>AND(Liste!#REF!,"AAAAAH+NdYo=")</f>
        <v>#REF!</v>
      </c>
      <c r="EJ44" t="e">
        <f>AND(Liste!#REF!,"AAAAAH+NdYs=")</f>
        <v>#REF!</v>
      </c>
      <c r="EK44" t="e">
        <f>AND(Liste!#REF!,"AAAAAH+NdYw=")</f>
        <v>#REF!</v>
      </c>
      <c r="EL44" t="e">
        <f>AND(Liste!#REF!,"AAAAAH+NdY0=")</f>
        <v>#REF!</v>
      </c>
      <c r="EM44" t="e">
        <f>AND(Liste!#REF!,"AAAAAH+NdY4=")</f>
        <v>#REF!</v>
      </c>
      <c r="EN44" t="e">
        <f>AND(Liste!#REF!,"AAAAAH+NdY8=")</f>
        <v>#REF!</v>
      </c>
      <c r="EO44" t="e">
        <f>AND(Liste!#REF!,"AAAAAH+NdZA=")</f>
        <v>#REF!</v>
      </c>
      <c r="EP44" t="e">
        <f>AND(Liste!#REF!,"AAAAAH+NdZE=")</f>
        <v>#REF!</v>
      </c>
      <c r="EQ44" t="e">
        <f>AND(Liste!#REF!,"AAAAAH+NdZI=")</f>
        <v>#REF!</v>
      </c>
      <c r="ER44" t="e">
        <f>AND(Liste!#REF!,"AAAAAH+NdZM=")</f>
        <v>#REF!</v>
      </c>
      <c r="ES44" t="e">
        <f>AND(Liste!#REF!,"AAAAAH+NdZQ=")</f>
        <v>#REF!</v>
      </c>
      <c r="ET44" t="e">
        <f>AND(Liste!#REF!,"AAAAAH+NdZU=")</f>
        <v>#REF!</v>
      </c>
      <c r="EU44" t="e">
        <f>AND(Liste!#REF!,"AAAAAH+NdZY=")</f>
        <v>#REF!</v>
      </c>
      <c r="EV44" t="e">
        <f>AND(Liste!#REF!,"AAAAAH+NdZc=")</f>
        <v>#REF!</v>
      </c>
      <c r="EW44" t="e">
        <f>IF(Liste!#REF!,"AAAAAH+NdZg=",0)</f>
        <v>#REF!</v>
      </c>
      <c r="EX44" t="e">
        <f>AND(Liste!#REF!,"AAAAAH+NdZk=")</f>
        <v>#REF!</v>
      </c>
      <c r="EY44" t="e">
        <f>AND(Liste!#REF!,"AAAAAH+NdZo=")</f>
        <v>#REF!</v>
      </c>
      <c r="EZ44" t="e">
        <f>AND(Liste!#REF!,"AAAAAH+NdZs=")</f>
        <v>#REF!</v>
      </c>
      <c r="FA44" t="e">
        <f>AND(Liste!#REF!,"AAAAAH+NdZw=")</f>
        <v>#REF!</v>
      </c>
      <c r="FB44" t="e">
        <f>AND(Liste!#REF!,"AAAAAH+NdZ0=")</f>
        <v>#REF!</v>
      </c>
      <c r="FC44" t="e">
        <f>AND(Liste!#REF!,"AAAAAH+NdZ4=")</f>
        <v>#REF!</v>
      </c>
      <c r="FD44" t="e">
        <f>AND(Liste!#REF!,"AAAAAH+NdZ8=")</f>
        <v>#REF!</v>
      </c>
      <c r="FE44" t="e">
        <f>AND(Liste!#REF!,"AAAAAH+NdaA=")</f>
        <v>#REF!</v>
      </c>
      <c r="FF44" t="e">
        <f>AND(Liste!#REF!,"AAAAAH+NdaE=")</f>
        <v>#REF!</v>
      </c>
      <c r="FG44" t="e">
        <f>AND(Liste!#REF!,"AAAAAH+NdaI=")</f>
        <v>#REF!</v>
      </c>
      <c r="FH44" t="e">
        <f>AND(Liste!#REF!,"AAAAAH+NdaM=")</f>
        <v>#REF!</v>
      </c>
      <c r="FI44" t="e">
        <f>AND(Liste!#REF!,"AAAAAH+NdaQ=")</f>
        <v>#REF!</v>
      </c>
      <c r="FJ44" t="e">
        <f>AND(Liste!#REF!,"AAAAAH+NdaU=")</f>
        <v>#REF!</v>
      </c>
      <c r="FK44" t="e">
        <f>AND(Liste!#REF!,"AAAAAH+NdaY=")</f>
        <v>#REF!</v>
      </c>
      <c r="FL44" t="e">
        <f>AND(Liste!#REF!,"AAAAAH+Ndac=")</f>
        <v>#REF!</v>
      </c>
      <c r="FM44" t="e">
        <f>AND(Liste!#REF!,"AAAAAH+Ndag=")</f>
        <v>#REF!</v>
      </c>
      <c r="FN44" t="e">
        <f>AND(Liste!#REF!,"AAAAAH+Ndak=")</f>
        <v>#REF!</v>
      </c>
      <c r="FO44" t="e">
        <f>AND(Liste!#REF!,"AAAAAH+Ndao=")</f>
        <v>#REF!</v>
      </c>
      <c r="FP44" t="e">
        <f>AND(Liste!#REF!,"AAAAAH+Ndas=")</f>
        <v>#REF!</v>
      </c>
      <c r="FQ44" t="e">
        <f>AND(Liste!#REF!,"AAAAAH+Ndaw=")</f>
        <v>#REF!</v>
      </c>
      <c r="FR44" t="e">
        <f>AND(Liste!#REF!,"AAAAAH+Nda0=")</f>
        <v>#REF!</v>
      </c>
      <c r="FS44" t="e">
        <f>AND(Liste!#REF!,"AAAAAH+Nda4=")</f>
        <v>#REF!</v>
      </c>
      <c r="FT44" t="e">
        <f>AND(Liste!#REF!,"AAAAAH+Nda8=")</f>
        <v>#REF!</v>
      </c>
      <c r="FU44" t="e">
        <f>AND(Liste!#REF!,"AAAAAH+NdbA=")</f>
        <v>#REF!</v>
      </c>
      <c r="FV44" t="e">
        <f>AND(Liste!#REF!,"AAAAAH+NdbE=")</f>
        <v>#REF!</v>
      </c>
      <c r="FW44" t="e">
        <f>AND(Liste!#REF!,"AAAAAH+NdbI=")</f>
        <v>#REF!</v>
      </c>
      <c r="FX44" t="e">
        <f>AND(Liste!#REF!,"AAAAAH+NdbM=")</f>
        <v>#REF!</v>
      </c>
      <c r="FY44" t="e">
        <f>AND(Liste!#REF!,"AAAAAH+NdbQ=")</f>
        <v>#REF!</v>
      </c>
      <c r="FZ44" t="e">
        <f>AND(Liste!#REF!,"AAAAAH+NdbU=")</f>
        <v>#REF!</v>
      </c>
      <c r="GA44" t="e">
        <f>AND(Liste!#REF!,"AAAAAH+NdbY=")</f>
        <v>#REF!</v>
      </c>
      <c r="GB44" t="e">
        <f>IF(Liste!#REF!,"AAAAAH+Ndbc=",0)</f>
        <v>#REF!</v>
      </c>
      <c r="GC44" t="e">
        <f>AND(Liste!#REF!,"AAAAAH+Ndbg=")</f>
        <v>#REF!</v>
      </c>
      <c r="GD44" t="e">
        <f>AND(Liste!#REF!,"AAAAAH+Ndbk=")</f>
        <v>#REF!</v>
      </c>
      <c r="GE44" t="e">
        <f>AND(Liste!#REF!,"AAAAAH+Ndbo=")</f>
        <v>#REF!</v>
      </c>
      <c r="GF44" t="e">
        <f>AND(Liste!#REF!,"AAAAAH+Ndbs=")</f>
        <v>#REF!</v>
      </c>
      <c r="GG44" t="e">
        <f>AND(Liste!#REF!,"AAAAAH+Ndbw=")</f>
        <v>#REF!</v>
      </c>
      <c r="GH44" t="e">
        <f>AND(Liste!#REF!,"AAAAAH+Ndb0=")</f>
        <v>#REF!</v>
      </c>
      <c r="GI44" t="e">
        <f>AND(Liste!#REF!,"AAAAAH+Ndb4=")</f>
        <v>#REF!</v>
      </c>
      <c r="GJ44" t="e">
        <f>AND(Liste!#REF!,"AAAAAH+Ndb8=")</f>
        <v>#REF!</v>
      </c>
      <c r="GK44" t="e">
        <f>AND(Liste!#REF!,"AAAAAH+NdcA=")</f>
        <v>#REF!</v>
      </c>
      <c r="GL44" t="e">
        <f>AND(Liste!#REF!,"AAAAAH+NdcE=")</f>
        <v>#REF!</v>
      </c>
      <c r="GM44" t="e">
        <f>AND(Liste!#REF!,"AAAAAH+NdcI=")</f>
        <v>#REF!</v>
      </c>
      <c r="GN44" t="e">
        <f>AND(Liste!#REF!,"AAAAAH+NdcM=")</f>
        <v>#REF!</v>
      </c>
      <c r="GO44" t="e">
        <f>AND(Liste!#REF!,"AAAAAH+NdcQ=")</f>
        <v>#REF!</v>
      </c>
      <c r="GP44" t="e">
        <f>AND(Liste!#REF!,"AAAAAH+NdcU=")</f>
        <v>#REF!</v>
      </c>
      <c r="GQ44" t="e">
        <f>AND(Liste!#REF!,"AAAAAH+NdcY=")</f>
        <v>#REF!</v>
      </c>
      <c r="GR44" t="e">
        <f>AND(Liste!#REF!,"AAAAAH+Ndcc=")</f>
        <v>#REF!</v>
      </c>
      <c r="GS44" t="e">
        <f>AND(Liste!#REF!,"AAAAAH+Ndcg=")</f>
        <v>#REF!</v>
      </c>
      <c r="GT44" t="e">
        <f>AND(Liste!#REF!,"AAAAAH+Ndck=")</f>
        <v>#REF!</v>
      </c>
      <c r="GU44" t="e">
        <f>AND(Liste!#REF!,"AAAAAH+Ndco=")</f>
        <v>#REF!</v>
      </c>
      <c r="GV44" t="e">
        <f>AND(Liste!#REF!,"AAAAAH+Ndcs=")</f>
        <v>#REF!</v>
      </c>
      <c r="GW44" t="e">
        <f>AND(Liste!#REF!,"AAAAAH+Ndcw=")</f>
        <v>#REF!</v>
      </c>
      <c r="GX44" t="e">
        <f>AND(Liste!#REF!,"AAAAAH+Ndc0=")</f>
        <v>#REF!</v>
      </c>
      <c r="GY44" t="e">
        <f>AND(Liste!#REF!,"AAAAAH+Ndc4=")</f>
        <v>#REF!</v>
      </c>
      <c r="GZ44" t="e">
        <f>AND(Liste!#REF!,"AAAAAH+Ndc8=")</f>
        <v>#REF!</v>
      </c>
      <c r="HA44" t="e">
        <f>AND(Liste!#REF!,"AAAAAH+NddA=")</f>
        <v>#REF!</v>
      </c>
      <c r="HB44" t="e">
        <f>AND(Liste!#REF!,"AAAAAH+NddE=")</f>
        <v>#REF!</v>
      </c>
      <c r="HC44" t="e">
        <f>AND(Liste!#REF!,"AAAAAH+NddI=")</f>
        <v>#REF!</v>
      </c>
      <c r="HD44" t="e">
        <f>AND(Liste!#REF!,"AAAAAH+NddM=")</f>
        <v>#REF!</v>
      </c>
      <c r="HE44" t="e">
        <f>AND(Liste!#REF!,"AAAAAH+NddQ=")</f>
        <v>#REF!</v>
      </c>
      <c r="HF44" t="e">
        <f>AND(Liste!#REF!,"AAAAAH+NddU=")</f>
        <v>#REF!</v>
      </c>
      <c r="HG44" t="e">
        <f>IF(Liste!#REF!,"AAAAAH+NddY=",0)</f>
        <v>#REF!</v>
      </c>
      <c r="HH44" t="e">
        <f>AND(Liste!#REF!,"AAAAAH+Nddc=")</f>
        <v>#REF!</v>
      </c>
      <c r="HI44" t="e">
        <f>AND(Liste!#REF!,"AAAAAH+Nddg=")</f>
        <v>#REF!</v>
      </c>
      <c r="HJ44" t="e">
        <f>AND(Liste!#REF!,"AAAAAH+Nddk=")</f>
        <v>#REF!</v>
      </c>
      <c r="HK44" t="e">
        <f>AND(Liste!#REF!,"AAAAAH+Nddo=")</f>
        <v>#REF!</v>
      </c>
      <c r="HL44" t="e">
        <f>AND(Liste!#REF!,"AAAAAH+Ndds=")</f>
        <v>#REF!</v>
      </c>
      <c r="HM44" t="e">
        <f>AND(Liste!#REF!,"AAAAAH+Nddw=")</f>
        <v>#REF!</v>
      </c>
      <c r="HN44" t="e">
        <f>AND(Liste!#REF!,"AAAAAH+Ndd0=")</f>
        <v>#REF!</v>
      </c>
      <c r="HO44" t="e">
        <f>AND(Liste!#REF!,"AAAAAH+Ndd4=")</f>
        <v>#REF!</v>
      </c>
      <c r="HP44" t="e">
        <f>AND(Liste!#REF!,"AAAAAH+Ndd8=")</f>
        <v>#REF!</v>
      </c>
      <c r="HQ44" t="e">
        <f>AND(Liste!#REF!,"AAAAAH+NdeA=")</f>
        <v>#REF!</v>
      </c>
      <c r="HR44" t="e">
        <f>AND(Liste!#REF!,"AAAAAH+NdeE=")</f>
        <v>#REF!</v>
      </c>
      <c r="HS44" t="e">
        <f>AND(Liste!#REF!,"AAAAAH+NdeI=")</f>
        <v>#REF!</v>
      </c>
      <c r="HT44" t="e">
        <f>AND(Liste!#REF!,"AAAAAH+NdeM=")</f>
        <v>#REF!</v>
      </c>
      <c r="HU44" t="e">
        <f>AND(Liste!#REF!,"AAAAAH+NdeQ=")</f>
        <v>#REF!</v>
      </c>
      <c r="HV44" t="e">
        <f>AND(Liste!#REF!,"AAAAAH+NdeU=")</f>
        <v>#REF!</v>
      </c>
      <c r="HW44" t="e">
        <f>AND(Liste!#REF!,"AAAAAH+NdeY=")</f>
        <v>#REF!</v>
      </c>
      <c r="HX44" t="e">
        <f>AND(Liste!#REF!,"AAAAAH+Ndec=")</f>
        <v>#REF!</v>
      </c>
      <c r="HY44" t="e">
        <f>AND(Liste!#REF!,"AAAAAH+Ndeg=")</f>
        <v>#REF!</v>
      </c>
      <c r="HZ44" t="e">
        <f>AND(Liste!#REF!,"AAAAAH+Ndek=")</f>
        <v>#REF!</v>
      </c>
      <c r="IA44" t="e">
        <f>AND(Liste!#REF!,"AAAAAH+Ndeo=")</f>
        <v>#REF!</v>
      </c>
      <c r="IB44" t="e">
        <f>AND(Liste!#REF!,"AAAAAH+Ndes=")</f>
        <v>#REF!</v>
      </c>
      <c r="IC44" t="e">
        <f>AND(Liste!#REF!,"AAAAAH+Ndew=")</f>
        <v>#REF!</v>
      </c>
      <c r="ID44" t="e">
        <f>AND(Liste!#REF!,"AAAAAH+Nde0=")</f>
        <v>#REF!</v>
      </c>
      <c r="IE44" t="e">
        <f>AND(Liste!#REF!,"AAAAAH+Nde4=")</f>
        <v>#REF!</v>
      </c>
      <c r="IF44" t="e">
        <f>AND(Liste!#REF!,"AAAAAH+Nde8=")</f>
        <v>#REF!</v>
      </c>
      <c r="IG44" t="e">
        <f>AND(Liste!#REF!,"AAAAAH+NdfA=")</f>
        <v>#REF!</v>
      </c>
      <c r="IH44" t="e">
        <f>AND(Liste!#REF!,"AAAAAH+NdfE=")</f>
        <v>#REF!</v>
      </c>
      <c r="II44" t="e">
        <f>AND(Liste!#REF!,"AAAAAH+NdfI=")</f>
        <v>#REF!</v>
      </c>
      <c r="IJ44" t="e">
        <f>AND(Liste!#REF!,"AAAAAH+NdfM=")</f>
        <v>#REF!</v>
      </c>
      <c r="IK44" t="e">
        <f>AND(Liste!#REF!,"AAAAAH+NdfQ=")</f>
        <v>#REF!</v>
      </c>
      <c r="IL44" t="e">
        <f>IF(Liste!#REF!,"AAAAAH+NdfU=",0)</f>
        <v>#REF!</v>
      </c>
      <c r="IM44" t="e">
        <f>AND(Liste!#REF!,"AAAAAH+NdfY=")</f>
        <v>#REF!</v>
      </c>
      <c r="IN44" t="e">
        <f>AND(Liste!#REF!,"AAAAAH+Ndfc=")</f>
        <v>#REF!</v>
      </c>
      <c r="IO44" t="e">
        <f>AND(Liste!#REF!,"AAAAAH+Ndfg=")</f>
        <v>#REF!</v>
      </c>
      <c r="IP44" t="e">
        <f>AND(Liste!#REF!,"AAAAAH+Ndfk=")</f>
        <v>#REF!</v>
      </c>
      <c r="IQ44" t="e">
        <f>AND(Liste!#REF!,"AAAAAH+Ndfo=")</f>
        <v>#REF!</v>
      </c>
      <c r="IR44" t="e">
        <f>AND(Liste!#REF!,"AAAAAH+Ndfs=")</f>
        <v>#REF!</v>
      </c>
      <c r="IS44" t="e">
        <f>AND(Liste!#REF!,"AAAAAH+Ndfw=")</f>
        <v>#REF!</v>
      </c>
      <c r="IT44" t="e">
        <f>AND(Liste!#REF!,"AAAAAH+Ndf0=")</f>
        <v>#REF!</v>
      </c>
      <c r="IU44" t="e">
        <f>AND(Liste!#REF!,"AAAAAH+Ndf4=")</f>
        <v>#REF!</v>
      </c>
      <c r="IV44" t="e">
        <f>AND(Liste!#REF!,"AAAAAH+Ndf8=")</f>
        <v>#REF!</v>
      </c>
    </row>
    <row r="45" spans="1:256" x14ac:dyDescent="0.2">
      <c r="A45" t="e">
        <f>AND(Liste!#REF!,"AAAAAHPXdwA=")</f>
        <v>#REF!</v>
      </c>
      <c r="B45" t="e">
        <f>AND(Liste!#REF!,"AAAAAHPXdwE=")</f>
        <v>#REF!</v>
      </c>
      <c r="C45" t="e">
        <f>AND(Liste!#REF!,"AAAAAHPXdwI=")</f>
        <v>#REF!</v>
      </c>
      <c r="D45" t="e">
        <f>AND(Liste!#REF!,"AAAAAHPXdwM=")</f>
        <v>#REF!</v>
      </c>
      <c r="E45" t="e">
        <f>AND(Liste!#REF!,"AAAAAHPXdwQ=")</f>
        <v>#REF!</v>
      </c>
      <c r="F45" t="e">
        <f>AND(Liste!#REF!,"AAAAAHPXdwU=")</f>
        <v>#REF!</v>
      </c>
      <c r="G45" t="e">
        <f>AND(Liste!#REF!,"AAAAAHPXdwY=")</f>
        <v>#REF!</v>
      </c>
      <c r="H45" t="e">
        <f>AND(Liste!#REF!,"AAAAAHPXdwc=")</f>
        <v>#REF!</v>
      </c>
      <c r="I45" t="e">
        <f>AND(Liste!#REF!,"AAAAAHPXdwg=")</f>
        <v>#REF!</v>
      </c>
      <c r="J45" t="e">
        <f>AND(Liste!#REF!,"AAAAAHPXdwk=")</f>
        <v>#REF!</v>
      </c>
      <c r="K45" t="e">
        <f>AND(Liste!#REF!,"AAAAAHPXdwo=")</f>
        <v>#REF!</v>
      </c>
      <c r="L45" t="e">
        <f>AND(Liste!#REF!,"AAAAAHPXdws=")</f>
        <v>#REF!</v>
      </c>
      <c r="M45" t="e">
        <f>AND(Liste!#REF!,"AAAAAHPXdww=")</f>
        <v>#REF!</v>
      </c>
      <c r="N45" t="e">
        <f>AND(Liste!#REF!,"AAAAAHPXdw0=")</f>
        <v>#REF!</v>
      </c>
      <c r="O45" t="e">
        <f>AND(Liste!#REF!,"AAAAAHPXdw4=")</f>
        <v>#REF!</v>
      </c>
      <c r="P45" t="e">
        <f>AND(Liste!#REF!,"AAAAAHPXdw8=")</f>
        <v>#REF!</v>
      </c>
      <c r="Q45" t="e">
        <f>AND(Liste!#REF!,"AAAAAHPXdxA=")</f>
        <v>#REF!</v>
      </c>
      <c r="R45" t="e">
        <f>AND(Liste!#REF!,"AAAAAHPXdxE=")</f>
        <v>#REF!</v>
      </c>
      <c r="S45" t="e">
        <f>AND(Liste!#REF!,"AAAAAHPXdxI=")</f>
        <v>#REF!</v>
      </c>
      <c r="T45" t="e">
        <f>AND(Liste!#REF!,"AAAAAHPXdxM=")</f>
        <v>#REF!</v>
      </c>
      <c r="U45" t="e">
        <f>IF(Liste!#REF!,"AAAAAHPXdxQ=",0)</f>
        <v>#REF!</v>
      </c>
      <c r="V45" t="e">
        <f>AND(Liste!#REF!,"AAAAAHPXdxU=")</f>
        <v>#REF!</v>
      </c>
      <c r="W45" t="e">
        <f>AND(Liste!#REF!,"AAAAAHPXdxY=")</f>
        <v>#REF!</v>
      </c>
      <c r="X45" t="e">
        <f>AND(Liste!#REF!,"AAAAAHPXdxc=")</f>
        <v>#REF!</v>
      </c>
      <c r="Y45" t="e">
        <f>AND(Liste!#REF!,"AAAAAHPXdxg=")</f>
        <v>#REF!</v>
      </c>
      <c r="Z45" t="e">
        <f>AND(Liste!#REF!,"AAAAAHPXdxk=")</f>
        <v>#REF!</v>
      </c>
      <c r="AA45" t="e">
        <f>AND(Liste!#REF!,"AAAAAHPXdxo=")</f>
        <v>#REF!</v>
      </c>
      <c r="AB45" t="e">
        <f>AND(Liste!#REF!,"AAAAAHPXdxs=")</f>
        <v>#REF!</v>
      </c>
      <c r="AC45" t="e">
        <f>AND(Liste!#REF!,"AAAAAHPXdxw=")</f>
        <v>#REF!</v>
      </c>
      <c r="AD45" t="e">
        <f>AND(Liste!#REF!,"AAAAAHPXdx0=")</f>
        <v>#REF!</v>
      </c>
      <c r="AE45" t="e">
        <f>AND(Liste!#REF!,"AAAAAHPXdx4=")</f>
        <v>#REF!</v>
      </c>
      <c r="AF45" t="e">
        <f>AND(Liste!#REF!,"AAAAAHPXdx8=")</f>
        <v>#REF!</v>
      </c>
      <c r="AG45" t="e">
        <f>AND(Liste!#REF!,"AAAAAHPXdyA=")</f>
        <v>#REF!</v>
      </c>
      <c r="AH45" t="e">
        <f>AND(Liste!#REF!,"AAAAAHPXdyE=")</f>
        <v>#REF!</v>
      </c>
      <c r="AI45" t="e">
        <f>AND(Liste!#REF!,"AAAAAHPXdyI=")</f>
        <v>#REF!</v>
      </c>
      <c r="AJ45" t="e">
        <f>AND(Liste!#REF!,"AAAAAHPXdyM=")</f>
        <v>#REF!</v>
      </c>
      <c r="AK45" t="e">
        <f>AND(Liste!#REF!,"AAAAAHPXdyQ=")</f>
        <v>#REF!</v>
      </c>
      <c r="AL45" t="e">
        <f>AND(Liste!#REF!,"AAAAAHPXdyU=")</f>
        <v>#REF!</v>
      </c>
      <c r="AM45" t="e">
        <f>AND(Liste!#REF!,"AAAAAHPXdyY=")</f>
        <v>#REF!</v>
      </c>
      <c r="AN45" t="e">
        <f>AND(Liste!#REF!,"AAAAAHPXdyc=")</f>
        <v>#REF!</v>
      </c>
      <c r="AO45" t="e">
        <f>AND(Liste!#REF!,"AAAAAHPXdyg=")</f>
        <v>#REF!</v>
      </c>
      <c r="AP45" t="e">
        <f>AND(Liste!#REF!,"AAAAAHPXdyk=")</f>
        <v>#REF!</v>
      </c>
      <c r="AQ45" t="e">
        <f>AND(Liste!#REF!,"AAAAAHPXdyo=")</f>
        <v>#REF!</v>
      </c>
      <c r="AR45" t="e">
        <f>AND(Liste!#REF!,"AAAAAHPXdys=")</f>
        <v>#REF!</v>
      </c>
      <c r="AS45" t="e">
        <f>AND(Liste!#REF!,"AAAAAHPXdyw=")</f>
        <v>#REF!</v>
      </c>
      <c r="AT45" t="e">
        <f>AND(Liste!#REF!,"AAAAAHPXdy0=")</f>
        <v>#REF!</v>
      </c>
      <c r="AU45" t="e">
        <f>AND(Liste!#REF!,"AAAAAHPXdy4=")</f>
        <v>#REF!</v>
      </c>
      <c r="AV45" t="e">
        <f>AND(Liste!#REF!,"AAAAAHPXdy8=")</f>
        <v>#REF!</v>
      </c>
      <c r="AW45" t="e">
        <f>AND(Liste!#REF!,"AAAAAHPXdzA=")</f>
        <v>#REF!</v>
      </c>
      <c r="AX45" t="e">
        <f>AND(Liste!#REF!,"AAAAAHPXdzE=")</f>
        <v>#REF!</v>
      </c>
      <c r="AY45" t="e">
        <f>AND(Liste!#REF!,"AAAAAHPXdzI=")</f>
        <v>#REF!</v>
      </c>
      <c r="AZ45" t="e">
        <f>IF(Liste!#REF!,"AAAAAHPXdzM=",0)</f>
        <v>#REF!</v>
      </c>
      <c r="BA45" t="e">
        <f>AND(Liste!#REF!,"AAAAAHPXdzQ=")</f>
        <v>#REF!</v>
      </c>
      <c r="BB45" t="e">
        <f>AND(Liste!#REF!,"AAAAAHPXdzU=")</f>
        <v>#REF!</v>
      </c>
      <c r="BC45" t="e">
        <f>AND(Liste!#REF!,"AAAAAHPXdzY=")</f>
        <v>#REF!</v>
      </c>
      <c r="BD45" t="e">
        <f>AND(Liste!#REF!,"AAAAAHPXdzc=")</f>
        <v>#REF!</v>
      </c>
      <c r="BE45" t="e">
        <f>AND(Liste!#REF!,"AAAAAHPXdzg=")</f>
        <v>#REF!</v>
      </c>
      <c r="BF45" t="e">
        <f>AND(Liste!#REF!,"AAAAAHPXdzk=")</f>
        <v>#REF!</v>
      </c>
      <c r="BG45" t="e">
        <f>AND(Liste!#REF!,"AAAAAHPXdzo=")</f>
        <v>#REF!</v>
      </c>
      <c r="BH45" t="e">
        <f>AND(Liste!#REF!,"AAAAAHPXdzs=")</f>
        <v>#REF!</v>
      </c>
      <c r="BI45" t="e">
        <f>AND(Liste!#REF!,"AAAAAHPXdzw=")</f>
        <v>#REF!</v>
      </c>
      <c r="BJ45" t="e">
        <f>AND(Liste!#REF!,"AAAAAHPXdz0=")</f>
        <v>#REF!</v>
      </c>
      <c r="BK45" t="e">
        <f>AND(Liste!#REF!,"AAAAAHPXdz4=")</f>
        <v>#REF!</v>
      </c>
      <c r="BL45" t="e">
        <f>AND(Liste!#REF!,"AAAAAHPXdz8=")</f>
        <v>#REF!</v>
      </c>
      <c r="BM45" t="e">
        <f>AND(Liste!#REF!,"AAAAAHPXd0A=")</f>
        <v>#REF!</v>
      </c>
      <c r="BN45" t="e">
        <f>AND(Liste!#REF!,"AAAAAHPXd0E=")</f>
        <v>#REF!</v>
      </c>
      <c r="BO45" t="e">
        <f>AND(Liste!#REF!,"AAAAAHPXd0I=")</f>
        <v>#REF!</v>
      </c>
      <c r="BP45" t="e">
        <f>AND(Liste!#REF!,"AAAAAHPXd0M=")</f>
        <v>#REF!</v>
      </c>
      <c r="BQ45" t="e">
        <f>AND(Liste!#REF!,"AAAAAHPXd0Q=")</f>
        <v>#REF!</v>
      </c>
      <c r="BR45" t="e">
        <f>AND(Liste!#REF!,"AAAAAHPXd0U=")</f>
        <v>#REF!</v>
      </c>
      <c r="BS45" t="e">
        <f>AND(Liste!#REF!,"AAAAAHPXd0Y=")</f>
        <v>#REF!</v>
      </c>
      <c r="BT45" t="e">
        <f>AND(Liste!#REF!,"AAAAAHPXd0c=")</f>
        <v>#REF!</v>
      </c>
      <c r="BU45" t="e">
        <f>AND(Liste!#REF!,"AAAAAHPXd0g=")</f>
        <v>#REF!</v>
      </c>
      <c r="BV45" t="e">
        <f>AND(Liste!#REF!,"AAAAAHPXd0k=")</f>
        <v>#REF!</v>
      </c>
      <c r="BW45" t="e">
        <f>AND(Liste!#REF!,"AAAAAHPXd0o=")</f>
        <v>#REF!</v>
      </c>
      <c r="BX45" t="e">
        <f>AND(Liste!#REF!,"AAAAAHPXd0s=")</f>
        <v>#REF!</v>
      </c>
      <c r="BY45" t="e">
        <f>AND(Liste!#REF!,"AAAAAHPXd0w=")</f>
        <v>#REF!</v>
      </c>
      <c r="BZ45" t="e">
        <f>AND(Liste!#REF!,"AAAAAHPXd00=")</f>
        <v>#REF!</v>
      </c>
      <c r="CA45" t="e">
        <f>AND(Liste!#REF!,"AAAAAHPXd04=")</f>
        <v>#REF!</v>
      </c>
      <c r="CB45" t="e">
        <f>AND(Liste!#REF!,"AAAAAHPXd08=")</f>
        <v>#REF!</v>
      </c>
      <c r="CC45" t="e">
        <f>AND(Liste!#REF!,"AAAAAHPXd1A=")</f>
        <v>#REF!</v>
      </c>
      <c r="CD45" t="e">
        <f>AND(Liste!#REF!,"AAAAAHPXd1E=")</f>
        <v>#REF!</v>
      </c>
      <c r="CE45" t="e">
        <f>IF(Liste!#REF!,"AAAAAHPXd1I=",0)</f>
        <v>#REF!</v>
      </c>
      <c r="CF45" t="e">
        <f>AND(Liste!#REF!,"AAAAAHPXd1M=")</f>
        <v>#REF!</v>
      </c>
      <c r="CG45" t="e">
        <f>AND(Liste!#REF!,"AAAAAHPXd1Q=")</f>
        <v>#REF!</v>
      </c>
      <c r="CH45" t="e">
        <f>AND(Liste!#REF!,"AAAAAHPXd1U=")</f>
        <v>#REF!</v>
      </c>
      <c r="CI45" t="e">
        <f>AND(Liste!#REF!,"AAAAAHPXd1Y=")</f>
        <v>#REF!</v>
      </c>
      <c r="CJ45" t="e">
        <f>AND(Liste!#REF!,"AAAAAHPXd1c=")</f>
        <v>#REF!</v>
      </c>
      <c r="CK45" t="e">
        <f>AND(Liste!#REF!,"AAAAAHPXd1g=")</f>
        <v>#REF!</v>
      </c>
      <c r="CL45" t="e">
        <f>AND(Liste!#REF!,"AAAAAHPXd1k=")</f>
        <v>#REF!</v>
      </c>
      <c r="CM45" t="e">
        <f>AND(Liste!#REF!,"AAAAAHPXd1o=")</f>
        <v>#REF!</v>
      </c>
      <c r="CN45" t="e">
        <f>AND(Liste!#REF!,"AAAAAHPXd1s=")</f>
        <v>#REF!</v>
      </c>
      <c r="CO45" t="e">
        <f>AND(Liste!#REF!,"AAAAAHPXd1w=")</f>
        <v>#REF!</v>
      </c>
      <c r="CP45" t="e">
        <f>AND(Liste!#REF!,"AAAAAHPXd10=")</f>
        <v>#REF!</v>
      </c>
      <c r="CQ45" t="e">
        <f>AND(Liste!#REF!,"AAAAAHPXd14=")</f>
        <v>#REF!</v>
      </c>
      <c r="CR45" t="e">
        <f>AND(Liste!#REF!,"AAAAAHPXd18=")</f>
        <v>#REF!</v>
      </c>
      <c r="CS45" t="e">
        <f>AND(Liste!#REF!,"AAAAAHPXd2A=")</f>
        <v>#REF!</v>
      </c>
      <c r="CT45" t="e">
        <f>AND(Liste!#REF!,"AAAAAHPXd2E=")</f>
        <v>#REF!</v>
      </c>
      <c r="CU45" t="e">
        <f>AND(Liste!#REF!,"AAAAAHPXd2I=")</f>
        <v>#REF!</v>
      </c>
      <c r="CV45" t="e">
        <f>AND(Liste!#REF!,"AAAAAHPXd2M=")</f>
        <v>#REF!</v>
      </c>
      <c r="CW45" t="e">
        <f>AND(Liste!#REF!,"AAAAAHPXd2Q=")</f>
        <v>#REF!</v>
      </c>
      <c r="CX45" t="e">
        <f>AND(Liste!#REF!,"AAAAAHPXd2U=")</f>
        <v>#REF!</v>
      </c>
      <c r="CY45" t="e">
        <f>AND(Liste!#REF!,"AAAAAHPXd2Y=")</f>
        <v>#REF!</v>
      </c>
      <c r="CZ45" t="e">
        <f>AND(Liste!#REF!,"AAAAAHPXd2c=")</f>
        <v>#REF!</v>
      </c>
      <c r="DA45" t="e">
        <f>AND(Liste!#REF!,"AAAAAHPXd2g=")</f>
        <v>#REF!</v>
      </c>
      <c r="DB45" t="e">
        <f>AND(Liste!#REF!,"AAAAAHPXd2k=")</f>
        <v>#REF!</v>
      </c>
      <c r="DC45" t="e">
        <f>AND(Liste!#REF!,"AAAAAHPXd2o=")</f>
        <v>#REF!</v>
      </c>
      <c r="DD45" t="e">
        <f>AND(Liste!#REF!,"AAAAAHPXd2s=")</f>
        <v>#REF!</v>
      </c>
      <c r="DE45" t="e">
        <f>AND(Liste!#REF!,"AAAAAHPXd2w=")</f>
        <v>#REF!</v>
      </c>
      <c r="DF45" t="e">
        <f>AND(Liste!#REF!,"AAAAAHPXd20=")</f>
        <v>#REF!</v>
      </c>
      <c r="DG45" t="e">
        <f>AND(Liste!#REF!,"AAAAAHPXd24=")</f>
        <v>#REF!</v>
      </c>
      <c r="DH45" t="e">
        <f>AND(Liste!#REF!,"AAAAAHPXd28=")</f>
        <v>#REF!</v>
      </c>
      <c r="DI45" t="e">
        <f>AND(Liste!#REF!,"AAAAAHPXd3A=")</f>
        <v>#REF!</v>
      </c>
      <c r="DJ45" t="e">
        <f>IF(Liste!#REF!,"AAAAAHPXd3E=",0)</f>
        <v>#REF!</v>
      </c>
      <c r="DK45" t="e">
        <f>AND(Liste!#REF!,"AAAAAHPXd3I=")</f>
        <v>#REF!</v>
      </c>
      <c r="DL45" t="e">
        <f>AND(Liste!#REF!,"AAAAAHPXd3M=")</f>
        <v>#REF!</v>
      </c>
      <c r="DM45" t="e">
        <f>AND(Liste!#REF!,"AAAAAHPXd3Q=")</f>
        <v>#REF!</v>
      </c>
      <c r="DN45" t="e">
        <f>AND(Liste!#REF!,"AAAAAHPXd3U=")</f>
        <v>#REF!</v>
      </c>
      <c r="DO45" t="e">
        <f>AND(Liste!#REF!,"AAAAAHPXd3Y=")</f>
        <v>#REF!</v>
      </c>
      <c r="DP45" t="e">
        <f>AND(Liste!#REF!,"AAAAAHPXd3c=")</f>
        <v>#REF!</v>
      </c>
      <c r="DQ45" t="e">
        <f>AND(Liste!#REF!,"AAAAAHPXd3g=")</f>
        <v>#REF!</v>
      </c>
      <c r="DR45" t="e">
        <f>AND(Liste!#REF!,"AAAAAHPXd3k=")</f>
        <v>#REF!</v>
      </c>
      <c r="DS45" t="e">
        <f>AND(Liste!#REF!,"AAAAAHPXd3o=")</f>
        <v>#REF!</v>
      </c>
      <c r="DT45" t="e">
        <f>AND(Liste!#REF!,"AAAAAHPXd3s=")</f>
        <v>#REF!</v>
      </c>
      <c r="DU45" t="e">
        <f>AND(Liste!#REF!,"AAAAAHPXd3w=")</f>
        <v>#REF!</v>
      </c>
      <c r="DV45" t="e">
        <f>AND(Liste!#REF!,"AAAAAHPXd30=")</f>
        <v>#REF!</v>
      </c>
      <c r="DW45" t="e">
        <f>AND(Liste!#REF!,"AAAAAHPXd34=")</f>
        <v>#REF!</v>
      </c>
      <c r="DX45" t="e">
        <f>AND(Liste!#REF!,"AAAAAHPXd38=")</f>
        <v>#REF!</v>
      </c>
      <c r="DY45" t="e">
        <f>AND(Liste!#REF!,"AAAAAHPXd4A=")</f>
        <v>#REF!</v>
      </c>
      <c r="DZ45" t="e">
        <f>AND(Liste!#REF!,"AAAAAHPXd4E=")</f>
        <v>#REF!</v>
      </c>
      <c r="EA45" t="e">
        <f>AND(Liste!#REF!,"AAAAAHPXd4I=")</f>
        <v>#REF!</v>
      </c>
      <c r="EB45" t="e">
        <f>AND(Liste!#REF!,"AAAAAHPXd4M=")</f>
        <v>#REF!</v>
      </c>
      <c r="EC45" t="e">
        <f>AND(Liste!#REF!,"AAAAAHPXd4Q=")</f>
        <v>#REF!</v>
      </c>
      <c r="ED45" t="e">
        <f>AND(Liste!#REF!,"AAAAAHPXd4U=")</f>
        <v>#REF!</v>
      </c>
      <c r="EE45" t="e">
        <f>AND(Liste!#REF!,"AAAAAHPXd4Y=")</f>
        <v>#REF!</v>
      </c>
      <c r="EF45" t="e">
        <f>AND(Liste!#REF!,"AAAAAHPXd4c=")</f>
        <v>#REF!</v>
      </c>
      <c r="EG45" t="e">
        <f>AND(Liste!#REF!,"AAAAAHPXd4g=")</f>
        <v>#REF!</v>
      </c>
      <c r="EH45" t="e">
        <f>AND(Liste!#REF!,"AAAAAHPXd4k=")</f>
        <v>#REF!</v>
      </c>
      <c r="EI45" t="e">
        <f>AND(Liste!#REF!,"AAAAAHPXd4o=")</f>
        <v>#REF!</v>
      </c>
      <c r="EJ45" t="e">
        <f>AND(Liste!#REF!,"AAAAAHPXd4s=")</f>
        <v>#REF!</v>
      </c>
      <c r="EK45" t="e">
        <f>AND(Liste!#REF!,"AAAAAHPXd4w=")</f>
        <v>#REF!</v>
      </c>
      <c r="EL45" t="e">
        <f>AND(Liste!#REF!,"AAAAAHPXd40=")</f>
        <v>#REF!</v>
      </c>
      <c r="EM45" t="e">
        <f>AND(Liste!#REF!,"AAAAAHPXd44=")</f>
        <v>#REF!</v>
      </c>
      <c r="EN45" t="e">
        <f>AND(Liste!#REF!,"AAAAAHPXd48=")</f>
        <v>#REF!</v>
      </c>
      <c r="EO45" t="e">
        <f>IF(Liste!#REF!,"AAAAAHPXd5A=",0)</f>
        <v>#REF!</v>
      </c>
      <c r="EP45" t="e">
        <f>AND(Liste!#REF!,"AAAAAHPXd5E=")</f>
        <v>#REF!</v>
      </c>
      <c r="EQ45" t="e">
        <f>AND(Liste!#REF!,"AAAAAHPXd5I=")</f>
        <v>#REF!</v>
      </c>
      <c r="ER45" t="e">
        <f>AND(Liste!#REF!,"AAAAAHPXd5M=")</f>
        <v>#REF!</v>
      </c>
      <c r="ES45" t="e">
        <f>AND(Liste!#REF!,"AAAAAHPXd5Q=")</f>
        <v>#REF!</v>
      </c>
      <c r="ET45" t="e">
        <f>AND(Liste!#REF!,"AAAAAHPXd5U=")</f>
        <v>#REF!</v>
      </c>
      <c r="EU45" t="e">
        <f>AND(Liste!#REF!,"AAAAAHPXd5Y=")</f>
        <v>#REF!</v>
      </c>
      <c r="EV45" t="e">
        <f>AND(Liste!#REF!,"AAAAAHPXd5c=")</f>
        <v>#REF!</v>
      </c>
      <c r="EW45" t="e">
        <f>AND(Liste!#REF!,"AAAAAHPXd5g=")</f>
        <v>#REF!</v>
      </c>
      <c r="EX45" t="e">
        <f>AND(Liste!#REF!,"AAAAAHPXd5k=")</f>
        <v>#REF!</v>
      </c>
      <c r="EY45" t="e">
        <f>AND(Liste!#REF!,"AAAAAHPXd5o=")</f>
        <v>#REF!</v>
      </c>
      <c r="EZ45" t="e">
        <f>AND(Liste!#REF!,"AAAAAHPXd5s=")</f>
        <v>#REF!</v>
      </c>
      <c r="FA45" t="e">
        <f>AND(Liste!#REF!,"AAAAAHPXd5w=")</f>
        <v>#REF!</v>
      </c>
      <c r="FB45" t="e">
        <f>AND(Liste!#REF!,"AAAAAHPXd50=")</f>
        <v>#REF!</v>
      </c>
      <c r="FC45" t="e">
        <f>AND(Liste!#REF!,"AAAAAHPXd54=")</f>
        <v>#REF!</v>
      </c>
      <c r="FD45" t="e">
        <f>AND(Liste!#REF!,"AAAAAHPXd58=")</f>
        <v>#REF!</v>
      </c>
      <c r="FE45" t="e">
        <f>AND(Liste!#REF!,"AAAAAHPXd6A=")</f>
        <v>#REF!</v>
      </c>
      <c r="FF45" t="e">
        <f>AND(Liste!#REF!,"AAAAAHPXd6E=")</f>
        <v>#REF!</v>
      </c>
      <c r="FG45" t="e">
        <f>AND(Liste!#REF!,"AAAAAHPXd6I=")</f>
        <v>#REF!</v>
      </c>
      <c r="FH45" t="e">
        <f>AND(Liste!#REF!,"AAAAAHPXd6M=")</f>
        <v>#REF!</v>
      </c>
      <c r="FI45" t="e">
        <f>AND(Liste!#REF!,"AAAAAHPXd6Q=")</f>
        <v>#REF!</v>
      </c>
      <c r="FJ45" t="e">
        <f>AND(Liste!#REF!,"AAAAAHPXd6U=")</f>
        <v>#REF!</v>
      </c>
      <c r="FK45" t="e">
        <f>AND(Liste!#REF!,"AAAAAHPXd6Y=")</f>
        <v>#REF!</v>
      </c>
      <c r="FL45" t="e">
        <f>AND(Liste!#REF!,"AAAAAHPXd6c=")</f>
        <v>#REF!</v>
      </c>
      <c r="FM45" t="e">
        <f>AND(Liste!#REF!,"AAAAAHPXd6g=")</f>
        <v>#REF!</v>
      </c>
      <c r="FN45" t="e">
        <f>AND(Liste!#REF!,"AAAAAHPXd6k=")</f>
        <v>#REF!</v>
      </c>
      <c r="FO45" t="e">
        <f>AND(Liste!#REF!,"AAAAAHPXd6o=")</f>
        <v>#REF!</v>
      </c>
      <c r="FP45" t="e">
        <f>AND(Liste!#REF!,"AAAAAHPXd6s=")</f>
        <v>#REF!</v>
      </c>
      <c r="FQ45" t="e">
        <f>AND(Liste!#REF!,"AAAAAHPXd6w=")</f>
        <v>#REF!</v>
      </c>
      <c r="FR45" t="e">
        <f>AND(Liste!#REF!,"AAAAAHPXd60=")</f>
        <v>#REF!</v>
      </c>
      <c r="FS45" t="e">
        <f>AND(Liste!#REF!,"AAAAAHPXd64=")</f>
        <v>#REF!</v>
      </c>
      <c r="FT45" t="e">
        <f>IF(Liste!#REF!,"AAAAAHPXd68=",0)</f>
        <v>#REF!</v>
      </c>
      <c r="FU45" t="e">
        <f>AND(Liste!#REF!,"AAAAAHPXd7A=")</f>
        <v>#REF!</v>
      </c>
      <c r="FV45" t="e">
        <f>AND(Liste!#REF!,"AAAAAHPXd7E=")</f>
        <v>#REF!</v>
      </c>
      <c r="FW45" t="e">
        <f>AND(Liste!#REF!,"AAAAAHPXd7I=")</f>
        <v>#REF!</v>
      </c>
      <c r="FX45" t="e">
        <f>AND(Liste!#REF!,"AAAAAHPXd7M=")</f>
        <v>#REF!</v>
      </c>
      <c r="FY45" t="e">
        <f>AND(Liste!#REF!,"AAAAAHPXd7Q=")</f>
        <v>#REF!</v>
      </c>
      <c r="FZ45" t="e">
        <f>AND(Liste!#REF!,"AAAAAHPXd7U=")</f>
        <v>#REF!</v>
      </c>
      <c r="GA45" t="e">
        <f>AND(Liste!#REF!,"AAAAAHPXd7Y=")</f>
        <v>#REF!</v>
      </c>
      <c r="GB45" t="e">
        <f>AND(Liste!#REF!,"AAAAAHPXd7c=")</f>
        <v>#REF!</v>
      </c>
      <c r="GC45" t="e">
        <f>AND(Liste!#REF!,"AAAAAHPXd7g=")</f>
        <v>#REF!</v>
      </c>
      <c r="GD45" t="e">
        <f>AND(Liste!#REF!,"AAAAAHPXd7k=")</f>
        <v>#REF!</v>
      </c>
      <c r="GE45" t="e">
        <f>AND(Liste!#REF!,"AAAAAHPXd7o=")</f>
        <v>#REF!</v>
      </c>
      <c r="GF45" t="e">
        <f>AND(Liste!#REF!,"AAAAAHPXd7s=")</f>
        <v>#REF!</v>
      </c>
      <c r="GG45" t="e">
        <f>AND(Liste!#REF!,"AAAAAHPXd7w=")</f>
        <v>#REF!</v>
      </c>
      <c r="GH45" t="e">
        <f>AND(Liste!#REF!,"AAAAAHPXd70=")</f>
        <v>#REF!</v>
      </c>
      <c r="GI45" t="e">
        <f>AND(Liste!#REF!,"AAAAAHPXd74=")</f>
        <v>#REF!</v>
      </c>
      <c r="GJ45" t="e">
        <f>AND(Liste!#REF!,"AAAAAHPXd78=")</f>
        <v>#REF!</v>
      </c>
      <c r="GK45" t="e">
        <f>AND(Liste!#REF!,"AAAAAHPXd8A=")</f>
        <v>#REF!</v>
      </c>
      <c r="GL45" t="e">
        <f>AND(Liste!#REF!,"AAAAAHPXd8E=")</f>
        <v>#REF!</v>
      </c>
      <c r="GM45" t="e">
        <f>AND(Liste!#REF!,"AAAAAHPXd8I=")</f>
        <v>#REF!</v>
      </c>
      <c r="GN45" t="e">
        <f>AND(Liste!#REF!,"AAAAAHPXd8M=")</f>
        <v>#REF!</v>
      </c>
      <c r="GO45" t="e">
        <f>AND(Liste!#REF!,"AAAAAHPXd8Q=")</f>
        <v>#REF!</v>
      </c>
      <c r="GP45" t="e">
        <f>AND(Liste!#REF!,"AAAAAHPXd8U=")</f>
        <v>#REF!</v>
      </c>
      <c r="GQ45" t="e">
        <f>AND(Liste!#REF!,"AAAAAHPXd8Y=")</f>
        <v>#REF!</v>
      </c>
      <c r="GR45" t="e">
        <f>AND(Liste!#REF!,"AAAAAHPXd8c=")</f>
        <v>#REF!</v>
      </c>
      <c r="GS45" t="e">
        <f>AND(Liste!#REF!,"AAAAAHPXd8g=")</f>
        <v>#REF!</v>
      </c>
      <c r="GT45" t="e">
        <f>AND(Liste!#REF!,"AAAAAHPXd8k=")</f>
        <v>#REF!</v>
      </c>
      <c r="GU45" t="e">
        <f>AND(Liste!#REF!,"AAAAAHPXd8o=")</f>
        <v>#REF!</v>
      </c>
      <c r="GV45" t="e">
        <f>AND(Liste!#REF!,"AAAAAHPXd8s=")</f>
        <v>#REF!</v>
      </c>
      <c r="GW45" t="e">
        <f>AND(Liste!#REF!,"AAAAAHPXd8w=")</f>
        <v>#REF!</v>
      </c>
      <c r="GX45" t="e">
        <f>AND(Liste!#REF!,"AAAAAHPXd80=")</f>
        <v>#REF!</v>
      </c>
      <c r="GY45" t="e">
        <f>IF(Liste!#REF!,"AAAAAHPXd84=",0)</f>
        <v>#REF!</v>
      </c>
      <c r="GZ45" t="e">
        <f>AND(Liste!#REF!,"AAAAAHPXd88=")</f>
        <v>#REF!</v>
      </c>
      <c r="HA45" t="e">
        <f>AND(Liste!#REF!,"AAAAAHPXd9A=")</f>
        <v>#REF!</v>
      </c>
      <c r="HB45" t="e">
        <f>AND(Liste!#REF!,"AAAAAHPXd9E=")</f>
        <v>#REF!</v>
      </c>
      <c r="HC45" t="e">
        <f>AND(Liste!#REF!,"AAAAAHPXd9I=")</f>
        <v>#REF!</v>
      </c>
      <c r="HD45" t="e">
        <f>AND(Liste!#REF!,"AAAAAHPXd9M=")</f>
        <v>#REF!</v>
      </c>
      <c r="HE45" t="e">
        <f>AND(Liste!#REF!,"AAAAAHPXd9Q=")</f>
        <v>#REF!</v>
      </c>
      <c r="HF45" t="e">
        <f>AND(Liste!#REF!,"AAAAAHPXd9U=")</f>
        <v>#REF!</v>
      </c>
      <c r="HG45" t="e">
        <f>AND(Liste!#REF!,"AAAAAHPXd9Y=")</f>
        <v>#REF!</v>
      </c>
      <c r="HH45" t="e">
        <f>AND(Liste!#REF!,"AAAAAHPXd9c=")</f>
        <v>#REF!</v>
      </c>
      <c r="HI45" t="e">
        <f>AND(Liste!#REF!,"AAAAAHPXd9g=")</f>
        <v>#REF!</v>
      </c>
      <c r="HJ45" t="e">
        <f>AND(Liste!#REF!,"AAAAAHPXd9k=")</f>
        <v>#REF!</v>
      </c>
      <c r="HK45" t="e">
        <f>AND(Liste!#REF!,"AAAAAHPXd9o=")</f>
        <v>#REF!</v>
      </c>
      <c r="HL45" t="e">
        <f>AND(Liste!#REF!,"AAAAAHPXd9s=")</f>
        <v>#REF!</v>
      </c>
      <c r="HM45" t="e">
        <f>AND(Liste!#REF!,"AAAAAHPXd9w=")</f>
        <v>#REF!</v>
      </c>
      <c r="HN45" t="e">
        <f>AND(Liste!#REF!,"AAAAAHPXd90=")</f>
        <v>#REF!</v>
      </c>
      <c r="HO45" t="e">
        <f>AND(Liste!#REF!,"AAAAAHPXd94=")</f>
        <v>#REF!</v>
      </c>
      <c r="HP45" t="e">
        <f>AND(Liste!#REF!,"AAAAAHPXd98=")</f>
        <v>#REF!</v>
      </c>
      <c r="HQ45" t="e">
        <f>AND(Liste!#REF!,"AAAAAHPXd+A=")</f>
        <v>#REF!</v>
      </c>
      <c r="HR45" t="e">
        <f>AND(Liste!#REF!,"AAAAAHPXd+E=")</f>
        <v>#REF!</v>
      </c>
      <c r="HS45" t="e">
        <f>AND(Liste!#REF!,"AAAAAHPXd+I=")</f>
        <v>#REF!</v>
      </c>
      <c r="HT45" t="e">
        <f>AND(Liste!#REF!,"AAAAAHPXd+M=")</f>
        <v>#REF!</v>
      </c>
      <c r="HU45" t="e">
        <f>AND(Liste!#REF!,"AAAAAHPXd+Q=")</f>
        <v>#REF!</v>
      </c>
      <c r="HV45" t="e">
        <f>AND(Liste!#REF!,"AAAAAHPXd+U=")</f>
        <v>#REF!</v>
      </c>
      <c r="HW45" t="e">
        <f>AND(Liste!#REF!,"AAAAAHPXd+Y=")</f>
        <v>#REF!</v>
      </c>
      <c r="HX45" t="e">
        <f>AND(Liste!#REF!,"AAAAAHPXd+c=")</f>
        <v>#REF!</v>
      </c>
      <c r="HY45" t="e">
        <f>AND(Liste!#REF!,"AAAAAHPXd+g=")</f>
        <v>#REF!</v>
      </c>
      <c r="HZ45" t="e">
        <f>AND(Liste!#REF!,"AAAAAHPXd+k=")</f>
        <v>#REF!</v>
      </c>
      <c r="IA45" t="e">
        <f>AND(Liste!#REF!,"AAAAAHPXd+o=")</f>
        <v>#REF!</v>
      </c>
      <c r="IB45" t="e">
        <f>AND(Liste!#REF!,"AAAAAHPXd+s=")</f>
        <v>#REF!</v>
      </c>
      <c r="IC45" t="e">
        <f>AND(Liste!#REF!,"AAAAAHPXd+w=")</f>
        <v>#REF!</v>
      </c>
      <c r="ID45" t="e">
        <f>IF(Liste!#REF!,"AAAAAHPXd+0=",0)</f>
        <v>#REF!</v>
      </c>
      <c r="IE45" t="e">
        <f>AND(Liste!#REF!,"AAAAAHPXd+4=")</f>
        <v>#REF!</v>
      </c>
      <c r="IF45" t="e">
        <f>AND(Liste!#REF!,"AAAAAHPXd+8=")</f>
        <v>#REF!</v>
      </c>
      <c r="IG45" t="e">
        <f>AND(Liste!#REF!,"AAAAAHPXd/A=")</f>
        <v>#REF!</v>
      </c>
      <c r="IH45" t="e">
        <f>AND(Liste!#REF!,"AAAAAHPXd/E=")</f>
        <v>#REF!</v>
      </c>
      <c r="II45" t="e">
        <f>AND(Liste!#REF!,"AAAAAHPXd/I=")</f>
        <v>#REF!</v>
      </c>
      <c r="IJ45" t="e">
        <f>AND(Liste!#REF!,"AAAAAHPXd/M=")</f>
        <v>#REF!</v>
      </c>
      <c r="IK45" t="e">
        <f>AND(Liste!#REF!,"AAAAAHPXd/Q=")</f>
        <v>#REF!</v>
      </c>
      <c r="IL45" t="e">
        <f>AND(Liste!#REF!,"AAAAAHPXd/U=")</f>
        <v>#REF!</v>
      </c>
      <c r="IM45" t="e">
        <f>AND(Liste!#REF!,"AAAAAHPXd/Y=")</f>
        <v>#REF!</v>
      </c>
      <c r="IN45" t="e">
        <f>AND(Liste!#REF!,"AAAAAHPXd/c=")</f>
        <v>#REF!</v>
      </c>
      <c r="IO45" t="e">
        <f>AND(Liste!#REF!,"AAAAAHPXd/g=")</f>
        <v>#REF!</v>
      </c>
      <c r="IP45" t="e">
        <f>AND(Liste!#REF!,"AAAAAHPXd/k=")</f>
        <v>#REF!</v>
      </c>
      <c r="IQ45" t="e">
        <f>AND(Liste!#REF!,"AAAAAHPXd/o=")</f>
        <v>#REF!</v>
      </c>
      <c r="IR45" t="e">
        <f>AND(Liste!#REF!,"AAAAAHPXd/s=")</f>
        <v>#REF!</v>
      </c>
      <c r="IS45" t="e">
        <f>AND(Liste!#REF!,"AAAAAHPXd/w=")</f>
        <v>#REF!</v>
      </c>
      <c r="IT45" t="e">
        <f>AND(Liste!#REF!,"AAAAAHPXd/0=")</f>
        <v>#REF!</v>
      </c>
      <c r="IU45" t="e">
        <f>AND(Liste!#REF!,"AAAAAHPXd/4=")</f>
        <v>#REF!</v>
      </c>
      <c r="IV45" t="e">
        <f>AND(Liste!#REF!,"AAAAAHPXd/8=")</f>
        <v>#REF!</v>
      </c>
    </row>
    <row r="46" spans="1:256" x14ac:dyDescent="0.2">
      <c r="A46" t="e">
        <f>AND(Liste!#REF!,"AAAAAH/6xwA=")</f>
        <v>#REF!</v>
      </c>
      <c r="B46" t="e">
        <f>AND(Liste!#REF!,"AAAAAH/6xwE=")</f>
        <v>#REF!</v>
      </c>
      <c r="C46" t="e">
        <f>AND(Liste!#REF!,"AAAAAH/6xwI=")</f>
        <v>#REF!</v>
      </c>
      <c r="D46" t="e">
        <f>AND(Liste!#REF!,"AAAAAH/6xwM=")</f>
        <v>#REF!</v>
      </c>
      <c r="E46" t="e">
        <f>AND(Liste!#REF!,"AAAAAH/6xwQ=")</f>
        <v>#REF!</v>
      </c>
      <c r="F46" t="e">
        <f>AND(Liste!#REF!,"AAAAAH/6xwU=")</f>
        <v>#REF!</v>
      </c>
      <c r="G46" t="e">
        <f>AND(Liste!#REF!,"AAAAAH/6xwY=")</f>
        <v>#REF!</v>
      </c>
      <c r="H46" t="e">
        <f>AND(Liste!#REF!,"AAAAAH/6xwc=")</f>
        <v>#REF!</v>
      </c>
      <c r="I46" t="e">
        <f>AND(Liste!#REF!,"AAAAAH/6xwg=")</f>
        <v>#REF!</v>
      </c>
      <c r="J46" t="e">
        <f>AND(Liste!#REF!,"AAAAAH/6xwk=")</f>
        <v>#REF!</v>
      </c>
      <c r="K46" t="e">
        <f>AND(Liste!#REF!,"AAAAAH/6xwo=")</f>
        <v>#REF!</v>
      </c>
      <c r="L46" t="e">
        <f>AND(Liste!#REF!,"AAAAAH/6xws=")</f>
        <v>#REF!</v>
      </c>
      <c r="M46" t="e">
        <f>IF(Liste!#REF!,"AAAAAH/6xww=",0)</f>
        <v>#REF!</v>
      </c>
      <c r="N46" t="e">
        <f>AND(Liste!#REF!,"AAAAAH/6xw0=")</f>
        <v>#REF!</v>
      </c>
      <c r="O46" t="e">
        <f>AND(Liste!#REF!,"AAAAAH/6xw4=")</f>
        <v>#REF!</v>
      </c>
      <c r="P46" t="e">
        <f>AND(Liste!#REF!,"AAAAAH/6xw8=")</f>
        <v>#REF!</v>
      </c>
      <c r="Q46" t="e">
        <f>AND(Liste!#REF!,"AAAAAH/6xxA=")</f>
        <v>#REF!</v>
      </c>
      <c r="R46" t="e">
        <f>AND(Liste!#REF!,"AAAAAH/6xxE=")</f>
        <v>#REF!</v>
      </c>
      <c r="S46" t="e">
        <f>AND(Liste!#REF!,"AAAAAH/6xxI=")</f>
        <v>#REF!</v>
      </c>
      <c r="T46" t="e">
        <f>AND(Liste!#REF!,"AAAAAH/6xxM=")</f>
        <v>#REF!</v>
      </c>
      <c r="U46" t="e">
        <f>AND(Liste!#REF!,"AAAAAH/6xxQ=")</f>
        <v>#REF!</v>
      </c>
      <c r="V46" t="e">
        <f>AND(Liste!#REF!,"AAAAAH/6xxU=")</f>
        <v>#REF!</v>
      </c>
      <c r="W46" t="e">
        <f>AND(Liste!#REF!,"AAAAAH/6xxY=")</f>
        <v>#REF!</v>
      </c>
      <c r="X46" t="e">
        <f>AND(Liste!#REF!,"AAAAAH/6xxc=")</f>
        <v>#REF!</v>
      </c>
      <c r="Y46" t="e">
        <f>AND(Liste!#REF!,"AAAAAH/6xxg=")</f>
        <v>#REF!</v>
      </c>
      <c r="Z46" t="e">
        <f>AND(Liste!#REF!,"AAAAAH/6xxk=")</f>
        <v>#REF!</v>
      </c>
      <c r="AA46" t="e">
        <f>AND(Liste!#REF!,"AAAAAH/6xxo=")</f>
        <v>#REF!</v>
      </c>
      <c r="AB46" t="e">
        <f>AND(Liste!#REF!,"AAAAAH/6xxs=")</f>
        <v>#REF!</v>
      </c>
      <c r="AC46" t="e">
        <f>AND(Liste!#REF!,"AAAAAH/6xxw=")</f>
        <v>#REF!</v>
      </c>
      <c r="AD46" t="e">
        <f>AND(Liste!#REF!,"AAAAAH/6xx0=")</f>
        <v>#REF!</v>
      </c>
      <c r="AE46" t="e">
        <f>AND(Liste!#REF!,"AAAAAH/6xx4=")</f>
        <v>#REF!</v>
      </c>
      <c r="AF46" t="e">
        <f>AND(Liste!#REF!,"AAAAAH/6xx8=")</f>
        <v>#REF!</v>
      </c>
      <c r="AG46" t="e">
        <f>AND(Liste!#REF!,"AAAAAH/6xyA=")</f>
        <v>#REF!</v>
      </c>
      <c r="AH46" t="e">
        <f>AND(Liste!#REF!,"AAAAAH/6xyE=")</f>
        <v>#REF!</v>
      </c>
      <c r="AI46" t="e">
        <f>AND(Liste!#REF!,"AAAAAH/6xyI=")</f>
        <v>#REF!</v>
      </c>
      <c r="AJ46" t="e">
        <f>AND(Liste!#REF!,"AAAAAH/6xyM=")</f>
        <v>#REF!</v>
      </c>
      <c r="AK46" t="e">
        <f>AND(Liste!#REF!,"AAAAAH/6xyQ=")</f>
        <v>#REF!</v>
      </c>
      <c r="AL46" t="e">
        <f>AND(Liste!#REF!,"AAAAAH/6xyU=")</f>
        <v>#REF!</v>
      </c>
      <c r="AM46" t="e">
        <f>AND(Liste!#REF!,"AAAAAH/6xyY=")</f>
        <v>#REF!</v>
      </c>
      <c r="AN46" t="e">
        <f>AND(Liste!#REF!,"AAAAAH/6xyc=")</f>
        <v>#REF!</v>
      </c>
      <c r="AO46" t="e">
        <f>AND(Liste!#REF!,"AAAAAH/6xyg=")</f>
        <v>#REF!</v>
      </c>
      <c r="AP46" t="e">
        <f>AND(Liste!#REF!,"AAAAAH/6xyk=")</f>
        <v>#REF!</v>
      </c>
      <c r="AQ46" t="e">
        <f>AND(Liste!#REF!,"AAAAAH/6xyo=")</f>
        <v>#REF!</v>
      </c>
      <c r="AR46">
        <f>IF(Liste!337:337,"AAAAAH/6xys=",0)</f>
        <v>0</v>
      </c>
      <c r="AS46" t="e">
        <f>AND(Liste!A337,"AAAAAH/6xyw=")</f>
        <v>#VALUE!</v>
      </c>
      <c r="AT46" t="e">
        <f>AND(Liste!#REF!,"AAAAAH/6xy0=")</f>
        <v>#REF!</v>
      </c>
      <c r="AU46" t="e">
        <f>AND(Liste!#REF!,"AAAAAH/6xy4=")</f>
        <v>#REF!</v>
      </c>
      <c r="AV46" t="e">
        <f>AND(Liste!#REF!,"AAAAAH/6xy8=")</f>
        <v>#REF!</v>
      </c>
      <c r="AW46" t="e">
        <f>AND(Liste!#REF!,"AAAAAH/6xzA=")</f>
        <v>#REF!</v>
      </c>
      <c r="AX46" t="e">
        <f>AND(Liste!#REF!,"AAAAAH/6xzE=")</f>
        <v>#REF!</v>
      </c>
      <c r="AY46" t="e">
        <f>AND(Liste!#REF!,"AAAAAH/6xzI=")</f>
        <v>#REF!</v>
      </c>
      <c r="AZ46" t="e">
        <f>AND(Liste!#REF!,"AAAAAH/6xzM=")</f>
        <v>#REF!</v>
      </c>
      <c r="BA46" t="e">
        <f>AND(Liste!#REF!,"AAAAAH/6xzQ=")</f>
        <v>#REF!</v>
      </c>
      <c r="BB46" t="e">
        <f>AND(Liste!#REF!,"AAAAAH/6xzU=")</f>
        <v>#REF!</v>
      </c>
      <c r="BC46" t="e">
        <f>AND(Liste!#REF!,"AAAAAH/6xzY=")</f>
        <v>#REF!</v>
      </c>
      <c r="BD46" t="e">
        <f>AND(Liste!#REF!,"AAAAAH/6xzc=")</f>
        <v>#REF!</v>
      </c>
      <c r="BE46" t="e">
        <f>AND(Liste!#REF!,"AAAAAH/6xzg=")</f>
        <v>#REF!</v>
      </c>
      <c r="BF46" t="e">
        <f>AND(Liste!#REF!,"AAAAAH/6xzk=")</f>
        <v>#REF!</v>
      </c>
      <c r="BG46" t="e">
        <f>AND(Liste!#REF!,"AAAAAH/6xzo=")</f>
        <v>#REF!</v>
      </c>
      <c r="BH46" t="e">
        <f>AND(Liste!#REF!,"AAAAAH/6xzs=")</f>
        <v>#REF!</v>
      </c>
      <c r="BI46" t="e">
        <f>AND(Liste!#REF!,"AAAAAH/6xzw=")</f>
        <v>#REF!</v>
      </c>
      <c r="BJ46" t="e">
        <f>AND(Liste!#REF!,"AAAAAH/6xz0=")</f>
        <v>#REF!</v>
      </c>
      <c r="BK46" t="e">
        <f>AND(Liste!#REF!,"AAAAAH/6xz4=")</f>
        <v>#REF!</v>
      </c>
      <c r="BL46" t="e">
        <f>AND(Liste!#REF!,"AAAAAH/6xz8=")</f>
        <v>#REF!</v>
      </c>
      <c r="BM46" t="e">
        <f>AND(Liste!#REF!,"AAAAAH/6x0A=")</f>
        <v>#REF!</v>
      </c>
      <c r="BN46" t="e">
        <f>AND(Liste!#REF!,"AAAAAH/6x0E=")</f>
        <v>#REF!</v>
      </c>
      <c r="BO46" t="e">
        <f>AND(Liste!#REF!,"AAAAAH/6x0I=")</f>
        <v>#REF!</v>
      </c>
      <c r="BP46" t="e">
        <f>AND(Liste!#REF!,"AAAAAH/6x0M=")</f>
        <v>#REF!</v>
      </c>
      <c r="BQ46" t="e">
        <f>AND(Liste!#REF!,"AAAAAH/6x0Q=")</f>
        <v>#REF!</v>
      </c>
      <c r="BR46" t="e">
        <f>AND(Liste!#REF!,"AAAAAH/6x0U=")</f>
        <v>#REF!</v>
      </c>
      <c r="BS46" t="e">
        <f>AND(Liste!#REF!,"AAAAAH/6x0Y=")</f>
        <v>#REF!</v>
      </c>
      <c r="BT46" t="e">
        <f>AND(Liste!#REF!,"AAAAAH/6x0c=")</f>
        <v>#REF!</v>
      </c>
      <c r="BU46" t="e">
        <f>AND(Liste!#REF!,"AAAAAH/6x0g=")</f>
        <v>#REF!</v>
      </c>
      <c r="BV46" t="e">
        <f>AND(Liste!#REF!,"AAAAAH/6x0k=")</f>
        <v>#REF!</v>
      </c>
      <c r="BW46">
        <f>IF(Liste!338:338,"AAAAAH/6x0o=",0)</f>
        <v>0</v>
      </c>
      <c r="BX46" t="e">
        <f>AND(Liste!A338,"AAAAAH/6x0s=")</f>
        <v>#VALUE!</v>
      </c>
      <c r="BY46" t="e">
        <f>AND(Liste!#REF!,"AAAAAH/6x0w=")</f>
        <v>#REF!</v>
      </c>
      <c r="BZ46" t="e">
        <f>AND(Liste!#REF!,"AAAAAH/6x00=")</f>
        <v>#REF!</v>
      </c>
      <c r="CA46" t="e">
        <f>AND(Liste!#REF!,"AAAAAH/6x04=")</f>
        <v>#REF!</v>
      </c>
      <c r="CB46" t="e">
        <f>AND(Liste!#REF!,"AAAAAH/6x08=")</f>
        <v>#REF!</v>
      </c>
      <c r="CC46" t="e">
        <f>AND(Liste!#REF!,"AAAAAH/6x1A=")</f>
        <v>#REF!</v>
      </c>
      <c r="CD46" t="e">
        <f>AND(Liste!#REF!,"AAAAAH/6x1E=")</f>
        <v>#REF!</v>
      </c>
      <c r="CE46" t="e">
        <f>AND(Liste!#REF!,"AAAAAH/6x1I=")</f>
        <v>#REF!</v>
      </c>
      <c r="CF46" t="e">
        <f>AND(Liste!#REF!,"AAAAAH/6x1M=")</f>
        <v>#REF!</v>
      </c>
      <c r="CG46" t="e">
        <f>AND(Liste!#REF!,"AAAAAH/6x1Q=")</f>
        <v>#REF!</v>
      </c>
      <c r="CH46" t="e">
        <f>AND(Liste!#REF!,"AAAAAH/6x1U=")</f>
        <v>#REF!</v>
      </c>
      <c r="CI46" t="e">
        <f>AND(Liste!#REF!,"AAAAAH/6x1Y=")</f>
        <v>#REF!</v>
      </c>
      <c r="CJ46" t="e">
        <f>AND(Liste!#REF!,"AAAAAH/6x1c=")</f>
        <v>#REF!</v>
      </c>
      <c r="CK46" t="e">
        <f>AND(Liste!#REF!,"AAAAAH/6x1g=")</f>
        <v>#REF!</v>
      </c>
      <c r="CL46" t="e">
        <f>AND(Liste!#REF!,"AAAAAH/6x1k=")</f>
        <v>#REF!</v>
      </c>
      <c r="CM46" t="e">
        <f>AND(Liste!#REF!,"AAAAAH/6x1o=")</f>
        <v>#REF!</v>
      </c>
      <c r="CN46" t="e">
        <f>AND(Liste!#REF!,"AAAAAH/6x1s=")</f>
        <v>#REF!</v>
      </c>
      <c r="CO46" t="e">
        <f>AND(Liste!#REF!,"AAAAAH/6x1w=")</f>
        <v>#REF!</v>
      </c>
      <c r="CP46" t="e">
        <f>AND(Liste!#REF!,"AAAAAH/6x10=")</f>
        <v>#REF!</v>
      </c>
      <c r="CQ46" t="e">
        <f>AND(Liste!#REF!,"AAAAAH/6x14=")</f>
        <v>#REF!</v>
      </c>
      <c r="CR46" t="e">
        <f>AND(Liste!#REF!,"AAAAAH/6x18=")</f>
        <v>#REF!</v>
      </c>
      <c r="CS46" t="e">
        <f>AND(Liste!#REF!,"AAAAAH/6x2A=")</f>
        <v>#REF!</v>
      </c>
      <c r="CT46" t="e">
        <f>AND(Liste!#REF!,"AAAAAH/6x2E=")</f>
        <v>#REF!</v>
      </c>
      <c r="CU46" t="e">
        <f>AND(Liste!#REF!,"AAAAAH/6x2I=")</f>
        <v>#REF!</v>
      </c>
      <c r="CV46" t="e">
        <f>AND(Liste!#REF!,"AAAAAH/6x2M=")</f>
        <v>#REF!</v>
      </c>
      <c r="CW46" t="e">
        <f>AND(Liste!#REF!,"AAAAAH/6x2Q=")</f>
        <v>#REF!</v>
      </c>
      <c r="CX46" t="e">
        <f>AND(Liste!#REF!,"AAAAAH/6x2U=")</f>
        <v>#REF!</v>
      </c>
      <c r="CY46" t="e">
        <f>AND(Liste!#REF!,"AAAAAH/6x2Y=")</f>
        <v>#REF!</v>
      </c>
      <c r="CZ46" t="e">
        <f>AND(Liste!#REF!,"AAAAAH/6x2c=")</f>
        <v>#REF!</v>
      </c>
      <c r="DA46" t="e">
        <f>AND(Liste!#REF!,"AAAAAH/6x2g=")</f>
        <v>#REF!</v>
      </c>
      <c r="DB46">
        <f>IF(Liste!339:339,"AAAAAH/6x2k=",0)</f>
        <v>0</v>
      </c>
      <c r="DC46" t="b">
        <f>AND(Liste!A339,"AAAAAH/6x2o=")</f>
        <v>1</v>
      </c>
      <c r="DD46" t="e">
        <f>AND(Liste!#REF!,"AAAAAH/6x2s=")</f>
        <v>#REF!</v>
      </c>
      <c r="DE46" t="e">
        <f>AND(Liste!#REF!,"AAAAAH/6x2w=")</f>
        <v>#REF!</v>
      </c>
      <c r="DF46" t="e">
        <f>AND(Liste!#REF!,"AAAAAH/6x20=")</f>
        <v>#REF!</v>
      </c>
      <c r="DG46" t="e">
        <f>AND(Liste!#REF!,"AAAAAH/6x24=")</f>
        <v>#REF!</v>
      </c>
      <c r="DH46" t="e">
        <f>AND(Liste!#REF!,"AAAAAH/6x28=")</f>
        <v>#REF!</v>
      </c>
      <c r="DI46" t="e">
        <f>AND(Liste!#REF!,"AAAAAH/6x3A=")</f>
        <v>#REF!</v>
      </c>
      <c r="DJ46" t="e">
        <f>AND(Liste!#REF!,"AAAAAH/6x3E=")</f>
        <v>#REF!</v>
      </c>
      <c r="DK46" t="e">
        <f>AND(Liste!#REF!,"AAAAAH/6x3I=")</f>
        <v>#REF!</v>
      </c>
      <c r="DL46" t="e">
        <f>AND(Liste!#REF!,"AAAAAH/6x3M=")</f>
        <v>#REF!</v>
      </c>
      <c r="DM46" t="e">
        <f>AND(Liste!#REF!,"AAAAAH/6x3Q=")</f>
        <v>#REF!</v>
      </c>
      <c r="DN46" t="e">
        <f>AND(Liste!#REF!,"AAAAAH/6x3U=")</f>
        <v>#REF!</v>
      </c>
      <c r="DO46" t="e">
        <f>AND(Liste!#REF!,"AAAAAH/6x3Y=")</f>
        <v>#REF!</v>
      </c>
      <c r="DP46" t="e">
        <f>AND(Liste!#REF!,"AAAAAH/6x3c=")</f>
        <v>#REF!</v>
      </c>
      <c r="DQ46" t="e">
        <f>AND(Liste!#REF!,"AAAAAH/6x3g=")</f>
        <v>#REF!</v>
      </c>
      <c r="DR46" t="e">
        <f>AND(Liste!#REF!,"AAAAAH/6x3k=")</f>
        <v>#REF!</v>
      </c>
      <c r="DS46" t="e">
        <f>AND(Liste!#REF!,"AAAAAH/6x3o=")</f>
        <v>#REF!</v>
      </c>
      <c r="DT46" t="e">
        <f>AND(Liste!#REF!,"AAAAAH/6x3s=")</f>
        <v>#REF!</v>
      </c>
      <c r="DU46" t="e">
        <f>AND(Liste!#REF!,"AAAAAH/6x3w=")</f>
        <v>#REF!</v>
      </c>
      <c r="DV46" t="e">
        <f>AND(Liste!#REF!,"AAAAAH/6x30=")</f>
        <v>#REF!</v>
      </c>
      <c r="DW46" t="e">
        <f>AND(Liste!#REF!,"AAAAAH/6x34=")</f>
        <v>#REF!</v>
      </c>
      <c r="DX46" t="e">
        <f>AND(Liste!#REF!,"AAAAAH/6x38=")</f>
        <v>#REF!</v>
      </c>
      <c r="DY46" t="e">
        <f>AND(Liste!#REF!,"AAAAAH/6x4A=")</f>
        <v>#REF!</v>
      </c>
      <c r="DZ46" t="e">
        <f>AND(Liste!#REF!,"AAAAAH/6x4E=")</f>
        <v>#REF!</v>
      </c>
      <c r="EA46" t="e">
        <f>AND(Liste!#REF!,"AAAAAH/6x4I=")</f>
        <v>#REF!</v>
      </c>
      <c r="EB46" t="e">
        <f>AND(Liste!#REF!,"AAAAAH/6x4M=")</f>
        <v>#REF!</v>
      </c>
      <c r="EC46" t="e">
        <f>AND(Liste!#REF!,"AAAAAH/6x4Q=")</f>
        <v>#REF!</v>
      </c>
      <c r="ED46" t="e">
        <f>AND(Liste!#REF!,"AAAAAH/6x4U=")</f>
        <v>#REF!</v>
      </c>
      <c r="EE46" t="e">
        <f>AND(Liste!#REF!,"AAAAAH/6x4Y=")</f>
        <v>#REF!</v>
      </c>
      <c r="EF46" t="e">
        <f>AND(Liste!#REF!,"AAAAAH/6x4c=")</f>
        <v>#REF!</v>
      </c>
      <c r="EG46">
        <f>IF(Liste!340:340,"AAAAAH/6x4g=",0)</f>
        <v>0</v>
      </c>
      <c r="EH46" t="b">
        <f>AND(Liste!A340,"AAAAAH/6x4k=")</f>
        <v>1</v>
      </c>
      <c r="EI46" t="e">
        <f>AND(Liste!#REF!,"AAAAAH/6x4o=")</f>
        <v>#REF!</v>
      </c>
      <c r="EJ46" t="e">
        <f>AND(Liste!#REF!,"AAAAAH/6x4s=")</f>
        <v>#REF!</v>
      </c>
      <c r="EK46" t="e">
        <f>AND(Liste!#REF!,"AAAAAH/6x4w=")</f>
        <v>#REF!</v>
      </c>
      <c r="EL46" t="e">
        <f>AND(Liste!#REF!,"AAAAAH/6x40=")</f>
        <v>#REF!</v>
      </c>
      <c r="EM46" t="e">
        <f>AND(Liste!#REF!,"AAAAAH/6x44=")</f>
        <v>#REF!</v>
      </c>
      <c r="EN46" t="e">
        <f>AND(Liste!#REF!,"AAAAAH/6x48=")</f>
        <v>#REF!</v>
      </c>
      <c r="EO46" t="e">
        <f>AND(Liste!#REF!,"AAAAAH/6x5A=")</f>
        <v>#REF!</v>
      </c>
      <c r="EP46" t="e">
        <f>AND(Liste!#REF!,"AAAAAH/6x5E=")</f>
        <v>#REF!</v>
      </c>
      <c r="EQ46" t="e">
        <f>AND(Liste!#REF!,"AAAAAH/6x5I=")</f>
        <v>#REF!</v>
      </c>
      <c r="ER46" t="e">
        <f>AND(Liste!#REF!,"AAAAAH/6x5M=")</f>
        <v>#REF!</v>
      </c>
      <c r="ES46" t="e">
        <f>AND(Liste!#REF!,"AAAAAH/6x5Q=")</f>
        <v>#REF!</v>
      </c>
      <c r="ET46" t="e">
        <f>AND(Liste!#REF!,"AAAAAH/6x5U=")</f>
        <v>#REF!</v>
      </c>
      <c r="EU46" t="e">
        <f>AND(Liste!#REF!,"AAAAAH/6x5Y=")</f>
        <v>#REF!</v>
      </c>
      <c r="EV46" t="e">
        <f>AND(Liste!#REF!,"AAAAAH/6x5c=")</f>
        <v>#REF!</v>
      </c>
      <c r="EW46" t="e">
        <f>AND(Liste!#REF!,"AAAAAH/6x5g=")</f>
        <v>#REF!</v>
      </c>
      <c r="EX46" t="e">
        <f>AND(Liste!#REF!,"AAAAAH/6x5k=")</f>
        <v>#REF!</v>
      </c>
      <c r="EY46" t="e">
        <f>AND(Liste!#REF!,"AAAAAH/6x5o=")</f>
        <v>#REF!</v>
      </c>
      <c r="EZ46" t="e">
        <f>AND(Liste!#REF!,"AAAAAH/6x5s=")</f>
        <v>#REF!</v>
      </c>
      <c r="FA46" t="e">
        <f>AND(Liste!#REF!,"AAAAAH/6x5w=")</f>
        <v>#REF!</v>
      </c>
      <c r="FB46" t="e">
        <f>AND(Liste!#REF!,"AAAAAH/6x50=")</f>
        <v>#REF!</v>
      </c>
      <c r="FC46" t="e">
        <f>AND(Liste!#REF!,"AAAAAH/6x54=")</f>
        <v>#REF!</v>
      </c>
      <c r="FD46" t="e">
        <f>AND(Liste!#REF!,"AAAAAH/6x58=")</f>
        <v>#REF!</v>
      </c>
      <c r="FE46" t="e">
        <f>AND(Liste!#REF!,"AAAAAH/6x6A=")</f>
        <v>#REF!</v>
      </c>
      <c r="FF46" t="e">
        <f>AND(Liste!#REF!,"AAAAAH/6x6E=")</f>
        <v>#REF!</v>
      </c>
      <c r="FG46" t="e">
        <f>AND(Liste!#REF!,"AAAAAH/6x6I=")</f>
        <v>#REF!</v>
      </c>
      <c r="FH46" t="e">
        <f>AND(Liste!#REF!,"AAAAAH/6x6M=")</f>
        <v>#REF!</v>
      </c>
      <c r="FI46" t="e">
        <f>AND(Liste!#REF!,"AAAAAH/6x6Q=")</f>
        <v>#REF!</v>
      </c>
      <c r="FJ46" t="e">
        <f>AND(Liste!#REF!,"AAAAAH/6x6U=")</f>
        <v>#REF!</v>
      </c>
      <c r="FK46" t="e">
        <f>AND(Liste!#REF!,"AAAAAH/6x6Y=")</f>
        <v>#REF!</v>
      </c>
      <c r="FL46">
        <f>IF(Liste!341:341,"AAAAAH/6x6c=",0)</f>
        <v>0</v>
      </c>
      <c r="FM46" t="b">
        <f>AND(Liste!A341,"AAAAAH/6x6g=")</f>
        <v>1</v>
      </c>
      <c r="FN46" t="e">
        <f>AND(Liste!#REF!,"AAAAAH/6x6k=")</f>
        <v>#REF!</v>
      </c>
      <c r="FO46" t="e">
        <f>AND(Liste!#REF!,"AAAAAH/6x6o=")</f>
        <v>#REF!</v>
      </c>
      <c r="FP46" t="e">
        <f>AND(Liste!#REF!,"AAAAAH/6x6s=")</f>
        <v>#REF!</v>
      </c>
      <c r="FQ46" t="e">
        <f>AND(Liste!#REF!,"AAAAAH/6x6w=")</f>
        <v>#REF!</v>
      </c>
      <c r="FR46" t="e">
        <f>AND(Liste!#REF!,"AAAAAH/6x60=")</f>
        <v>#REF!</v>
      </c>
      <c r="FS46" t="e">
        <f>AND(Liste!#REF!,"AAAAAH/6x64=")</f>
        <v>#REF!</v>
      </c>
      <c r="FT46" t="e">
        <f>AND(Liste!#REF!,"AAAAAH/6x68=")</f>
        <v>#REF!</v>
      </c>
      <c r="FU46" t="e">
        <f>AND(Liste!#REF!,"AAAAAH/6x7A=")</f>
        <v>#REF!</v>
      </c>
      <c r="FV46" t="e">
        <f>AND(Liste!#REF!,"AAAAAH/6x7E=")</f>
        <v>#REF!</v>
      </c>
      <c r="FW46" t="e">
        <f>AND(Liste!#REF!,"AAAAAH/6x7I=")</f>
        <v>#REF!</v>
      </c>
      <c r="FX46" t="e">
        <f>AND(Liste!#REF!,"AAAAAH/6x7M=")</f>
        <v>#REF!</v>
      </c>
      <c r="FY46" t="e">
        <f>AND(Liste!#REF!,"AAAAAH/6x7Q=")</f>
        <v>#REF!</v>
      </c>
      <c r="FZ46" t="e">
        <f>AND(Liste!#REF!,"AAAAAH/6x7U=")</f>
        <v>#REF!</v>
      </c>
      <c r="GA46" t="e">
        <f>AND(Liste!#REF!,"AAAAAH/6x7Y=")</f>
        <v>#REF!</v>
      </c>
      <c r="GB46" t="e">
        <f>AND(Liste!#REF!,"AAAAAH/6x7c=")</f>
        <v>#REF!</v>
      </c>
      <c r="GC46" t="e">
        <f>AND(Liste!#REF!,"AAAAAH/6x7g=")</f>
        <v>#REF!</v>
      </c>
      <c r="GD46" t="e">
        <f>AND(Liste!#REF!,"AAAAAH/6x7k=")</f>
        <v>#REF!</v>
      </c>
      <c r="GE46" t="e">
        <f>AND(Liste!#REF!,"AAAAAH/6x7o=")</f>
        <v>#REF!</v>
      </c>
      <c r="GF46" t="e">
        <f>AND(Liste!#REF!,"AAAAAH/6x7s=")</f>
        <v>#REF!</v>
      </c>
      <c r="GG46" t="e">
        <f>AND(Liste!#REF!,"AAAAAH/6x7w=")</f>
        <v>#REF!</v>
      </c>
      <c r="GH46" t="e">
        <f>AND(Liste!#REF!,"AAAAAH/6x70=")</f>
        <v>#REF!</v>
      </c>
      <c r="GI46" t="e">
        <f>AND(Liste!#REF!,"AAAAAH/6x74=")</f>
        <v>#REF!</v>
      </c>
      <c r="GJ46" t="e">
        <f>AND(Liste!#REF!,"AAAAAH/6x78=")</f>
        <v>#REF!</v>
      </c>
      <c r="GK46" t="e">
        <f>AND(Liste!#REF!,"AAAAAH/6x8A=")</f>
        <v>#REF!</v>
      </c>
      <c r="GL46" t="e">
        <f>AND(Liste!#REF!,"AAAAAH/6x8E=")</f>
        <v>#REF!</v>
      </c>
      <c r="GM46" t="e">
        <f>AND(Liste!#REF!,"AAAAAH/6x8I=")</f>
        <v>#REF!</v>
      </c>
      <c r="GN46" t="e">
        <f>AND(Liste!#REF!,"AAAAAH/6x8M=")</f>
        <v>#REF!</v>
      </c>
      <c r="GO46" t="e">
        <f>AND(Liste!#REF!,"AAAAAH/6x8Q=")</f>
        <v>#REF!</v>
      </c>
      <c r="GP46" t="e">
        <f>AND(Liste!#REF!,"AAAAAH/6x8U=")</f>
        <v>#REF!</v>
      </c>
      <c r="GQ46">
        <f>IF(Liste!342:342,"AAAAAH/6x8Y=",0)</f>
        <v>0</v>
      </c>
      <c r="GR46" t="b">
        <f>AND(Liste!A342,"AAAAAH/6x8c=")</f>
        <v>1</v>
      </c>
      <c r="GS46" t="e">
        <f>AND(Liste!#REF!,"AAAAAH/6x8g=")</f>
        <v>#REF!</v>
      </c>
      <c r="GT46" t="e">
        <f>AND(Liste!#REF!,"AAAAAH/6x8k=")</f>
        <v>#REF!</v>
      </c>
      <c r="GU46" t="e">
        <f>AND(Liste!#REF!,"AAAAAH/6x8o=")</f>
        <v>#REF!</v>
      </c>
      <c r="GV46" t="e">
        <f>AND(Liste!#REF!,"AAAAAH/6x8s=")</f>
        <v>#REF!</v>
      </c>
      <c r="GW46" t="e">
        <f>AND(Liste!#REF!,"AAAAAH/6x8w=")</f>
        <v>#REF!</v>
      </c>
      <c r="GX46" t="e">
        <f>AND(Liste!#REF!,"AAAAAH/6x80=")</f>
        <v>#REF!</v>
      </c>
      <c r="GY46" t="e">
        <f>AND(Liste!#REF!,"AAAAAH/6x84=")</f>
        <v>#REF!</v>
      </c>
      <c r="GZ46" t="e">
        <f>AND(Liste!#REF!,"AAAAAH/6x88=")</f>
        <v>#REF!</v>
      </c>
      <c r="HA46" t="e">
        <f>AND(Liste!#REF!,"AAAAAH/6x9A=")</f>
        <v>#REF!</v>
      </c>
      <c r="HB46" t="e">
        <f>AND(Liste!#REF!,"AAAAAH/6x9E=")</f>
        <v>#REF!</v>
      </c>
      <c r="HC46" t="e">
        <f>AND(Liste!#REF!,"AAAAAH/6x9I=")</f>
        <v>#REF!</v>
      </c>
      <c r="HD46" t="e">
        <f>AND(Liste!#REF!,"AAAAAH/6x9M=")</f>
        <v>#REF!</v>
      </c>
      <c r="HE46" t="e">
        <f>AND(Liste!#REF!,"AAAAAH/6x9Q=")</f>
        <v>#REF!</v>
      </c>
      <c r="HF46" t="e">
        <f>AND(Liste!#REF!,"AAAAAH/6x9U=")</f>
        <v>#REF!</v>
      </c>
      <c r="HG46" t="e">
        <f>AND(Liste!#REF!,"AAAAAH/6x9Y=")</f>
        <v>#REF!</v>
      </c>
      <c r="HH46" t="e">
        <f>AND(Liste!#REF!,"AAAAAH/6x9c=")</f>
        <v>#REF!</v>
      </c>
      <c r="HI46" t="e">
        <f>AND(Liste!#REF!,"AAAAAH/6x9g=")</f>
        <v>#REF!</v>
      </c>
      <c r="HJ46" t="e">
        <f>AND(Liste!#REF!,"AAAAAH/6x9k=")</f>
        <v>#REF!</v>
      </c>
      <c r="HK46" t="e">
        <f>AND(Liste!#REF!,"AAAAAH/6x9o=")</f>
        <v>#REF!</v>
      </c>
      <c r="HL46" t="e">
        <f>AND(Liste!#REF!,"AAAAAH/6x9s=")</f>
        <v>#REF!</v>
      </c>
      <c r="HM46" t="e">
        <f>AND(Liste!#REF!,"AAAAAH/6x9w=")</f>
        <v>#REF!</v>
      </c>
      <c r="HN46" t="e">
        <f>AND(Liste!#REF!,"AAAAAH/6x90=")</f>
        <v>#REF!</v>
      </c>
      <c r="HO46" t="e">
        <f>AND(Liste!#REF!,"AAAAAH/6x94=")</f>
        <v>#REF!</v>
      </c>
      <c r="HP46" t="e">
        <f>AND(Liste!#REF!,"AAAAAH/6x98=")</f>
        <v>#REF!</v>
      </c>
      <c r="HQ46" t="e">
        <f>AND(Liste!#REF!,"AAAAAH/6x+A=")</f>
        <v>#REF!</v>
      </c>
      <c r="HR46" t="e">
        <f>AND(Liste!#REF!,"AAAAAH/6x+E=")</f>
        <v>#REF!</v>
      </c>
      <c r="HS46" t="e">
        <f>AND(Liste!#REF!,"AAAAAH/6x+I=")</f>
        <v>#REF!</v>
      </c>
      <c r="HT46" t="e">
        <f>AND(Liste!#REF!,"AAAAAH/6x+M=")</f>
        <v>#REF!</v>
      </c>
      <c r="HU46" t="e">
        <f>AND(Liste!#REF!,"AAAAAH/6x+Q=")</f>
        <v>#REF!</v>
      </c>
      <c r="HV46">
        <f>IF(Liste!343:343,"AAAAAH/6x+U=",0)</f>
        <v>0</v>
      </c>
      <c r="HW46" t="b">
        <f>AND(Liste!A343,"AAAAAH/6x+Y=")</f>
        <v>1</v>
      </c>
      <c r="HX46" t="e">
        <f>AND(Liste!#REF!,"AAAAAH/6x+c=")</f>
        <v>#REF!</v>
      </c>
      <c r="HY46" t="e">
        <f>AND(Liste!#REF!,"AAAAAH/6x+g=")</f>
        <v>#REF!</v>
      </c>
      <c r="HZ46" t="e">
        <f>AND(Liste!#REF!,"AAAAAH/6x+k=")</f>
        <v>#REF!</v>
      </c>
      <c r="IA46" t="e">
        <f>AND(Liste!#REF!,"AAAAAH/6x+o=")</f>
        <v>#REF!</v>
      </c>
      <c r="IB46" t="e">
        <f>AND(Liste!#REF!,"AAAAAH/6x+s=")</f>
        <v>#REF!</v>
      </c>
      <c r="IC46" t="e">
        <f>AND(Liste!#REF!,"AAAAAH/6x+w=")</f>
        <v>#REF!</v>
      </c>
      <c r="ID46" t="e">
        <f>AND(Liste!#REF!,"AAAAAH/6x+0=")</f>
        <v>#REF!</v>
      </c>
      <c r="IE46" t="e">
        <f>AND(Liste!#REF!,"AAAAAH/6x+4=")</f>
        <v>#REF!</v>
      </c>
      <c r="IF46" t="e">
        <f>AND(Liste!#REF!,"AAAAAH/6x+8=")</f>
        <v>#REF!</v>
      </c>
      <c r="IG46" t="e">
        <f>AND(Liste!#REF!,"AAAAAH/6x/A=")</f>
        <v>#REF!</v>
      </c>
      <c r="IH46" t="e">
        <f>AND(Liste!#REF!,"AAAAAH/6x/E=")</f>
        <v>#REF!</v>
      </c>
      <c r="II46" t="e">
        <f>AND(Liste!#REF!,"AAAAAH/6x/I=")</f>
        <v>#REF!</v>
      </c>
      <c r="IJ46" t="e">
        <f>AND(Liste!#REF!,"AAAAAH/6x/M=")</f>
        <v>#REF!</v>
      </c>
      <c r="IK46" t="e">
        <f>AND(Liste!#REF!,"AAAAAH/6x/Q=")</f>
        <v>#REF!</v>
      </c>
      <c r="IL46" t="e">
        <f>AND(Liste!#REF!,"AAAAAH/6x/U=")</f>
        <v>#REF!</v>
      </c>
      <c r="IM46" t="e">
        <f>AND(Liste!#REF!,"AAAAAH/6x/Y=")</f>
        <v>#REF!</v>
      </c>
      <c r="IN46" t="e">
        <f>AND(Liste!#REF!,"AAAAAH/6x/c=")</f>
        <v>#REF!</v>
      </c>
      <c r="IO46" t="e">
        <f>AND(Liste!#REF!,"AAAAAH/6x/g=")</f>
        <v>#REF!</v>
      </c>
      <c r="IP46" t="e">
        <f>AND(Liste!#REF!,"AAAAAH/6x/k=")</f>
        <v>#REF!</v>
      </c>
      <c r="IQ46" t="e">
        <f>AND(Liste!#REF!,"AAAAAH/6x/o=")</f>
        <v>#REF!</v>
      </c>
      <c r="IR46" t="e">
        <f>AND(Liste!#REF!,"AAAAAH/6x/s=")</f>
        <v>#REF!</v>
      </c>
      <c r="IS46" t="e">
        <f>AND(Liste!#REF!,"AAAAAH/6x/w=")</f>
        <v>#REF!</v>
      </c>
      <c r="IT46" t="e">
        <f>AND(Liste!#REF!,"AAAAAH/6x/0=")</f>
        <v>#REF!</v>
      </c>
      <c r="IU46" t="e">
        <f>AND(Liste!#REF!,"AAAAAH/6x/4=")</f>
        <v>#REF!</v>
      </c>
      <c r="IV46" t="e">
        <f>AND(Liste!#REF!,"AAAAAH/6x/8=")</f>
        <v>#REF!</v>
      </c>
    </row>
    <row r="47" spans="1:256" x14ac:dyDescent="0.2">
      <c r="A47" t="e">
        <f>AND(Liste!#REF!,"AAAAAG+/zwA=")</f>
        <v>#REF!</v>
      </c>
      <c r="B47" t="e">
        <f>AND(Liste!#REF!,"AAAAAG+/zwE=")</f>
        <v>#REF!</v>
      </c>
      <c r="C47" t="e">
        <f>AND(Liste!#REF!,"AAAAAG+/zwI=")</f>
        <v>#REF!</v>
      </c>
      <c r="D47" t="e">
        <f>AND(Liste!#REF!,"AAAAAG+/zwM=")</f>
        <v>#REF!</v>
      </c>
      <c r="E47" t="e">
        <f>IF(Liste!344:344,"AAAAAG+/zwQ=",0)</f>
        <v>#VALUE!</v>
      </c>
      <c r="F47" t="b">
        <f>AND(Liste!A344,"AAAAAG+/zwU=")</f>
        <v>1</v>
      </c>
      <c r="G47" t="e">
        <f>AND(Liste!#REF!,"AAAAAG+/zwY=")</f>
        <v>#REF!</v>
      </c>
      <c r="H47" t="e">
        <f>AND(Liste!#REF!,"AAAAAG+/zwc=")</f>
        <v>#REF!</v>
      </c>
      <c r="I47" t="e">
        <f>AND(Liste!#REF!,"AAAAAG+/zwg=")</f>
        <v>#REF!</v>
      </c>
      <c r="J47" t="e">
        <f>AND(Liste!#REF!,"AAAAAG+/zwk=")</f>
        <v>#REF!</v>
      </c>
      <c r="K47" t="e">
        <f>AND(Liste!#REF!,"AAAAAG+/zwo=")</f>
        <v>#REF!</v>
      </c>
      <c r="L47" t="e">
        <f>AND(Liste!#REF!,"AAAAAG+/zws=")</f>
        <v>#REF!</v>
      </c>
      <c r="M47" t="e">
        <f>AND(Liste!#REF!,"AAAAAG+/zww=")</f>
        <v>#REF!</v>
      </c>
      <c r="N47" t="e">
        <f>AND(Liste!#REF!,"AAAAAG+/zw0=")</f>
        <v>#REF!</v>
      </c>
      <c r="O47" t="e">
        <f>AND(Liste!#REF!,"AAAAAG+/zw4=")</f>
        <v>#REF!</v>
      </c>
      <c r="P47" t="e">
        <f>AND(Liste!#REF!,"AAAAAG+/zw8=")</f>
        <v>#REF!</v>
      </c>
      <c r="Q47" t="e">
        <f>AND(Liste!#REF!,"AAAAAG+/zxA=")</f>
        <v>#REF!</v>
      </c>
      <c r="R47" t="e">
        <f>AND(Liste!#REF!,"AAAAAG+/zxE=")</f>
        <v>#REF!</v>
      </c>
      <c r="S47" t="e">
        <f>AND(Liste!#REF!,"AAAAAG+/zxI=")</f>
        <v>#REF!</v>
      </c>
      <c r="T47" t="e">
        <f>AND(Liste!#REF!,"AAAAAG+/zxM=")</f>
        <v>#REF!</v>
      </c>
      <c r="U47" t="e">
        <f>AND(Liste!#REF!,"AAAAAG+/zxQ=")</f>
        <v>#REF!</v>
      </c>
      <c r="V47" t="e">
        <f>AND(Liste!#REF!,"AAAAAG+/zxU=")</f>
        <v>#REF!</v>
      </c>
      <c r="W47" t="e">
        <f>AND(Liste!#REF!,"AAAAAG+/zxY=")</f>
        <v>#REF!</v>
      </c>
      <c r="X47" t="e">
        <f>AND(Liste!#REF!,"AAAAAG+/zxc=")</f>
        <v>#REF!</v>
      </c>
      <c r="Y47" t="e">
        <f>AND(Liste!#REF!,"AAAAAG+/zxg=")</f>
        <v>#REF!</v>
      </c>
      <c r="Z47" t="e">
        <f>AND(Liste!#REF!,"AAAAAG+/zxk=")</f>
        <v>#REF!</v>
      </c>
      <c r="AA47" t="e">
        <f>AND(Liste!#REF!,"AAAAAG+/zxo=")</f>
        <v>#REF!</v>
      </c>
      <c r="AB47" t="e">
        <f>AND(Liste!#REF!,"AAAAAG+/zxs=")</f>
        <v>#REF!</v>
      </c>
      <c r="AC47" t="e">
        <f>AND(Liste!#REF!,"AAAAAG+/zxw=")</f>
        <v>#REF!</v>
      </c>
      <c r="AD47" t="e">
        <f>AND(Liste!#REF!,"AAAAAG+/zx0=")</f>
        <v>#REF!</v>
      </c>
      <c r="AE47" t="e">
        <f>AND(Liste!#REF!,"AAAAAG+/zx4=")</f>
        <v>#REF!</v>
      </c>
      <c r="AF47" t="e">
        <f>AND(Liste!#REF!,"AAAAAG+/zx8=")</f>
        <v>#REF!</v>
      </c>
      <c r="AG47" t="e">
        <f>AND(Liste!#REF!,"AAAAAG+/zyA=")</f>
        <v>#REF!</v>
      </c>
      <c r="AH47" t="e">
        <f>AND(Liste!#REF!,"AAAAAG+/zyE=")</f>
        <v>#REF!</v>
      </c>
      <c r="AI47" t="e">
        <f>AND(Liste!#REF!,"AAAAAG+/zyI=")</f>
        <v>#REF!</v>
      </c>
      <c r="AJ47">
        <f>IF(Liste!355:355,"AAAAAG+/zyM=",0)</f>
        <v>0</v>
      </c>
      <c r="AK47" t="b">
        <f>AND(Liste!A355,"AAAAAG+/zyQ=")</f>
        <v>1</v>
      </c>
      <c r="AL47" t="e">
        <f>AND(Liste!#REF!,"AAAAAG+/zyU=")</f>
        <v>#REF!</v>
      </c>
      <c r="AM47" t="e">
        <f>AND(Liste!#REF!,"AAAAAG+/zyY=")</f>
        <v>#REF!</v>
      </c>
      <c r="AN47" t="e">
        <f>AND(Liste!#REF!,"AAAAAG+/zyc=")</f>
        <v>#REF!</v>
      </c>
      <c r="AO47" t="e">
        <f>AND(Liste!#REF!,"AAAAAG+/zyg=")</f>
        <v>#REF!</v>
      </c>
      <c r="AP47" t="e">
        <f>AND(Liste!#REF!,"AAAAAG+/zyk=")</f>
        <v>#REF!</v>
      </c>
      <c r="AQ47" t="e">
        <f>AND(Liste!#REF!,"AAAAAG+/zyo=")</f>
        <v>#REF!</v>
      </c>
      <c r="AR47" t="e">
        <f>AND(Liste!#REF!,"AAAAAG+/zys=")</f>
        <v>#REF!</v>
      </c>
      <c r="AS47" t="e">
        <f>AND(Liste!#REF!,"AAAAAG+/zyw=")</f>
        <v>#REF!</v>
      </c>
      <c r="AT47" t="e">
        <f>AND(Liste!#REF!,"AAAAAG+/zy0=")</f>
        <v>#REF!</v>
      </c>
      <c r="AU47" t="e">
        <f>AND(Liste!#REF!,"AAAAAG+/zy4=")</f>
        <v>#REF!</v>
      </c>
      <c r="AV47" t="e">
        <f>AND(Liste!#REF!,"AAAAAG+/zy8=")</f>
        <v>#REF!</v>
      </c>
      <c r="AW47" t="e">
        <f>AND(Liste!#REF!,"AAAAAG+/zzA=")</f>
        <v>#REF!</v>
      </c>
      <c r="AX47" t="e">
        <f>AND(Liste!#REF!,"AAAAAG+/zzE=")</f>
        <v>#REF!</v>
      </c>
      <c r="AY47" t="e">
        <f>AND(Liste!#REF!,"AAAAAG+/zzI=")</f>
        <v>#REF!</v>
      </c>
      <c r="AZ47" t="e">
        <f>AND(Liste!#REF!,"AAAAAG+/zzM=")</f>
        <v>#REF!</v>
      </c>
      <c r="BA47" t="e">
        <f>AND(Liste!#REF!,"AAAAAG+/zzQ=")</f>
        <v>#REF!</v>
      </c>
      <c r="BB47" t="e">
        <f>AND(Liste!#REF!,"AAAAAG+/zzU=")</f>
        <v>#REF!</v>
      </c>
      <c r="BC47" t="e">
        <f>AND(Liste!#REF!,"AAAAAG+/zzY=")</f>
        <v>#REF!</v>
      </c>
      <c r="BD47" t="e">
        <f>AND(Liste!#REF!,"AAAAAG+/zzc=")</f>
        <v>#REF!</v>
      </c>
      <c r="BE47" t="e">
        <f>AND(Liste!#REF!,"AAAAAG+/zzg=")</f>
        <v>#REF!</v>
      </c>
      <c r="BF47" t="e">
        <f>AND(Liste!#REF!,"AAAAAG+/zzk=")</f>
        <v>#REF!</v>
      </c>
      <c r="BG47" t="e">
        <f>AND(Liste!#REF!,"AAAAAG+/zzo=")</f>
        <v>#REF!</v>
      </c>
      <c r="BH47" t="e">
        <f>AND(Liste!#REF!,"AAAAAG+/zzs=")</f>
        <v>#REF!</v>
      </c>
      <c r="BI47" t="e">
        <f>AND(Liste!#REF!,"AAAAAG+/zzw=")</f>
        <v>#REF!</v>
      </c>
      <c r="BJ47" t="e">
        <f>AND(Liste!#REF!,"AAAAAG+/zz0=")</f>
        <v>#REF!</v>
      </c>
      <c r="BK47" t="e">
        <f>AND(Liste!#REF!,"AAAAAG+/zz4=")</f>
        <v>#REF!</v>
      </c>
      <c r="BL47" t="e">
        <f>AND(Liste!#REF!,"AAAAAG+/zz8=")</f>
        <v>#REF!</v>
      </c>
      <c r="BM47" t="e">
        <f>AND(Liste!#REF!,"AAAAAG+/z0A=")</f>
        <v>#REF!</v>
      </c>
      <c r="BN47" t="e">
        <f>AND(Liste!#REF!,"AAAAAG+/z0E=")</f>
        <v>#REF!</v>
      </c>
      <c r="BO47">
        <f>IF(Liste!356:356,"AAAAAG+/z0I=",0)</f>
        <v>0</v>
      </c>
      <c r="BP47" t="b">
        <f>AND(Liste!A356,"AAAAAG+/z0M=")</f>
        <v>1</v>
      </c>
      <c r="BQ47" t="e">
        <f>AND(Liste!#REF!,"AAAAAG+/z0Q=")</f>
        <v>#REF!</v>
      </c>
      <c r="BR47" t="e">
        <f>AND(Liste!#REF!,"AAAAAG+/z0U=")</f>
        <v>#REF!</v>
      </c>
      <c r="BS47" t="e">
        <f>AND(Liste!#REF!,"AAAAAG+/z0Y=")</f>
        <v>#REF!</v>
      </c>
      <c r="BT47" t="e">
        <f>AND(Liste!#REF!,"AAAAAG+/z0c=")</f>
        <v>#REF!</v>
      </c>
      <c r="BU47" t="e">
        <f>AND(Liste!#REF!,"AAAAAG+/z0g=")</f>
        <v>#REF!</v>
      </c>
      <c r="BV47" t="e">
        <f>AND(Liste!#REF!,"AAAAAG+/z0k=")</f>
        <v>#REF!</v>
      </c>
      <c r="BW47" t="e">
        <f>AND(Liste!#REF!,"AAAAAG+/z0o=")</f>
        <v>#REF!</v>
      </c>
      <c r="BX47" t="e">
        <f>AND(Liste!#REF!,"AAAAAG+/z0s=")</f>
        <v>#REF!</v>
      </c>
      <c r="BY47" t="e">
        <f>AND(Liste!#REF!,"AAAAAG+/z0w=")</f>
        <v>#REF!</v>
      </c>
      <c r="BZ47" t="e">
        <f>AND(Liste!#REF!,"AAAAAG+/z00=")</f>
        <v>#REF!</v>
      </c>
      <c r="CA47" t="e">
        <f>AND(Liste!#REF!,"AAAAAG+/z04=")</f>
        <v>#REF!</v>
      </c>
      <c r="CB47" t="e">
        <f>AND(Liste!#REF!,"AAAAAG+/z08=")</f>
        <v>#REF!</v>
      </c>
      <c r="CC47" t="e">
        <f>AND(Liste!#REF!,"AAAAAG+/z1A=")</f>
        <v>#REF!</v>
      </c>
      <c r="CD47" t="e">
        <f>AND(Liste!#REF!,"AAAAAG+/z1E=")</f>
        <v>#REF!</v>
      </c>
      <c r="CE47" t="e">
        <f>AND(Liste!#REF!,"AAAAAG+/z1I=")</f>
        <v>#REF!</v>
      </c>
      <c r="CF47" t="e">
        <f>AND(Liste!#REF!,"AAAAAG+/z1M=")</f>
        <v>#REF!</v>
      </c>
      <c r="CG47" t="e">
        <f>AND(Liste!#REF!,"AAAAAG+/z1Q=")</f>
        <v>#REF!</v>
      </c>
      <c r="CH47" t="e">
        <f>AND(Liste!#REF!,"AAAAAG+/z1U=")</f>
        <v>#REF!</v>
      </c>
      <c r="CI47" t="e">
        <f>AND(Liste!#REF!,"AAAAAG+/z1Y=")</f>
        <v>#REF!</v>
      </c>
      <c r="CJ47" t="e">
        <f>AND(Liste!#REF!,"AAAAAG+/z1c=")</f>
        <v>#REF!</v>
      </c>
      <c r="CK47" t="e">
        <f>AND(Liste!#REF!,"AAAAAG+/z1g=")</f>
        <v>#REF!</v>
      </c>
      <c r="CL47" t="e">
        <f>AND(Liste!#REF!,"AAAAAG+/z1k=")</f>
        <v>#REF!</v>
      </c>
      <c r="CM47" t="e">
        <f>AND(Liste!#REF!,"AAAAAG+/z1o=")</f>
        <v>#REF!</v>
      </c>
      <c r="CN47" t="e">
        <f>AND(Liste!#REF!,"AAAAAG+/z1s=")</f>
        <v>#REF!</v>
      </c>
      <c r="CO47" t="e">
        <f>AND(Liste!#REF!,"AAAAAG+/z1w=")</f>
        <v>#REF!</v>
      </c>
      <c r="CP47" t="e">
        <f>AND(Liste!#REF!,"AAAAAG+/z10=")</f>
        <v>#REF!</v>
      </c>
      <c r="CQ47" t="e">
        <f>AND(Liste!#REF!,"AAAAAG+/z14=")</f>
        <v>#REF!</v>
      </c>
      <c r="CR47" t="e">
        <f>AND(Liste!#REF!,"AAAAAG+/z18=")</f>
        <v>#REF!</v>
      </c>
      <c r="CS47" t="e">
        <f>AND(Liste!#REF!,"AAAAAG+/z2A=")</f>
        <v>#REF!</v>
      </c>
      <c r="CT47">
        <f>IF(Liste!357:357,"AAAAAG+/z2E=",0)</f>
        <v>0</v>
      </c>
      <c r="CU47" t="b">
        <f>AND(Liste!A357,"AAAAAG+/z2I=")</f>
        <v>1</v>
      </c>
      <c r="CV47" t="e">
        <f>AND(Liste!#REF!,"AAAAAG+/z2M=")</f>
        <v>#REF!</v>
      </c>
      <c r="CW47" t="e">
        <f>AND(Liste!#REF!,"AAAAAG+/z2Q=")</f>
        <v>#REF!</v>
      </c>
      <c r="CX47" t="e">
        <f>AND(Liste!#REF!,"AAAAAG+/z2U=")</f>
        <v>#REF!</v>
      </c>
      <c r="CY47" t="e">
        <f>AND(Liste!#REF!,"AAAAAG+/z2Y=")</f>
        <v>#REF!</v>
      </c>
      <c r="CZ47" t="e">
        <f>AND(Liste!#REF!,"AAAAAG+/z2c=")</f>
        <v>#REF!</v>
      </c>
      <c r="DA47" t="e">
        <f>AND(Liste!#REF!,"AAAAAG+/z2g=")</f>
        <v>#REF!</v>
      </c>
      <c r="DB47" t="e">
        <f>AND(Liste!#REF!,"AAAAAG+/z2k=")</f>
        <v>#REF!</v>
      </c>
      <c r="DC47" t="e">
        <f>AND(Liste!#REF!,"AAAAAG+/z2o=")</f>
        <v>#REF!</v>
      </c>
      <c r="DD47" t="e">
        <f>AND(Liste!#REF!,"AAAAAG+/z2s=")</f>
        <v>#REF!</v>
      </c>
      <c r="DE47" t="e">
        <f>AND(Liste!#REF!,"AAAAAG+/z2w=")</f>
        <v>#REF!</v>
      </c>
      <c r="DF47" t="e">
        <f>AND(Liste!#REF!,"AAAAAG+/z20=")</f>
        <v>#REF!</v>
      </c>
      <c r="DG47" t="e">
        <f>AND(Liste!#REF!,"AAAAAG+/z24=")</f>
        <v>#REF!</v>
      </c>
      <c r="DH47" t="e">
        <f>AND(Liste!#REF!,"AAAAAG+/z28=")</f>
        <v>#REF!</v>
      </c>
      <c r="DI47" t="e">
        <f>AND(Liste!#REF!,"AAAAAG+/z3A=")</f>
        <v>#REF!</v>
      </c>
      <c r="DJ47" t="e">
        <f>AND(Liste!#REF!,"AAAAAG+/z3E=")</f>
        <v>#REF!</v>
      </c>
      <c r="DK47" t="e">
        <f>AND(Liste!#REF!,"AAAAAG+/z3I=")</f>
        <v>#REF!</v>
      </c>
      <c r="DL47" t="e">
        <f>AND(Liste!#REF!,"AAAAAG+/z3M=")</f>
        <v>#REF!</v>
      </c>
      <c r="DM47" t="e">
        <f>AND(Liste!#REF!,"AAAAAG+/z3Q=")</f>
        <v>#REF!</v>
      </c>
      <c r="DN47" t="e">
        <f>AND(Liste!#REF!,"AAAAAG+/z3U=")</f>
        <v>#REF!</v>
      </c>
      <c r="DO47" t="e">
        <f>AND(Liste!#REF!,"AAAAAG+/z3Y=")</f>
        <v>#REF!</v>
      </c>
      <c r="DP47" t="e">
        <f>AND(Liste!#REF!,"AAAAAG+/z3c=")</f>
        <v>#REF!</v>
      </c>
      <c r="DQ47" t="e">
        <f>AND(Liste!#REF!,"AAAAAG+/z3g=")</f>
        <v>#REF!</v>
      </c>
      <c r="DR47" t="e">
        <f>AND(Liste!#REF!,"AAAAAG+/z3k=")</f>
        <v>#REF!</v>
      </c>
      <c r="DS47" t="e">
        <f>AND(Liste!#REF!,"AAAAAG+/z3o=")</f>
        <v>#REF!</v>
      </c>
      <c r="DT47" t="e">
        <f>AND(Liste!#REF!,"AAAAAG+/z3s=")</f>
        <v>#REF!</v>
      </c>
      <c r="DU47" t="e">
        <f>AND(Liste!#REF!,"AAAAAG+/z3w=")</f>
        <v>#REF!</v>
      </c>
      <c r="DV47" t="e">
        <f>AND(Liste!#REF!,"AAAAAG+/z30=")</f>
        <v>#REF!</v>
      </c>
      <c r="DW47" t="e">
        <f>AND(Liste!#REF!,"AAAAAG+/z34=")</f>
        <v>#REF!</v>
      </c>
      <c r="DX47" t="e">
        <f>AND(Liste!#REF!,"AAAAAG+/z38=")</f>
        <v>#REF!</v>
      </c>
      <c r="DY47">
        <f>IF(Liste!358:358,"AAAAAG+/z4A=",0)</f>
        <v>0</v>
      </c>
      <c r="DZ47" t="b">
        <f>AND(Liste!A358,"AAAAAG+/z4E=")</f>
        <v>1</v>
      </c>
      <c r="EA47" t="e">
        <f>AND(Liste!#REF!,"AAAAAG+/z4I=")</f>
        <v>#REF!</v>
      </c>
      <c r="EB47" t="e">
        <f>AND(Liste!#REF!,"AAAAAG+/z4M=")</f>
        <v>#REF!</v>
      </c>
      <c r="EC47" t="e">
        <f>AND(Liste!#REF!,"AAAAAG+/z4Q=")</f>
        <v>#REF!</v>
      </c>
      <c r="ED47" t="e">
        <f>AND(Liste!#REF!,"AAAAAG+/z4U=")</f>
        <v>#REF!</v>
      </c>
      <c r="EE47" t="e">
        <f>AND(Liste!#REF!,"AAAAAG+/z4Y=")</f>
        <v>#REF!</v>
      </c>
      <c r="EF47" t="e">
        <f>AND(Liste!#REF!,"AAAAAG+/z4c=")</f>
        <v>#REF!</v>
      </c>
      <c r="EG47" t="e">
        <f>AND(Liste!#REF!,"AAAAAG+/z4g=")</f>
        <v>#REF!</v>
      </c>
      <c r="EH47" t="e">
        <f>AND(Liste!#REF!,"AAAAAG+/z4k=")</f>
        <v>#REF!</v>
      </c>
      <c r="EI47" t="e">
        <f>AND(Liste!#REF!,"AAAAAG+/z4o=")</f>
        <v>#REF!</v>
      </c>
      <c r="EJ47" t="e">
        <f>AND(Liste!#REF!,"AAAAAG+/z4s=")</f>
        <v>#REF!</v>
      </c>
      <c r="EK47" t="e">
        <f>AND(Liste!#REF!,"AAAAAG+/z4w=")</f>
        <v>#REF!</v>
      </c>
      <c r="EL47" t="e">
        <f>AND(Liste!#REF!,"AAAAAG+/z40=")</f>
        <v>#REF!</v>
      </c>
      <c r="EM47" t="e">
        <f>AND(Liste!#REF!,"AAAAAG+/z44=")</f>
        <v>#REF!</v>
      </c>
      <c r="EN47" t="e">
        <f>AND(Liste!#REF!,"AAAAAG+/z48=")</f>
        <v>#REF!</v>
      </c>
      <c r="EO47" t="e">
        <f>AND(Liste!#REF!,"AAAAAG+/z5A=")</f>
        <v>#REF!</v>
      </c>
      <c r="EP47" t="e">
        <f>AND(Liste!#REF!,"AAAAAG+/z5E=")</f>
        <v>#REF!</v>
      </c>
      <c r="EQ47" t="e">
        <f>AND(Liste!#REF!,"AAAAAG+/z5I=")</f>
        <v>#REF!</v>
      </c>
      <c r="ER47" t="e">
        <f>AND(Liste!#REF!,"AAAAAG+/z5M=")</f>
        <v>#REF!</v>
      </c>
      <c r="ES47" t="e">
        <f>AND(Liste!#REF!,"AAAAAG+/z5Q=")</f>
        <v>#REF!</v>
      </c>
      <c r="ET47" t="e">
        <f>AND(Liste!#REF!,"AAAAAG+/z5U=")</f>
        <v>#REF!</v>
      </c>
      <c r="EU47" t="e">
        <f>AND(Liste!#REF!,"AAAAAG+/z5Y=")</f>
        <v>#REF!</v>
      </c>
      <c r="EV47" t="e">
        <f>AND(Liste!#REF!,"AAAAAG+/z5c=")</f>
        <v>#REF!</v>
      </c>
      <c r="EW47" t="e">
        <f>AND(Liste!#REF!,"AAAAAG+/z5g=")</f>
        <v>#REF!</v>
      </c>
      <c r="EX47" t="e">
        <f>AND(Liste!#REF!,"AAAAAG+/z5k=")</f>
        <v>#REF!</v>
      </c>
      <c r="EY47" t="e">
        <f>AND(Liste!#REF!,"AAAAAG+/z5o=")</f>
        <v>#REF!</v>
      </c>
      <c r="EZ47" t="e">
        <f>AND(Liste!#REF!,"AAAAAG+/z5s=")</f>
        <v>#REF!</v>
      </c>
      <c r="FA47" t="e">
        <f>AND(Liste!#REF!,"AAAAAG+/z5w=")</f>
        <v>#REF!</v>
      </c>
      <c r="FB47" t="e">
        <f>AND(Liste!#REF!,"AAAAAG+/z50=")</f>
        <v>#REF!</v>
      </c>
      <c r="FC47" t="e">
        <f>AND(Liste!#REF!,"AAAAAG+/z54=")</f>
        <v>#REF!</v>
      </c>
      <c r="FD47">
        <f>IF(Liste!359:359,"AAAAAG+/z58=",0)</f>
        <v>0</v>
      </c>
      <c r="FE47" t="b">
        <f>AND(Liste!A359,"AAAAAG+/z6A=")</f>
        <v>1</v>
      </c>
      <c r="FF47" t="e">
        <f>AND(Liste!#REF!,"AAAAAG+/z6E=")</f>
        <v>#REF!</v>
      </c>
      <c r="FG47" t="e">
        <f>AND(Liste!#REF!,"AAAAAG+/z6I=")</f>
        <v>#REF!</v>
      </c>
      <c r="FH47" t="e">
        <f>AND(Liste!#REF!,"AAAAAG+/z6M=")</f>
        <v>#REF!</v>
      </c>
      <c r="FI47" t="e">
        <f>AND(Liste!#REF!,"AAAAAG+/z6Q=")</f>
        <v>#REF!</v>
      </c>
      <c r="FJ47" t="e">
        <f>AND(Liste!#REF!,"AAAAAG+/z6U=")</f>
        <v>#REF!</v>
      </c>
      <c r="FK47" t="e">
        <f>AND(Liste!#REF!,"AAAAAG+/z6Y=")</f>
        <v>#REF!</v>
      </c>
      <c r="FL47" t="e">
        <f>AND(Liste!#REF!,"AAAAAG+/z6c=")</f>
        <v>#REF!</v>
      </c>
      <c r="FM47" t="e">
        <f>AND(Liste!#REF!,"AAAAAG+/z6g=")</f>
        <v>#REF!</v>
      </c>
      <c r="FN47" t="e">
        <f>AND(Liste!#REF!,"AAAAAG+/z6k=")</f>
        <v>#REF!</v>
      </c>
      <c r="FO47" t="e">
        <f>AND(Liste!#REF!,"AAAAAG+/z6o=")</f>
        <v>#REF!</v>
      </c>
      <c r="FP47" t="e">
        <f>AND(Liste!#REF!,"AAAAAG+/z6s=")</f>
        <v>#REF!</v>
      </c>
      <c r="FQ47" t="e">
        <f>AND(Liste!#REF!,"AAAAAG+/z6w=")</f>
        <v>#REF!</v>
      </c>
      <c r="FR47" t="e">
        <f>AND(Liste!#REF!,"AAAAAG+/z60=")</f>
        <v>#REF!</v>
      </c>
      <c r="FS47" t="e">
        <f>AND(Liste!#REF!,"AAAAAG+/z64=")</f>
        <v>#REF!</v>
      </c>
      <c r="FT47" t="e">
        <f>AND(Liste!#REF!,"AAAAAG+/z68=")</f>
        <v>#REF!</v>
      </c>
      <c r="FU47" t="e">
        <f>AND(Liste!#REF!,"AAAAAG+/z7A=")</f>
        <v>#REF!</v>
      </c>
      <c r="FV47" t="e">
        <f>AND(Liste!#REF!,"AAAAAG+/z7E=")</f>
        <v>#REF!</v>
      </c>
      <c r="FW47" t="e">
        <f>AND(Liste!#REF!,"AAAAAG+/z7I=")</f>
        <v>#REF!</v>
      </c>
      <c r="FX47" t="e">
        <f>AND(Liste!#REF!,"AAAAAG+/z7M=")</f>
        <v>#REF!</v>
      </c>
      <c r="FY47" t="e">
        <f>AND(Liste!#REF!,"AAAAAG+/z7Q=")</f>
        <v>#REF!</v>
      </c>
      <c r="FZ47" t="e">
        <f>AND(Liste!#REF!,"AAAAAG+/z7U=")</f>
        <v>#REF!</v>
      </c>
      <c r="GA47" t="e">
        <f>AND(Liste!#REF!,"AAAAAG+/z7Y=")</f>
        <v>#REF!</v>
      </c>
      <c r="GB47" t="e">
        <f>AND(Liste!#REF!,"AAAAAG+/z7c=")</f>
        <v>#REF!</v>
      </c>
      <c r="GC47" t="e">
        <f>AND(Liste!#REF!,"AAAAAG+/z7g=")</f>
        <v>#REF!</v>
      </c>
      <c r="GD47" t="e">
        <f>AND(Liste!#REF!,"AAAAAG+/z7k=")</f>
        <v>#REF!</v>
      </c>
      <c r="GE47" t="e">
        <f>AND(Liste!#REF!,"AAAAAG+/z7o=")</f>
        <v>#REF!</v>
      </c>
      <c r="GF47" t="e">
        <f>AND(Liste!#REF!,"AAAAAG+/z7s=")</f>
        <v>#REF!</v>
      </c>
      <c r="GG47" t="e">
        <f>AND(Liste!#REF!,"AAAAAG+/z7w=")</f>
        <v>#REF!</v>
      </c>
      <c r="GH47" t="e">
        <f>AND(Liste!#REF!,"AAAAAG+/z70=")</f>
        <v>#REF!</v>
      </c>
      <c r="GI47">
        <f>IF(Liste!360:360,"AAAAAG+/z74=",0)</f>
        <v>0</v>
      </c>
      <c r="GJ47" t="b">
        <f>AND(Liste!A360,"AAAAAG+/z78=")</f>
        <v>1</v>
      </c>
      <c r="GK47" t="e">
        <f>AND(Liste!#REF!,"AAAAAG+/z8A=")</f>
        <v>#REF!</v>
      </c>
      <c r="GL47" t="e">
        <f>AND(Liste!#REF!,"AAAAAG+/z8E=")</f>
        <v>#REF!</v>
      </c>
      <c r="GM47" t="e">
        <f>AND(Liste!#REF!,"AAAAAG+/z8I=")</f>
        <v>#REF!</v>
      </c>
      <c r="GN47" t="e">
        <f>AND(Liste!#REF!,"AAAAAG+/z8M=")</f>
        <v>#REF!</v>
      </c>
      <c r="GO47" t="e">
        <f>AND(Liste!#REF!,"AAAAAG+/z8Q=")</f>
        <v>#REF!</v>
      </c>
      <c r="GP47" t="e">
        <f>AND(Liste!#REF!,"AAAAAG+/z8U=")</f>
        <v>#REF!</v>
      </c>
      <c r="GQ47" t="e">
        <f>AND(Liste!#REF!,"AAAAAG+/z8Y=")</f>
        <v>#REF!</v>
      </c>
      <c r="GR47" t="e">
        <f>AND(Liste!#REF!,"AAAAAG+/z8c=")</f>
        <v>#REF!</v>
      </c>
      <c r="GS47" t="e">
        <f>AND(Liste!#REF!,"AAAAAG+/z8g=")</f>
        <v>#REF!</v>
      </c>
      <c r="GT47" t="e">
        <f>AND(Liste!#REF!,"AAAAAG+/z8k=")</f>
        <v>#REF!</v>
      </c>
      <c r="GU47" t="e">
        <f>AND(Liste!#REF!,"AAAAAG+/z8o=")</f>
        <v>#REF!</v>
      </c>
      <c r="GV47" t="e">
        <f>AND(Liste!#REF!,"AAAAAG+/z8s=")</f>
        <v>#REF!</v>
      </c>
      <c r="GW47" t="e">
        <f>AND(Liste!#REF!,"AAAAAG+/z8w=")</f>
        <v>#REF!</v>
      </c>
      <c r="GX47" t="e">
        <f>AND(Liste!#REF!,"AAAAAG+/z80=")</f>
        <v>#REF!</v>
      </c>
      <c r="GY47" t="e">
        <f>AND(Liste!#REF!,"AAAAAG+/z84=")</f>
        <v>#REF!</v>
      </c>
      <c r="GZ47" t="e">
        <f>AND(Liste!#REF!,"AAAAAG+/z88=")</f>
        <v>#REF!</v>
      </c>
      <c r="HA47" t="e">
        <f>AND(Liste!#REF!,"AAAAAG+/z9A=")</f>
        <v>#REF!</v>
      </c>
      <c r="HB47" t="e">
        <f>AND(Liste!#REF!,"AAAAAG+/z9E=")</f>
        <v>#REF!</v>
      </c>
      <c r="HC47" t="e">
        <f>AND(Liste!#REF!,"AAAAAG+/z9I=")</f>
        <v>#REF!</v>
      </c>
      <c r="HD47" t="e">
        <f>AND(Liste!#REF!,"AAAAAG+/z9M=")</f>
        <v>#REF!</v>
      </c>
      <c r="HE47" t="e">
        <f>AND(Liste!#REF!,"AAAAAG+/z9Q=")</f>
        <v>#REF!</v>
      </c>
      <c r="HF47" t="e">
        <f>AND(Liste!#REF!,"AAAAAG+/z9U=")</f>
        <v>#REF!</v>
      </c>
      <c r="HG47" t="e">
        <f>AND(Liste!#REF!,"AAAAAG+/z9Y=")</f>
        <v>#REF!</v>
      </c>
      <c r="HH47" t="e">
        <f>AND(Liste!#REF!,"AAAAAG+/z9c=")</f>
        <v>#REF!</v>
      </c>
      <c r="HI47" t="e">
        <f>AND(Liste!#REF!,"AAAAAG+/z9g=")</f>
        <v>#REF!</v>
      </c>
      <c r="HJ47" t="e">
        <f>AND(Liste!#REF!,"AAAAAG+/z9k=")</f>
        <v>#REF!</v>
      </c>
      <c r="HK47" t="e">
        <f>AND(Liste!#REF!,"AAAAAG+/z9o=")</f>
        <v>#REF!</v>
      </c>
      <c r="HL47" t="e">
        <f>AND(Liste!#REF!,"AAAAAG+/z9s=")</f>
        <v>#REF!</v>
      </c>
      <c r="HM47" t="e">
        <f>AND(Liste!#REF!,"AAAAAG+/z9w=")</f>
        <v>#REF!</v>
      </c>
      <c r="HN47">
        <f>IF(Liste!361:361,"AAAAAG+/z90=",0)</f>
        <v>0</v>
      </c>
      <c r="HO47" t="b">
        <f>AND(Liste!A361,"AAAAAG+/z94=")</f>
        <v>1</v>
      </c>
      <c r="HP47" t="e">
        <f>AND(Liste!#REF!,"AAAAAG+/z98=")</f>
        <v>#REF!</v>
      </c>
      <c r="HQ47" t="e">
        <f>AND(Liste!#REF!,"AAAAAG+/z+A=")</f>
        <v>#REF!</v>
      </c>
      <c r="HR47" t="e">
        <f>AND(Liste!#REF!,"AAAAAG+/z+E=")</f>
        <v>#REF!</v>
      </c>
      <c r="HS47" t="e">
        <f>AND(Liste!#REF!,"AAAAAG+/z+I=")</f>
        <v>#REF!</v>
      </c>
      <c r="HT47" t="e">
        <f>AND(Liste!#REF!,"AAAAAG+/z+M=")</f>
        <v>#REF!</v>
      </c>
      <c r="HU47" t="e">
        <f>AND(Liste!#REF!,"AAAAAG+/z+Q=")</f>
        <v>#REF!</v>
      </c>
      <c r="HV47" t="e">
        <f>AND(Liste!#REF!,"AAAAAG+/z+U=")</f>
        <v>#REF!</v>
      </c>
      <c r="HW47" t="e">
        <f>AND(Liste!#REF!,"AAAAAG+/z+Y=")</f>
        <v>#REF!</v>
      </c>
      <c r="HX47" t="e">
        <f>AND(Liste!#REF!,"AAAAAG+/z+c=")</f>
        <v>#REF!</v>
      </c>
      <c r="HY47" t="e">
        <f>AND(Liste!#REF!,"AAAAAG+/z+g=")</f>
        <v>#REF!</v>
      </c>
      <c r="HZ47" t="e">
        <f>AND(Liste!#REF!,"AAAAAG+/z+k=")</f>
        <v>#REF!</v>
      </c>
      <c r="IA47" t="e">
        <f>AND(Liste!#REF!,"AAAAAG+/z+o=")</f>
        <v>#REF!</v>
      </c>
      <c r="IB47" t="e">
        <f>AND(Liste!#REF!,"AAAAAG+/z+s=")</f>
        <v>#REF!</v>
      </c>
      <c r="IC47" t="e">
        <f>AND(Liste!#REF!,"AAAAAG+/z+w=")</f>
        <v>#REF!</v>
      </c>
      <c r="ID47" t="e">
        <f>AND(Liste!#REF!,"AAAAAG+/z+0=")</f>
        <v>#REF!</v>
      </c>
      <c r="IE47" t="e">
        <f>AND(Liste!#REF!,"AAAAAG+/z+4=")</f>
        <v>#REF!</v>
      </c>
      <c r="IF47" t="e">
        <f>AND(Liste!#REF!,"AAAAAG+/z+8=")</f>
        <v>#REF!</v>
      </c>
      <c r="IG47" t="e">
        <f>AND(Liste!#REF!,"AAAAAG+/z/A=")</f>
        <v>#REF!</v>
      </c>
      <c r="IH47" t="e">
        <f>AND(Liste!#REF!,"AAAAAG+/z/E=")</f>
        <v>#REF!</v>
      </c>
      <c r="II47" t="e">
        <f>AND(Liste!#REF!,"AAAAAG+/z/I=")</f>
        <v>#REF!</v>
      </c>
      <c r="IJ47" t="e">
        <f>AND(Liste!#REF!,"AAAAAG+/z/M=")</f>
        <v>#REF!</v>
      </c>
      <c r="IK47" t="e">
        <f>AND(Liste!#REF!,"AAAAAG+/z/Q=")</f>
        <v>#REF!</v>
      </c>
      <c r="IL47" t="e">
        <f>AND(Liste!#REF!,"AAAAAG+/z/U=")</f>
        <v>#REF!</v>
      </c>
      <c r="IM47" t="e">
        <f>AND(Liste!#REF!,"AAAAAG+/z/Y=")</f>
        <v>#REF!</v>
      </c>
      <c r="IN47" t="e">
        <f>AND(Liste!#REF!,"AAAAAG+/z/c=")</f>
        <v>#REF!</v>
      </c>
      <c r="IO47" t="e">
        <f>AND(Liste!#REF!,"AAAAAG+/z/g=")</f>
        <v>#REF!</v>
      </c>
      <c r="IP47" t="e">
        <f>AND(Liste!#REF!,"AAAAAG+/z/k=")</f>
        <v>#REF!</v>
      </c>
      <c r="IQ47" t="e">
        <f>AND(Liste!#REF!,"AAAAAG+/z/o=")</f>
        <v>#REF!</v>
      </c>
      <c r="IR47" t="e">
        <f>AND(Liste!#REF!,"AAAAAG+/z/s=")</f>
        <v>#REF!</v>
      </c>
      <c r="IS47">
        <f>IF(Liste!362:362,"AAAAAG+/z/w=",0)</f>
        <v>0</v>
      </c>
      <c r="IT47" t="b">
        <f>AND(Liste!A362,"AAAAAG+/z/0=")</f>
        <v>1</v>
      </c>
      <c r="IU47" t="e">
        <f>AND(Liste!#REF!,"AAAAAG+/z/4=")</f>
        <v>#REF!</v>
      </c>
      <c r="IV47" t="e">
        <f>AND(Liste!#REF!,"AAAAAG+/z/8=")</f>
        <v>#REF!</v>
      </c>
    </row>
    <row r="48" spans="1:256" x14ac:dyDescent="0.2">
      <c r="A48" t="e">
        <f>AND(Liste!#REF!,"AAAAAH9P/QA=")</f>
        <v>#REF!</v>
      </c>
      <c r="B48" t="e">
        <f>AND(Liste!#REF!,"AAAAAH9P/QE=")</f>
        <v>#REF!</v>
      </c>
      <c r="C48" t="e">
        <f>AND(Liste!#REF!,"AAAAAH9P/QI=")</f>
        <v>#REF!</v>
      </c>
      <c r="D48" t="e">
        <f>AND(Liste!#REF!,"AAAAAH9P/QM=")</f>
        <v>#REF!</v>
      </c>
      <c r="E48" t="e">
        <f>AND(Liste!#REF!,"AAAAAH9P/QQ=")</f>
        <v>#REF!</v>
      </c>
      <c r="F48" t="e">
        <f>AND(Liste!#REF!,"AAAAAH9P/QU=")</f>
        <v>#REF!</v>
      </c>
      <c r="G48" t="e">
        <f>AND(Liste!#REF!,"AAAAAH9P/QY=")</f>
        <v>#REF!</v>
      </c>
      <c r="H48" t="e">
        <f>AND(Liste!#REF!,"AAAAAH9P/Qc=")</f>
        <v>#REF!</v>
      </c>
      <c r="I48" t="e">
        <f>AND(Liste!#REF!,"AAAAAH9P/Qg=")</f>
        <v>#REF!</v>
      </c>
      <c r="J48" t="e">
        <f>AND(Liste!#REF!,"AAAAAH9P/Qk=")</f>
        <v>#REF!</v>
      </c>
      <c r="K48" t="e">
        <f>AND(Liste!#REF!,"AAAAAH9P/Qo=")</f>
        <v>#REF!</v>
      </c>
      <c r="L48" t="e">
        <f>AND(Liste!#REF!,"AAAAAH9P/Qs=")</f>
        <v>#REF!</v>
      </c>
      <c r="M48" t="e">
        <f>AND(Liste!#REF!,"AAAAAH9P/Qw=")</f>
        <v>#REF!</v>
      </c>
      <c r="N48" t="e">
        <f>AND(Liste!#REF!,"AAAAAH9P/Q0=")</f>
        <v>#REF!</v>
      </c>
      <c r="O48" t="e">
        <f>AND(Liste!#REF!,"AAAAAH9P/Q4=")</f>
        <v>#REF!</v>
      </c>
      <c r="P48" t="e">
        <f>AND(Liste!#REF!,"AAAAAH9P/Q8=")</f>
        <v>#REF!</v>
      </c>
      <c r="Q48" t="e">
        <f>AND(Liste!#REF!,"AAAAAH9P/RA=")</f>
        <v>#REF!</v>
      </c>
      <c r="R48" t="e">
        <f>AND(Liste!#REF!,"AAAAAH9P/RE=")</f>
        <v>#REF!</v>
      </c>
      <c r="S48" t="e">
        <f>AND(Liste!#REF!,"AAAAAH9P/RI=")</f>
        <v>#REF!</v>
      </c>
      <c r="T48" t="e">
        <f>AND(Liste!#REF!,"AAAAAH9P/RM=")</f>
        <v>#REF!</v>
      </c>
      <c r="U48" t="e">
        <f>AND(Liste!#REF!,"AAAAAH9P/RQ=")</f>
        <v>#REF!</v>
      </c>
      <c r="V48" t="e">
        <f>AND(Liste!#REF!,"AAAAAH9P/RU=")</f>
        <v>#REF!</v>
      </c>
      <c r="W48" t="e">
        <f>AND(Liste!#REF!,"AAAAAH9P/RY=")</f>
        <v>#REF!</v>
      </c>
      <c r="X48" t="e">
        <f>AND(Liste!#REF!,"AAAAAH9P/Rc=")</f>
        <v>#REF!</v>
      </c>
      <c r="Y48" t="e">
        <f>AND(Liste!#REF!,"AAAAAH9P/Rg=")</f>
        <v>#REF!</v>
      </c>
      <c r="Z48" t="e">
        <f>AND(Liste!#REF!,"AAAAAH9P/Rk=")</f>
        <v>#REF!</v>
      </c>
      <c r="AA48" t="e">
        <f>AND(Liste!#REF!,"AAAAAH9P/Ro=")</f>
        <v>#REF!</v>
      </c>
      <c r="AB48">
        <f>IF(Liste!363:363,"AAAAAH9P/Rs=",0)</f>
        <v>0</v>
      </c>
      <c r="AC48" t="b">
        <f>AND(Liste!A363,"AAAAAH9P/Rw=")</f>
        <v>1</v>
      </c>
      <c r="AD48" t="e">
        <f>AND(Liste!#REF!,"AAAAAH9P/R0=")</f>
        <v>#REF!</v>
      </c>
      <c r="AE48" t="e">
        <f>AND(Liste!#REF!,"AAAAAH9P/R4=")</f>
        <v>#REF!</v>
      </c>
      <c r="AF48" t="e">
        <f>AND(Liste!#REF!,"AAAAAH9P/R8=")</f>
        <v>#REF!</v>
      </c>
      <c r="AG48" t="e">
        <f>AND(Liste!#REF!,"AAAAAH9P/SA=")</f>
        <v>#REF!</v>
      </c>
      <c r="AH48" t="e">
        <f>AND(Liste!#REF!,"AAAAAH9P/SE=")</f>
        <v>#REF!</v>
      </c>
      <c r="AI48" t="e">
        <f>AND(Liste!#REF!,"AAAAAH9P/SI=")</f>
        <v>#REF!</v>
      </c>
      <c r="AJ48" t="e">
        <f>AND(Liste!#REF!,"AAAAAH9P/SM=")</f>
        <v>#REF!</v>
      </c>
      <c r="AK48" t="e">
        <f>AND(Liste!#REF!,"AAAAAH9P/SQ=")</f>
        <v>#REF!</v>
      </c>
      <c r="AL48" t="e">
        <f>AND(Liste!#REF!,"AAAAAH9P/SU=")</f>
        <v>#REF!</v>
      </c>
      <c r="AM48" t="e">
        <f>AND(Liste!#REF!,"AAAAAH9P/SY=")</f>
        <v>#REF!</v>
      </c>
      <c r="AN48" t="e">
        <f>AND(Liste!#REF!,"AAAAAH9P/Sc=")</f>
        <v>#REF!</v>
      </c>
      <c r="AO48" t="e">
        <f>AND(Liste!#REF!,"AAAAAH9P/Sg=")</f>
        <v>#REF!</v>
      </c>
      <c r="AP48" t="e">
        <f>AND(Liste!#REF!,"AAAAAH9P/Sk=")</f>
        <v>#REF!</v>
      </c>
      <c r="AQ48" t="e">
        <f>AND(Liste!#REF!,"AAAAAH9P/So=")</f>
        <v>#REF!</v>
      </c>
      <c r="AR48" t="e">
        <f>AND(Liste!#REF!,"AAAAAH9P/Ss=")</f>
        <v>#REF!</v>
      </c>
      <c r="AS48" t="e">
        <f>AND(Liste!#REF!,"AAAAAH9P/Sw=")</f>
        <v>#REF!</v>
      </c>
      <c r="AT48" t="e">
        <f>AND(Liste!#REF!,"AAAAAH9P/S0=")</f>
        <v>#REF!</v>
      </c>
      <c r="AU48" t="e">
        <f>AND(Liste!#REF!,"AAAAAH9P/S4=")</f>
        <v>#REF!</v>
      </c>
      <c r="AV48" t="e">
        <f>AND(Liste!#REF!,"AAAAAH9P/S8=")</f>
        <v>#REF!</v>
      </c>
      <c r="AW48" t="e">
        <f>AND(Liste!#REF!,"AAAAAH9P/TA=")</f>
        <v>#REF!</v>
      </c>
      <c r="AX48" t="e">
        <f>AND(Liste!#REF!,"AAAAAH9P/TE=")</f>
        <v>#REF!</v>
      </c>
      <c r="AY48" t="e">
        <f>AND(Liste!#REF!,"AAAAAH9P/TI=")</f>
        <v>#REF!</v>
      </c>
      <c r="AZ48" t="e">
        <f>AND(Liste!#REF!,"AAAAAH9P/TM=")</f>
        <v>#REF!</v>
      </c>
      <c r="BA48" t="e">
        <f>AND(Liste!#REF!,"AAAAAH9P/TQ=")</f>
        <v>#REF!</v>
      </c>
      <c r="BB48" t="e">
        <f>AND(Liste!#REF!,"AAAAAH9P/TU=")</f>
        <v>#REF!</v>
      </c>
      <c r="BC48" t="e">
        <f>AND(Liste!#REF!,"AAAAAH9P/TY=")</f>
        <v>#REF!</v>
      </c>
      <c r="BD48" t="e">
        <f>AND(Liste!#REF!,"AAAAAH9P/Tc=")</f>
        <v>#REF!</v>
      </c>
      <c r="BE48" t="e">
        <f>AND(Liste!#REF!,"AAAAAH9P/Tg=")</f>
        <v>#REF!</v>
      </c>
      <c r="BF48" t="e">
        <f>AND(Liste!#REF!,"AAAAAH9P/Tk=")</f>
        <v>#REF!</v>
      </c>
      <c r="BG48">
        <f>IF(Liste!364:364,"AAAAAH9P/To=",0)</f>
        <v>0</v>
      </c>
      <c r="BH48" t="b">
        <f>AND(Liste!A364,"AAAAAH9P/Ts=")</f>
        <v>1</v>
      </c>
      <c r="BI48" t="e">
        <f>AND(Liste!#REF!,"AAAAAH9P/Tw=")</f>
        <v>#REF!</v>
      </c>
      <c r="BJ48" t="e">
        <f>AND(Liste!#REF!,"AAAAAH9P/T0=")</f>
        <v>#REF!</v>
      </c>
      <c r="BK48" t="e">
        <f>AND(Liste!#REF!,"AAAAAH9P/T4=")</f>
        <v>#REF!</v>
      </c>
      <c r="BL48" t="e">
        <f>AND(Liste!#REF!,"AAAAAH9P/T8=")</f>
        <v>#REF!</v>
      </c>
      <c r="BM48" t="e">
        <f>AND(Liste!#REF!,"AAAAAH9P/UA=")</f>
        <v>#REF!</v>
      </c>
      <c r="BN48" t="e">
        <f>AND(Liste!#REF!,"AAAAAH9P/UE=")</f>
        <v>#REF!</v>
      </c>
      <c r="BO48" t="e">
        <f>AND(Liste!#REF!,"AAAAAH9P/UI=")</f>
        <v>#REF!</v>
      </c>
      <c r="BP48" t="e">
        <f>AND(Liste!#REF!,"AAAAAH9P/UM=")</f>
        <v>#REF!</v>
      </c>
      <c r="BQ48" t="e">
        <f>AND(Liste!#REF!,"AAAAAH9P/UQ=")</f>
        <v>#REF!</v>
      </c>
      <c r="BR48" t="e">
        <f>AND(Liste!#REF!,"AAAAAH9P/UU=")</f>
        <v>#REF!</v>
      </c>
      <c r="BS48" t="e">
        <f>AND(Liste!#REF!,"AAAAAH9P/UY=")</f>
        <v>#REF!</v>
      </c>
      <c r="BT48" t="e">
        <f>AND(Liste!#REF!,"AAAAAH9P/Uc=")</f>
        <v>#REF!</v>
      </c>
      <c r="BU48" t="e">
        <f>AND(Liste!#REF!,"AAAAAH9P/Ug=")</f>
        <v>#REF!</v>
      </c>
      <c r="BV48" t="e">
        <f>AND(Liste!#REF!,"AAAAAH9P/Uk=")</f>
        <v>#REF!</v>
      </c>
      <c r="BW48" t="e">
        <f>AND(Liste!#REF!,"AAAAAH9P/Uo=")</f>
        <v>#REF!</v>
      </c>
      <c r="BX48" t="e">
        <f>AND(Liste!#REF!,"AAAAAH9P/Us=")</f>
        <v>#REF!</v>
      </c>
      <c r="BY48" t="e">
        <f>AND(Liste!#REF!,"AAAAAH9P/Uw=")</f>
        <v>#REF!</v>
      </c>
      <c r="BZ48" t="e">
        <f>AND(Liste!#REF!,"AAAAAH9P/U0=")</f>
        <v>#REF!</v>
      </c>
      <c r="CA48" t="e">
        <f>AND(Liste!#REF!,"AAAAAH9P/U4=")</f>
        <v>#REF!</v>
      </c>
      <c r="CB48" t="e">
        <f>AND(Liste!#REF!,"AAAAAH9P/U8=")</f>
        <v>#REF!</v>
      </c>
      <c r="CC48" t="e">
        <f>AND(Liste!#REF!,"AAAAAH9P/VA=")</f>
        <v>#REF!</v>
      </c>
      <c r="CD48" t="e">
        <f>AND(Liste!#REF!,"AAAAAH9P/VE=")</f>
        <v>#REF!</v>
      </c>
      <c r="CE48" t="e">
        <f>AND(Liste!#REF!,"AAAAAH9P/VI=")</f>
        <v>#REF!</v>
      </c>
      <c r="CF48" t="e">
        <f>AND(Liste!#REF!,"AAAAAH9P/VM=")</f>
        <v>#REF!</v>
      </c>
      <c r="CG48" t="e">
        <f>AND(Liste!#REF!,"AAAAAH9P/VQ=")</f>
        <v>#REF!</v>
      </c>
      <c r="CH48" t="e">
        <f>AND(Liste!#REF!,"AAAAAH9P/VU=")</f>
        <v>#REF!</v>
      </c>
      <c r="CI48" t="e">
        <f>AND(Liste!#REF!,"AAAAAH9P/VY=")</f>
        <v>#REF!</v>
      </c>
      <c r="CJ48" t="e">
        <f>AND(Liste!#REF!,"AAAAAH9P/Vc=")</f>
        <v>#REF!</v>
      </c>
      <c r="CK48" t="e">
        <f>AND(Liste!#REF!,"AAAAAH9P/Vg=")</f>
        <v>#REF!</v>
      </c>
      <c r="CL48" t="e">
        <f>IF(Liste!#REF!,"AAAAAH9P/Vk=",0)</f>
        <v>#REF!</v>
      </c>
      <c r="CM48" t="e">
        <f>AND(Liste!#REF!,"AAAAAH9P/Vo=")</f>
        <v>#REF!</v>
      </c>
      <c r="CN48" t="e">
        <f>AND(Liste!#REF!,"AAAAAH9P/Vs=")</f>
        <v>#REF!</v>
      </c>
      <c r="CO48" t="e">
        <f>AND(Liste!#REF!,"AAAAAH9P/Vw=")</f>
        <v>#REF!</v>
      </c>
      <c r="CP48" t="e">
        <f>AND(Liste!#REF!,"AAAAAH9P/V0=")</f>
        <v>#REF!</v>
      </c>
      <c r="CQ48" t="e">
        <f>AND(Liste!#REF!,"AAAAAH9P/V4=")</f>
        <v>#REF!</v>
      </c>
      <c r="CR48" t="e">
        <f>AND(Liste!#REF!,"AAAAAH9P/V8=")</f>
        <v>#REF!</v>
      </c>
      <c r="CS48" t="e">
        <f>AND(Liste!#REF!,"AAAAAH9P/WA=")</f>
        <v>#REF!</v>
      </c>
      <c r="CT48" t="e">
        <f>AND(Liste!#REF!,"AAAAAH9P/WE=")</f>
        <v>#REF!</v>
      </c>
      <c r="CU48" t="e">
        <f>AND(Liste!#REF!,"AAAAAH9P/WI=")</f>
        <v>#REF!</v>
      </c>
      <c r="CV48" t="e">
        <f>AND(Liste!#REF!,"AAAAAH9P/WM=")</f>
        <v>#REF!</v>
      </c>
      <c r="CW48" t="e">
        <f>AND(Liste!#REF!,"AAAAAH9P/WQ=")</f>
        <v>#REF!</v>
      </c>
      <c r="CX48" t="e">
        <f>AND(Liste!#REF!,"AAAAAH9P/WU=")</f>
        <v>#REF!</v>
      </c>
      <c r="CY48" t="e">
        <f>AND(Liste!#REF!,"AAAAAH9P/WY=")</f>
        <v>#REF!</v>
      </c>
      <c r="CZ48" t="e">
        <f>AND(Liste!#REF!,"AAAAAH9P/Wc=")</f>
        <v>#REF!</v>
      </c>
      <c r="DA48" t="e">
        <f>AND(Liste!#REF!,"AAAAAH9P/Wg=")</f>
        <v>#REF!</v>
      </c>
      <c r="DB48" t="e">
        <f>AND(Liste!#REF!,"AAAAAH9P/Wk=")</f>
        <v>#REF!</v>
      </c>
      <c r="DC48" t="e">
        <f>AND(Liste!#REF!,"AAAAAH9P/Wo=")</f>
        <v>#REF!</v>
      </c>
      <c r="DD48" t="e">
        <f>AND(Liste!#REF!,"AAAAAH9P/Ws=")</f>
        <v>#REF!</v>
      </c>
      <c r="DE48" t="e">
        <f>AND(Liste!#REF!,"AAAAAH9P/Ww=")</f>
        <v>#REF!</v>
      </c>
      <c r="DF48" t="e">
        <f>AND(Liste!#REF!,"AAAAAH9P/W0=")</f>
        <v>#REF!</v>
      </c>
      <c r="DG48" t="e">
        <f>AND(Liste!#REF!,"AAAAAH9P/W4=")</f>
        <v>#REF!</v>
      </c>
      <c r="DH48" t="e">
        <f>AND(Liste!#REF!,"AAAAAH9P/W8=")</f>
        <v>#REF!</v>
      </c>
      <c r="DI48" t="e">
        <f>AND(Liste!#REF!,"AAAAAH9P/XA=")</f>
        <v>#REF!</v>
      </c>
      <c r="DJ48" t="e">
        <f>AND(Liste!#REF!,"AAAAAH9P/XE=")</f>
        <v>#REF!</v>
      </c>
      <c r="DK48" t="e">
        <f>AND(Liste!#REF!,"AAAAAH9P/XI=")</f>
        <v>#REF!</v>
      </c>
      <c r="DL48" t="e">
        <f>AND(Liste!#REF!,"AAAAAH9P/XM=")</f>
        <v>#REF!</v>
      </c>
      <c r="DM48" t="e">
        <f>AND(Liste!#REF!,"AAAAAH9P/XQ=")</f>
        <v>#REF!</v>
      </c>
      <c r="DN48" t="e">
        <f>AND(Liste!#REF!,"AAAAAH9P/XU=")</f>
        <v>#REF!</v>
      </c>
      <c r="DO48" t="e">
        <f>AND(Liste!#REF!,"AAAAAH9P/XY=")</f>
        <v>#REF!</v>
      </c>
      <c r="DP48" t="e">
        <f>AND(Liste!#REF!,"AAAAAH9P/Xc=")</f>
        <v>#REF!</v>
      </c>
      <c r="DQ48" t="e">
        <f>IF(Liste!#REF!,"AAAAAH9P/Xg=",0)</f>
        <v>#REF!</v>
      </c>
      <c r="DR48" t="e">
        <f>AND(Liste!#REF!,"AAAAAH9P/Xk=")</f>
        <v>#REF!</v>
      </c>
      <c r="DS48" t="e">
        <f>AND(Liste!#REF!,"AAAAAH9P/Xo=")</f>
        <v>#REF!</v>
      </c>
      <c r="DT48" t="e">
        <f>AND(Liste!#REF!,"AAAAAH9P/Xs=")</f>
        <v>#REF!</v>
      </c>
      <c r="DU48" t="e">
        <f>AND(Liste!#REF!,"AAAAAH9P/Xw=")</f>
        <v>#REF!</v>
      </c>
      <c r="DV48" t="e">
        <f>AND(Liste!#REF!,"AAAAAH9P/X0=")</f>
        <v>#REF!</v>
      </c>
      <c r="DW48" t="e">
        <f>AND(Liste!#REF!,"AAAAAH9P/X4=")</f>
        <v>#REF!</v>
      </c>
      <c r="DX48" t="e">
        <f>AND(Liste!#REF!,"AAAAAH9P/X8=")</f>
        <v>#REF!</v>
      </c>
      <c r="DY48" t="e">
        <f>AND(Liste!#REF!,"AAAAAH9P/YA=")</f>
        <v>#REF!</v>
      </c>
      <c r="DZ48" t="e">
        <f>AND(Liste!#REF!,"AAAAAH9P/YE=")</f>
        <v>#REF!</v>
      </c>
      <c r="EA48" t="e">
        <f>AND(Liste!#REF!,"AAAAAH9P/YI=")</f>
        <v>#REF!</v>
      </c>
      <c r="EB48" t="e">
        <f>AND(Liste!#REF!,"AAAAAH9P/YM=")</f>
        <v>#REF!</v>
      </c>
      <c r="EC48" t="e">
        <f>AND(Liste!#REF!,"AAAAAH9P/YQ=")</f>
        <v>#REF!</v>
      </c>
      <c r="ED48" t="e">
        <f>AND(Liste!#REF!,"AAAAAH9P/YU=")</f>
        <v>#REF!</v>
      </c>
      <c r="EE48" t="e">
        <f>AND(Liste!#REF!,"AAAAAH9P/YY=")</f>
        <v>#REF!</v>
      </c>
      <c r="EF48" t="e">
        <f>AND(Liste!#REF!,"AAAAAH9P/Yc=")</f>
        <v>#REF!</v>
      </c>
      <c r="EG48" t="e">
        <f>AND(Liste!#REF!,"AAAAAH9P/Yg=")</f>
        <v>#REF!</v>
      </c>
      <c r="EH48" t="e">
        <f>AND(Liste!#REF!,"AAAAAH9P/Yk=")</f>
        <v>#REF!</v>
      </c>
      <c r="EI48" t="e">
        <f>AND(Liste!#REF!,"AAAAAH9P/Yo=")</f>
        <v>#REF!</v>
      </c>
      <c r="EJ48" t="e">
        <f>AND(Liste!#REF!,"AAAAAH9P/Ys=")</f>
        <v>#REF!</v>
      </c>
      <c r="EK48" t="e">
        <f>AND(Liste!#REF!,"AAAAAH9P/Yw=")</f>
        <v>#REF!</v>
      </c>
      <c r="EL48" t="e">
        <f>AND(Liste!#REF!,"AAAAAH9P/Y0=")</f>
        <v>#REF!</v>
      </c>
      <c r="EM48" t="e">
        <f>AND(Liste!#REF!,"AAAAAH9P/Y4=")</f>
        <v>#REF!</v>
      </c>
      <c r="EN48" t="e">
        <f>AND(Liste!#REF!,"AAAAAH9P/Y8=")</f>
        <v>#REF!</v>
      </c>
      <c r="EO48" t="e">
        <f>AND(Liste!#REF!,"AAAAAH9P/ZA=")</f>
        <v>#REF!</v>
      </c>
      <c r="EP48" t="e">
        <f>AND(Liste!#REF!,"AAAAAH9P/ZE=")</f>
        <v>#REF!</v>
      </c>
      <c r="EQ48" t="e">
        <f>AND(Liste!#REF!,"AAAAAH9P/ZI=")</f>
        <v>#REF!</v>
      </c>
      <c r="ER48" t="e">
        <f>AND(Liste!#REF!,"AAAAAH9P/ZM=")</f>
        <v>#REF!</v>
      </c>
      <c r="ES48" t="e">
        <f>AND(Liste!#REF!,"AAAAAH9P/ZQ=")</f>
        <v>#REF!</v>
      </c>
      <c r="ET48" t="e">
        <f>AND(Liste!#REF!,"AAAAAH9P/ZU=")</f>
        <v>#REF!</v>
      </c>
      <c r="EU48" t="e">
        <f>AND(Liste!#REF!,"AAAAAH9P/ZY=")</f>
        <v>#REF!</v>
      </c>
      <c r="EV48" t="e">
        <f>IF(Liste!#REF!,"AAAAAH9P/Zc=",0)</f>
        <v>#REF!</v>
      </c>
      <c r="EW48" t="e">
        <f>AND(Liste!#REF!,"AAAAAH9P/Zg=")</f>
        <v>#REF!</v>
      </c>
      <c r="EX48" t="e">
        <f>AND(Liste!#REF!,"AAAAAH9P/Zk=")</f>
        <v>#REF!</v>
      </c>
      <c r="EY48" t="e">
        <f>AND(Liste!#REF!,"AAAAAH9P/Zo=")</f>
        <v>#REF!</v>
      </c>
      <c r="EZ48" t="e">
        <f>AND(Liste!#REF!,"AAAAAH9P/Zs=")</f>
        <v>#REF!</v>
      </c>
      <c r="FA48" t="e">
        <f>AND(Liste!#REF!,"AAAAAH9P/Zw=")</f>
        <v>#REF!</v>
      </c>
      <c r="FB48" t="e">
        <f>AND(Liste!#REF!,"AAAAAH9P/Z0=")</f>
        <v>#REF!</v>
      </c>
      <c r="FC48" t="e">
        <f>AND(Liste!#REF!,"AAAAAH9P/Z4=")</f>
        <v>#REF!</v>
      </c>
      <c r="FD48" t="e">
        <f>AND(Liste!#REF!,"AAAAAH9P/Z8=")</f>
        <v>#REF!</v>
      </c>
      <c r="FE48" t="e">
        <f>AND(Liste!#REF!,"AAAAAH9P/aA=")</f>
        <v>#REF!</v>
      </c>
      <c r="FF48" t="e">
        <f>AND(Liste!#REF!,"AAAAAH9P/aE=")</f>
        <v>#REF!</v>
      </c>
      <c r="FG48" t="e">
        <f>AND(Liste!#REF!,"AAAAAH9P/aI=")</f>
        <v>#REF!</v>
      </c>
      <c r="FH48" t="e">
        <f>AND(Liste!#REF!,"AAAAAH9P/aM=")</f>
        <v>#REF!</v>
      </c>
      <c r="FI48" t="e">
        <f>AND(Liste!#REF!,"AAAAAH9P/aQ=")</f>
        <v>#REF!</v>
      </c>
      <c r="FJ48" t="e">
        <f>AND(Liste!#REF!,"AAAAAH9P/aU=")</f>
        <v>#REF!</v>
      </c>
      <c r="FK48" t="e">
        <f>AND(Liste!#REF!,"AAAAAH9P/aY=")</f>
        <v>#REF!</v>
      </c>
      <c r="FL48" t="e">
        <f>AND(Liste!#REF!,"AAAAAH9P/ac=")</f>
        <v>#REF!</v>
      </c>
      <c r="FM48" t="e">
        <f>AND(Liste!#REF!,"AAAAAH9P/ag=")</f>
        <v>#REF!</v>
      </c>
      <c r="FN48" t="e">
        <f>AND(Liste!#REF!,"AAAAAH9P/ak=")</f>
        <v>#REF!</v>
      </c>
      <c r="FO48" t="e">
        <f>AND(Liste!#REF!,"AAAAAH9P/ao=")</f>
        <v>#REF!</v>
      </c>
      <c r="FP48" t="e">
        <f>AND(Liste!#REF!,"AAAAAH9P/as=")</f>
        <v>#REF!</v>
      </c>
      <c r="FQ48" t="e">
        <f>AND(Liste!#REF!,"AAAAAH9P/aw=")</f>
        <v>#REF!</v>
      </c>
      <c r="FR48" t="e">
        <f>AND(Liste!#REF!,"AAAAAH9P/a0=")</f>
        <v>#REF!</v>
      </c>
      <c r="FS48" t="e">
        <f>AND(Liste!#REF!,"AAAAAH9P/a4=")</f>
        <v>#REF!</v>
      </c>
      <c r="FT48" t="e">
        <f>AND(Liste!#REF!,"AAAAAH9P/a8=")</f>
        <v>#REF!</v>
      </c>
      <c r="FU48" t="e">
        <f>AND(Liste!#REF!,"AAAAAH9P/bA=")</f>
        <v>#REF!</v>
      </c>
      <c r="FV48" t="e">
        <f>AND(Liste!#REF!,"AAAAAH9P/bE=")</f>
        <v>#REF!</v>
      </c>
      <c r="FW48" t="e">
        <f>AND(Liste!#REF!,"AAAAAH9P/bI=")</f>
        <v>#REF!</v>
      </c>
      <c r="FX48" t="e">
        <f>AND(Liste!#REF!,"AAAAAH9P/bM=")</f>
        <v>#REF!</v>
      </c>
      <c r="FY48" t="e">
        <f>AND(Liste!#REF!,"AAAAAH9P/bQ=")</f>
        <v>#REF!</v>
      </c>
      <c r="FZ48" t="e">
        <f>AND(Liste!#REF!,"AAAAAH9P/bU=")</f>
        <v>#REF!</v>
      </c>
      <c r="GA48" t="e">
        <f>IF(Liste!#REF!,"AAAAAH9P/bY=",0)</f>
        <v>#REF!</v>
      </c>
      <c r="GB48" t="e">
        <f>AND(Liste!#REF!,"AAAAAH9P/bc=")</f>
        <v>#REF!</v>
      </c>
      <c r="GC48" t="e">
        <f>AND(Liste!#REF!,"AAAAAH9P/bg=")</f>
        <v>#REF!</v>
      </c>
      <c r="GD48" t="e">
        <f>AND(Liste!#REF!,"AAAAAH9P/bk=")</f>
        <v>#REF!</v>
      </c>
      <c r="GE48" t="e">
        <f>AND(Liste!#REF!,"AAAAAH9P/bo=")</f>
        <v>#REF!</v>
      </c>
      <c r="GF48" t="e">
        <f>AND(Liste!#REF!,"AAAAAH9P/bs=")</f>
        <v>#REF!</v>
      </c>
      <c r="GG48" t="e">
        <f>AND(Liste!#REF!,"AAAAAH9P/bw=")</f>
        <v>#REF!</v>
      </c>
      <c r="GH48" t="e">
        <f>AND(Liste!#REF!,"AAAAAH9P/b0=")</f>
        <v>#REF!</v>
      </c>
      <c r="GI48" t="e">
        <f>AND(Liste!#REF!,"AAAAAH9P/b4=")</f>
        <v>#REF!</v>
      </c>
      <c r="GJ48" t="e">
        <f>AND(Liste!#REF!,"AAAAAH9P/b8=")</f>
        <v>#REF!</v>
      </c>
      <c r="GK48" t="e">
        <f>AND(Liste!#REF!,"AAAAAH9P/cA=")</f>
        <v>#REF!</v>
      </c>
      <c r="GL48" t="e">
        <f>AND(Liste!#REF!,"AAAAAH9P/cE=")</f>
        <v>#REF!</v>
      </c>
      <c r="GM48" t="e">
        <f>AND(Liste!#REF!,"AAAAAH9P/cI=")</f>
        <v>#REF!</v>
      </c>
      <c r="GN48" t="e">
        <f>AND(Liste!#REF!,"AAAAAH9P/cM=")</f>
        <v>#REF!</v>
      </c>
      <c r="GO48" t="e">
        <f>AND(Liste!#REF!,"AAAAAH9P/cQ=")</f>
        <v>#REF!</v>
      </c>
      <c r="GP48" t="e">
        <f>AND(Liste!#REF!,"AAAAAH9P/cU=")</f>
        <v>#REF!</v>
      </c>
      <c r="GQ48" t="e">
        <f>AND(Liste!#REF!,"AAAAAH9P/cY=")</f>
        <v>#REF!</v>
      </c>
      <c r="GR48" t="e">
        <f>AND(Liste!#REF!,"AAAAAH9P/cc=")</f>
        <v>#REF!</v>
      </c>
      <c r="GS48" t="e">
        <f>AND(Liste!#REF!,"AAAAAH9P/cg=")</f>
        <v>#REF!</v>
      </c>
      <c r="GT48" t="e">
        <f>AND(Liste!#REF!,"AAAAAH9P/ck=")</f>
        <v>#REF!</v>
      </c>
      <c r="GU48" t="e">
        <f>AND(Liste!#REF!,"AAAAAH9P/co=")</f>
        <v>#REF!</v>
      </c>
      <c r="GV48" t="e">
        <f>AND(Liste!#REF!,"AAAAAH9P/cs=")</f>
        <v>#REF!</v>
      </c>
      <c r="GW48" t="e">
        <f>AND(Liste!#REF!,"AAAAAH9P/cw=")</f>
        <v>#REF!</v>
      </c>
      <c r="GX48" t="e">
        <f>AND(Liste!#REF!,"AAAAAH9P/c0=")</f>
        <v>#REF!</v>
      </c>
      <c r="GY48" t="e">
        <f>AND(Liste!#REF!,"AAAAAH9P/c4=")</f>
        <v>#REF!</v>
      </c>
      <c r="GZ48" t="e">
        <f>AND(Liste!#REF!,"AAAAAH9P/c8=")</f>
        <v>#REF!</v>
      </c>
      <c r="HA48" t="e">
        <f>AND(Liste!#REF!,"AAAAAH9P/dA=")</f>
        <v>#REF!</v>
      </c>
      <c r="HB48" t="e">
        <f>AND(Liste!#REF!,"AAAAAH9P/dE=")</f>
        <v>#REF!</v>
      </c>
      <c r="HC48" t="e">
        <f>AND(Liste!#REF!,"AAAAAH9P/dI=")</f>
        <v>#REF!</v>
      </c>
      <c r="HD48" t="e">
        <f>AND(Liste!#REF!,"AAAAAH9P/dM=")</f>
        <v>#REF!</v>
      </c>
      <c r="HE48" t="e">
        <f>AND(Liste!#REF!,"AAAAAH9P/dQ=")</f>
        <v>#REF!</v>
      </c>
      <c r="HF48" t="e">
        <f>IF(Liste!#REF!,"AAAAAH9P/dU=",0)</f>
        <v>#REF!</v>
      </c>
      <c r="HG48" t="e">
        <f>AND(Liste!#REF!,"AAAAAH9P/dY=")</f>
        <v>#REF!</v>
      </c>
      <c r="HH48" t="e">
        <f>AND(Liste!#REF!,"AAAAAH9P/dc=")</f>
        <v>#REF!</v>
      </c>
      <c r="HI48" t="e">
        <f>AND(Liste!#REF!,"AAAAAH9P/dg=")</f>
        <v>#REF!</v>
      </c>
      <c r="HJ48" t="e">
        <f>AND(Liste!#REF!,"AAAAAH9P/dk=")</f>
        <v>#REF!</v>
      </c>
      <c r="HK48" t="e">
        <f>AND(Liste!#REF!,"AAAAAH9P/do=")</f>
        <v>#REF!</v>
      </c>
      <c r="HL48" t="e">
        <f>AND(Liste!#REF!,"AAAAAH9P/ds=")</f>
        <v>#REF!</v>
      </c>
      <c r="HM48" t="e">
        <f>AND(Liste!#REF!,"AAAAAH9P/dw=")</f>
        <v>#REF!</v>
      </c>
      <c r="HN48" t="e">
        <f>AND(Liste!#REF!,"AAAAAH9P/d0=")</f>
        <v>#REF!</v>
      </c>
      <c r="HO48" t="e">
        <f>AND(Liste!#REF!,"AAAAAH9P/d4=")</f>
        <v>#REF!</v>
      </c>
      <c r="HP48" t="e">
        <f>AND(Liste!#REF!,"AAAAAH9P/d8=")</f>
        <v>#REF!</v>
      </c>
      <c r="HQ48" t="e">
        <f>AND(Liste!#REF!,"AAAAAH9P/eA=")</f>
        <v>#REF!</v>
      </c>
      <c r="HR48" t="e">
        <f>AND(Liste!#REF!,"AAAAAH9P/eE=")</f>
        <v>#REF!</v>
      </c>
      <c r="HS48" t="e">
        <f>AND(Liste!#REF!,"AAAAAH9P/eI=")</f>
        <v>#REF!</v>
      </c>
      <c r="HT48" t="e">
        <f>AND(Liste!#REF!,"AAAAAH9P/eM=")</f>
        <v>#REF!</v>
      </c>
      <c r="HU48" t="e">
        <f>AND(Liste!#REF!,"AAAAAH9P/eQ=")</f>
        <v>#REF!</v>
      </c>
      <c r="HV48" t="e">
        <f>AND(Liste!#REF!,"AAAAAH9P/eU=")</f>
        <v>#REF!</v>
      </c>
      <c r="HW48" t="e">
        <f>AND(Liste!#REF!,"AAAAAH9P/eY=")</f>
        <v>#REF!</v>
      </c>
      <c r="HX48" t="e">
        <f>AND(Liste!#REF!,"AAAAAH9P/ec=")</f>
        <v>#REF!</v>
      </c>
      <c r="HY48" t="e">
        <f>AND(Liste!#REF!,"AAAAAH9P/eg=")</f>
        <v>#REF!</v>
      </c>
      <c r="HZ48" t="e">
        <f>AND(Liste!#REF!,"AAAAAH9P/ek=")</f>
        <v>#REF!</v>
      </c>
      <c r="IA48" t="e">
        <f>AND(Liste!#REF!,"AAAAAH9P/eo=")</f>
        <v>#REF!</v>
      </c>
      <c r="IB48" t="e">
        <f>AND(Liste!#REF!,"AAAAAH9P/es=")</f>
        <v>#REF!</v>
      </c>
      <c r="IC48" t="e">
        <f>AND(Liste!#REF!,"AAAAAH9P/ew=")</f>
        <v>#REF!</v>
      </c>
      <c r="ID48" t="e">
        <f>AND(Liste!#REF!,"AAAAAH9P/e0=")</f>
        <v>#REF!</v>
      </c>
      <c r="IE48" t="e">
        <f>AND(Liste!#REF!,"AAAAAH9P/e4=")</f>
        <v>#REF!</v>
      </c>
      <c r="IF48" t="e">
        <f>AND(Liste!#REF!,"AAAAAH9P/e8=")</f>
        <v>#REF!</v>
      </c>
      <c r="IG48" t="e">
        <f>AND(Liste!#REF!,"AAAAAH9P/fA=")</f>
        <v>#REF!</v>
      </c>
      <c r="IH48" t="e">
        <f>AND(Liste!#REF!,"AAAAAH9P/fE=")</f>
        <v>#REF!</v>
      </c>
      <c r="II48" t="e">
        <f>AND(Liste!#REF!,"AAAAAH9P/fI=")</f>
        <v>#REF!</v>
      </c>
      <c r="IJ48" t="e">
        <f>AND(Liste!#REF!,"AAAAAH9P/fM=")</f>
        <v>#REF!</v>
      </c>
      <c r="IK48" t="e">
        <f>IF(Liste!#REF!,"AAAAAH9P/fQ=",0)</f>
        <v>#REF!</v>
      </c>
      <c r="IL48" t="e">
        <f>AND(Liste!#REF!,"AAAAAH9P/fU=")</f>
        <v>#REF!</v>
      </c>
      <c r="IM48" t="e">
        <f>AND(Liste!#REF!,"AAAAAH9P/fY=")</f>
        <v>#REF!</v>
      </c>
      <c r="IN48" t="e">
        <f>AND(Liste!#REF!,"AAAAAH9P/fc=")</f>
        <v>#REF!</v>
      </c>
      <c r="IO48" t="e">
        <f>AND(Liste!#REF!,"AAAAAH9P/fg=")</f>
        <v>#REF!</v>
      </c>
      <c r="IP48" t="e">
        <f>AND(Liste!#REF!,"AAAAAH9P/fk=")</f>
        <v>#REF!</v>
      </c>
      <c r="IQ48" t="e">
        <f>AND(Liste!#REF!,"AAAAAH9P/fo=")</f>
        <v>#REF!</v>
      </c>
      <c r="IR48" t="e">
        <f>AND(Liste!#REF!,"AAAAAH9P/fs=")</f>
        <v>#REF!</v>
      </c>
      <c r="IS48" t="e">
        <f>AND(Liste!#REF!,"AAAAAH9P/fw=")</f>
        <v>#REF!</v>
      </c>
      <c r="IT48" t="e">
        <f>AND(Liste!#REF!,"AAAAAH9P/f0=")</f>
        <v>#REF!</v>
      </c>
      <c r="IU48" t="e">
        <f>AND(Liste!#REF!,"AAAAAH9P/f4=")</f>
        <v>#REF!</v>
      </c>
      <c r="IV48" t="e">
        <f>AND(Liste!#REF!,"AAAAAH9P/f8=")</f>
        <v>#REF!</v>
      </c>
    </row>
    <row r="49" spans="1:256" x14ac:dyDescent="0.2">
      <c r="A49" t="e">
        <f>AND(Liste!#REF!,"AAAAAH9NPgA=")</f>
        <v>#REF!</v>
      </c>
      <c r="B49" t="e">
        <f>AND(Liste!#REF!,"AAAAAH9NPgE=")</f>
        <v>#REF!</v>
      </c>
      <c r="C49" t="e">
        <f>AND(Liste!#REF!,"AAAAAH9NPgI=")</f>
        <v>#REF!</v>
      </c>
      <c r="D49" t="e">
        <f>AND(Liste!#REF!,"AAAAAH9NPgM=")</f>
        <v>#REF!</v>
      </c>
      <c r="E49" t="e">
        <f>AND(Liste!#REF!,"AAAAAH9NPgQ=")</f>
        <v>#REF!</v>
      </c>
      <c r="F49" t="e">
        <f>AND(Liste!#REF!,"AAAAAH9NPgU=")</f>
        <v>#REF!</v>
      </c>
      <c r="G49" t="e">
        <f>AND(Liste!#REF!,"AAAAAH9NPgY=")</f>
        <v>#REF!</v>
      </c>
      <c r="H49" t="e">
        <f>AND(Liste!#REF!,"AAAAAH9NPgc=")</f>
        <v>#REF!</v>
      </c>
      <c r="I49" t="e">
        <f>AND(Liste!#REF!,"AAAAAH9NPgg=")</f>
        <v>#REF!</v>
      </c>
      <c r="J49" t="e">
        <f>AND(Liste!#REF!,"AAAAAH9NPgk=")</f>
        <v>#REF!</v>
      </c>
      <c r="K49" t="e">
        <f>AND(Liste!#REF!,"AAAAAH9NPgo=")</f>
        <v>#REF!</v>
      </c>
      <c r="L49" t="e">
        <f>AND(Liste!#REF!,"AAAAAH9NPgs=")</f>
        <v>#REF!</v>
      </c>
      <c r="M49" t="e">
        <f>AND(Liste!#REF!,"AAAAAH9NPgw=")</f>
        <v>#REF!</v>
      </c>
      <c r="N49" t="e">
        <f>AND(Liste!#REF!,"AAAAAH9NPg0=")</f>
        <v>#REF!</v>
      </c>
      <c r="O49" t="e">
        <f>AND(Liste!#REF!,"AAAAAH9NPg4=")</f>
        <v>#REF!</v>
      </c>
      <c r="P49" t="e">
        <f>AND(Liste!#REF!,"AAAAAH9NPg8=")</f>
        <v>#REF!</v>
      </c>
      <c r="Q49" t="e">
        <f>AND(Liste!#REF!,"AAAAAH9NPhA=")</f>
        <v>#REF!</v>
      </c>
      <c r="R49" t="e">
        <f>AND(Liste!#REF!,"AAAAAH9NPhE=")</f>
        <v>#REF!</v>
      </c>
      <c r="S49" t="e">
        <f>AND(Liste!#REF!,"AAAAAH9NPhI=")</f>
        <v>#REF!</v>
      </c>
      <c r="T49" t="e">
        <f>IF(Liste!#REF!,"AAAAAH9NPhM=",0)</f>
        <v>#REF!</v>
      </c>
      <c r="U49" t="e">
        <f>AND(Liste!#REF!,"AAAAAH9NPhQ=")</f>
        <v>#REF!</v>
      </c>
      <c r="V49" t="e">
        <f>AND(Liste!#REF!,"AAAAAH9NPhU=")</f>
        <v>#REF!</v>
      </c>
      <c r="W49" t="e">
        <f>AND(Liste!#REF!,"AAAAAH9NPhY=")</f>
        <v>#REF!</v>
      </c>
      <c r="X49" t="e">
        <f>AND(Liste!#REF!,"AAAAAH9NPhc=")</f>
        <v>#REF!</v>
      </c>
      <c r="Y49" t="e">
        <f>AND(Liste!#REF!,"AAAAAH9NPhg=")</f>
        <v>#REF!</v>
      </c>
      <c r="Z49" t="e">
        <f>AND(Liste!#REF!,"AAAAAH9NPhk=")</f>
        <v>#REF!</v>
      </c>
      <c r="AA49" t="e">
        <f>AND(Liste!#REF!,"AAAAAH9NPho=")</f>
        <v>#REF!</v>
      </c>
      <c r="AB49" t="e">
        <f>AND(Liste!#REF!,"AAAAAH9NPhs=")</f>
        <v>#REF!</v>
      </c>
      <c r="AC49" t="e">
        <f>AND(Liste!#REF!,"AAAAAH9NPhw=")</f>
        <v>#REF!</v>
      </c>
      <c r="AD49" t="e">
        <f>AND(Liste!#REF!,"AAAAAH9NPh0=")</f>
        <v>#REF!</v>
      </c>
      <c r="AE49" t="e">
        <f>AND(Liste!#REF!,"AAAAAH9NPh4=")</f>
        <v>#REF!</v>
      </c>
      <c r="AF49" t="e">
        <f>AND(Liste!#REF!,"AAAAAH9NPh8=")</f>
        <v>#REF!</v>
      </c>
      <c r="AG49" t="e">
        <f>AND(Liste!#REF!,"AAAAAH9NPiA=")</f>
        <v>#REF!</v>
      </c>
      <c r="AH49" t="e">
        <f>AND(Liste!#REF!,"AAAAAH9NPiE=")</f>
        <v>#REF!</v>
      </c>
      <c r="AI49" t="e">
        <f>AND(Liste!#REF!,"AAAAAH9NPiI=")</f>
        <v>#REF!</v>
      </c>
      <c r="AJ49" t="e">
        <f>AND(Liste!#REF!,"AAAAAH9NPiM=")</f>
        <v>#REF!</v>
      </c>
      <c r="AK49" t="e">
        <f>AND(Liste!#REF!,"AAAAAH9NPiQ=")</f>
        <v>#REF!</v>
      </c>
      <c r="AL49" t="e">
        <f>AND(Liste!#REF!,"AAAAAH9NPiU=")</f>
        <v>#REF!</v>
      </c>
      <c r="AM49" t="e">
        <f>AND(Liste!#REF!,"AAAAAH9NPiY=")</f>
        <v>#REF!</v>
      </c>
      <c r="AN49" t="e">
        <f>AND(Liste!#REF!,"AAAAAH9NPic=")</f>
        <v>#REF!</v>
      </c>
      <c r="AO49" t="e">
        <f>AND(Liste!#REF!,"AAAAAH9NPig=")</f>
        <v>#REF!</v>
      </c>
      <c r="AP49" t="e">
        <f>AND(Liste!#REF!,"AAAAAH9NPik=")</f>
        <v>#REF!</v>
      </c>
      <c r="AQ49" t="e">
        <f>AND(Liste!#REF!,"AAAAAH9NPio=")</f>
        <v>#REF!</v>
      </c>
      <c r="AR49" t="e">
        <f>AND(Liste!#REF!,"AAAAAH9NPis=")</f>
        <v>#REF!</v>
      </c>
      <c r="AS49" t="e">
        <f>AND(Liste!#REF!,"AAAAAH9NPiw=")</f>
        <v>#REF!</v>
      </c>
      <c r="AT49" t="e">
        <f>AND(Liste!#REF!,"AAAAAH9NPi0=")</f>
        <v>#REF!</v>
      </c>
      <c r="AU49" t="e">
        <f>AND(Liste!#REF!,"AAAAAH9NPi4=")</f>
        <v>#REF!</v>
      </c>
      <c r="AV49" t="e">
        <f>AND(Liste!#REF!,"AAAAAH9NPi8=")</f>
        <v>#REF!</v>
      </c>
      <c r="AW49" t="e">
        <f>AND(Liste!#REF!,"AAAAAH9NPjA=")</f>
        <v>#REF!</v>
      </c>
      <c r="AX49" t="e">
        <f>AND(Liste!#REF!,"AAAAAH9NPjE=")</f>
        <v>#REF!</v>
      </c>
      <c r="AY49" t="e">
        <f>IF(Liste!#REF!,"AAAAAH9NPjI=",0)</f>
        <v>#REF!</v>
      </c>
      <c r="AZ49" t="e">
        <f>AND(Liste!#REF!,"AAAAAH9NPjM=")</f>
        <v>#REF!</v>
      </c>
      <c r="BA49" t="e">
        <f>AND(Liste!#REF!,"AAAAAH9NPjQ=")</f>
        <v>#REF!</v>
      </c>
      <c r="BB49" t="e">
        <f>AND(Liste!#REF!,"AAAAAH9NPjU=")</f>
        <v>#REF!</v>
      </c>
      <c r="BC49" t="e">
        <f>AND(Liste!#REF!,"AAAAAH9NPjY=")</f>
        <v>#REF!</v>
      </c>
      <c r="BD49" t="e">
        <f>AND(Liste!#REF!,"AAAAAH9NPjc=")</f>
        <v>#REF!</v>
      </c>
      <c r="BE49" t="e">
        <f>AND(Liste!#REF!,"AAAAAH9NPjg=")</f>
        <v>#REF!</v>
      </c>
      <c r="BF49" t="e">
        <f>AND(Liste!#REF!,"AAAAAH9NPjk=")</f>
        <v>#REF!</v>
      </c>
      <c r="BG49" t="e">
        <f>AND(Liste!#REF!,"AAAAAH9NPjo=")</f>
        <v>#REF!</v>
      </c>
      <c r="BH49" t="e">
        <f>AND(Liste!#REF!,"AAAAAH9NPjs=")</f>
        <v>#REF!</v>
      </c>
      <c r="BI49" t="e">
        <f>AND(Liste!#REF!,"AAAAAH9NPjw=")</f>
        <v>#REF!</v>
      </c>
      <c r="BJ49" t="e">
        <f>AND(Liste!#REF!,"AAAAAH9NPj0=")</f>
        <v>#REF!</v>
      </c>
      <c r="BK49" t="e">
        <f>AND(Liste!#REF!,"AAAAAH9NPj4=")</f>
        <v>#REF!</v>
      </c>
      <c r="BL49" t="e">
        <f>AND(Liste!#REF!,"AAAAAH9NPj8=")</f>
        <v>#REF!</v>
      </c>
      <c r="BM49" t="e">
        <f>AND(Liste!#REF!,"AAAAAH9NPkA=")</f>
        <v>#REF!</v>
      </c>
      <c r="BN49" t="e">
        <f>AND(Liste!#REF!,"AAAAAH9NPkE=")</f>
        <v>#REF!</v>
      </c>
      <c r="BO49" t="e">
        <f>AND(Liste!#REF!,"AAAAAH9NPkI=")</f>
        <v>#REF!</v>
      </c>
      <c r="BP49" t="e">
        <f>AND(Liste!#REF!,"AAAAAH9NPkM=")</f>
        <v>#REF!</v>
      </c>
      <c r="BQ49" t="e">
        <f>AND(Liste!#REF!,"AAAAAH9NPkQ=")</f>
        <v>#REF!</v>
      </c>
      <c r="BR49" t="e">
        <f>AND(Liste!#REF!,"AAAAAH9NPkU=")</f>
        <v>#REF!</v>
      </c>
      <c r="BS49" t="e">
        <f>AND(Liste!#REF!,"AAAAAH9NPkY=")</f>
        <v>#REF!</v>
      </c>
      <c r="BT49" t="e">
        <f>AND(Liste!#REF!,"AAAAAH9NPkc=")</f>
        <v>#REF!</v>
      </c>
      <c r="BU49" t="e">
        <f>AND(Liste!#REF!,"AAAAAH9NPkg=")</f>
        <v>#REF!</v>
      </c>
      <c r="BV49" t="e">
        <f>AND(Liste!#REF!,"AAAAAH9NPkk=")</f>
        <v>#REF!</v>
      </c>
      <c r="BW49" t="e">
        <f>AND(Liste!#REF!,"AAAAAH9NPko=")</f>
        <v>#REF!</v>
      </c>
      <c r="BX49" t="e">
        <f>AND(Liste!#REF!,"AAAAAH9NPks=")</f>
        <v>#REF!</v>
      </c>
      <c r="BY49" t="e">
        <f>AND(Liste!#REF!,"AAAAAH9NPkw=")</f>
        <v>#REF!</v>
      </c>
      <c r="BZ49" t="e">
        <f>AND(Liste!#REF!,"AAAAAH9NPk0=")</f>
        <v>#REF!</v>
      </c>
      <c r="CA49" t="e">
        <f>AND(Liste!#REF!,"AAAAAH9NPk4=")</f>
        <v>#REF!</v>
      </c>
      <c r="CB49" t="e">
        <f>AND(Liste!#REF!,"AAAAAH9NPk8=")</f>
        <v>#REF!</v>
      </c>
      <c r="CC49" t="e">
        <f>AND(Liste!#REF!,"AAAAAH9NPlA=")</f>
        <v>#REF!</v>
      </c>
      <c r="CD49" t="e">
        <f>IF(Liste!#REF!,"AAAAAH9NPlE=",0)</f>
        <v>#REF!</v>
      </c>
      <c r="CE49" t="e">
        <f>AND(Liste!#REF!,"AAAAAH9NPlI=")</f>
        <v>#REF!</v>
      </c>
      <c r="CF49" t="e">
        <f>AND(Liste!#REF!,"AAAAAH9NPlM=")</f>
        <v>#REF!</v>
      </c>
      <c r="CG49" t="e">
        <f>AND(Liste!#REF!,"AAAAAH9NPlQ=")</f>
        <v>#REF!</v>
      </c>
      <c r="CH49" t="e">
        <f>AND(Liste!#REF!,"AAAAAH9NPlU=")</f>
        <v>#REF!</v>
      </c>
      <c r="CI49" t="e">
        <f>AND(Liste!#REF!,"AAAAAH9NPlY=")</f>
        <v>#REF!</v>
      </c>
      <c r="CJ49" t="e">
        <f>AND(Liste!#REF!,"AAAAAH9NPlc=")</f>
        <v>#REF!</v>
      </c>
      <c r="CK49" t="e">
        <f>AND(Liste!#REF!,"AAAAAH9NPlg=")</f>
        <v>#REF!</v>
      </c>
      <c r="CL49" t="e">
        <f>AND(Liste!#REF!,"AAAAAH9NPlk=")</f>
        <v>#REF!</v>
      </c>
      <c r="CM49" t="e">
        <f>AND(Liste!#REF!,"AAAAAH9NPlo=")</f>
        <v>#REF!</v>
      </c>
      <c r="CN49" t="e">
        <f>AND(Liste!#REF!,"AAAAAH9NPls=")</f>
        <v>#REF!</v>
      </c>
      <c r="CO49" t="e">
        <f>AND(Liste!#REF!,"AAAAAH9NPlw=")</f>
        <v>#REF!</v>
      </c>
      <c r="CP49" t="e">
        <f>AND(Liste!#REF!,"AAAAAH9NPl0=")</f>
        <v>#REF!</v>
      </c>
      <c r="CQ49" t="e">
        <f>AND(Liste!#REF!,"AAAAAH9NPl4=")</f>
        <v>#REF!</v>
      </c>
      <c r="CR49" t="e">
        <f>AND(Liste!#REF!,"AAAAAH9NPl8=")</f>
        <v>#REF!</v>
      </c>
      <c r="CS49" t="e">
        <f>AND(Liste!#REF!,"AAAAAH9NPmA=")</f>
        <v>#REF!</v>
      </c>
      <c r="CT49" t="e">
        <f>AND(Liste!#REF!,"AAAAAH9NPmE=")</f>
        <v>#REF!</v>
      </c>
      <c r="CU49" t="e">
        <f>AND(Liste!#REF!,"AAAAAH9NPmI=")</f>
        <v>#REF!</v>
      </c>
      <c r="CV49" t="e">
        <f>AND(Liste!#REF!,"AAAAAH9NPmM=")</f>
        <v>#REF!</v>
      </c>
      <c r="CW49" t="e">
        <f>AND(Liste!#REF!,"AAAAAH9NPmQ=")</f>
        <v>#REF!</v>
      </c>
      <c r="CX49" t="e">
        <f>AND(Liste!#REF!,"AAAAAH9NPmU=")</f>
        <v>#REF!</v>
      </c>
      <c r="CY49" t="e">
        <f>AND(Liste!#REF!,"AAAAAH9NPmY=")</f>
        <v>#REF!</v>
      </c>
      <c r="CZ49" t="e">
        <f>AND(Liste!#REF!,"AAAAAH9NPmc=")</f>
        <v>#REF!</v>
      </c>
      <c r="DA49" t="e">
        <f>AND(Liste!#REF!,"AAAAAH9NPmg=")</f>
        <v>#REF!</v>
      </c>
      <c r="DB49" t="e">
        <f>AND(Liste!#REF!,"AAAAAH9NPmk=")</f>
        <v>#REF!</v>
      </c>
      <c r="DC49" t="e">
        <f>AND(Liste!#REF!,"AAAAAH9NPmo=")</f>
        <v>#REF!</v>
      </c>
      <c r="DD49" t="e">
        <f>AND(Liste!#REF!,"AAAAAH9NPms=")</f>
        <v>#REF!</v>
      </c>
      <c r="DE49" t="e">
        <f>AND(Liste!#REF!,"AAAAAH9NPmw=")</f>
        <v>#REF!</v>
      </c>
      <c r="DF49" t="e">
        <f>AND(Liste!#REF!,"AAAAAH9NPm0=")</f>
        <v>#REF!</v>
      </c>
      <c r="DG49" t="e">
        <f>AND(Liste!#REF!,"AAAAAH9NPm4=")</f>
        <v>#REF!</v>
      </c>
      <c r="DH49" t="e">
        <f>AND(Liste!#REF!,"AAAAAH9NPm8=")</f>
        <v>#REF!</v>
      </c>
      <c r="DI49" t="e">
        <f>IF(Liste!#REF!,"AAAAAH9NPnA=",0)</f>
        <v>#REF!</v>
      </c>
      <c r="DJ49" t="e">
        <f>AND(Liste!#REF!,"AAAAAH9NPnE=")</f>
        <v>#REF!</v>
      </c>
      <c r="DK49" t="e">
        <f>AND(Liste!#REF!,"AAAAAH9NPnI=")</f>
        <v>#REF!</v>
      </c>
      <c r="DL49" t="e">
        <f>AND(Liste!#REF!,"AAAAAH9NPnM=")</f>
        <v>#REF!</v>
      </c>
      <c r="DM49" t="e">
        <f>AND(Liste!#REF!,"AAAAAH9NPnQ=")</f>
        <v>#REF!</v>
      </c>
      <c r="DN49" t="e">
        <f>AND(Liste!#REF!,"AAAAAH9NPnU=")</f>
        <v>#REF!</v>
      </c>
      <c r="DO49" t="e">
        <f>AND(Liste!#REF!,"AAAAAH9NPnY=")</f>
        <v>#REF!</v>
      </c>
      <c r="DP49" t="e">
        <f>AND(Liste!#REF!,"AAAAAH9NPnc=")</f>
        <v>#REF!</v>
      </c>
      <c r="DQ49" t="e">
        <f>AND(Liste!#REF!,"AAAAAH9NPng=")</f>
        <v>#REF!</v>
      </c>
      <c r="DR49" t="e">
        <f>AND(Liste!#REF!,"AAAAAH9NPnk=")</f>
        <v>#REF!</v>
      </c>
      <c r="DS49" t="e">
        <f>AND(Liste!#REF!,"AAAAAH9NPno=")</f>
        <v>#REF!</v>
      </c>
      <c r="DT49" t="e">
        <f>AND(Liste!#REF!,"AAAAAH9NPns=")</f>
        <v>#REF!</v>
      </c>
      <c r="DU49" t="e">
        <f>AND(Liste!#REF!,"AAAAAH9NPnw=")</f>
        <v>#REF!</v>
      </c>
      <c r="DV49" t="e">
        <f>AND(Liste!#REF!,"AAAAAH9NPn0=")</f>
        <v>#REF!</v>
      </c>
      <c r="DW49" t="e">
        <f>AND(Liste!#REF!,"AAAAAH9NPn4=")</f>
        <v>#REF!</v>
      </c>
      <c r="DX49" t="e">
        <f>AND(Liste!#REF!,"AAAAAH9NPn8=")</f>
        <v>#REF!</v>
      </c>
      <c r="DY49" t="e">
        <f>AND(Liste!#REF!,"AAAAAH9NPoA=")</f>
        <v>#REF!</v>
      </c>
      <c r="DZ49" t="e">
        <f>AND(Liste!#REF!,"AAAAAH9NPoE=")</f>
        <v>#REF!</v>
      </c>
      <c r="EA49" t="e">
        <f>AND(Liste!#REF!,"AAAAAH9NPoI=")</f>
        <v>#REF!</v>
      </c>
      <c r="EB49" t="e">
        <f>AND(Liste!#REF!,"AAAAAH9NPoM=")</f>
        <v>#REF!</v>
      </c>
      <c r="EC49" t="e">
        <f>AND(Liste!#REF!,"AAAAAH9NPoQ=")</f>
        <v>#REF!</v>
      </c>
      <c r="ED49" t="e">
        <f>AND(Liste!#REF!,"AAAAAH9NPoU=")</f>
        <v>#REF!</v>
      </c>
      <c r="EE49" t="e">
        <f>AND(Liste!#REF!,"AAAAAH9NPoY=")</f>
        <v>#REF!</v>
      </c>
      <c r="EF49" t="e">
        <f>AND(Liste!#REF!,"AAAAAH9NPoc=")</f>
        <v>#REF!</v>
      </c>
      <c r="EG49" t="e">
        <f>AND(Liste!#REF!,"AAAAAH9NPog=")</f>
        <v>#REF!</v>
      </c>
      <c r="EH49" t="e">
        <f>AND(Liste!#REF!,"AAAAAH9NPok=")</f>
        <v>#REF!</v>
      </c>
      <c r="EI49" t="e">
        <f>AND(Liste!#REF!,"AAAAAH9NPoo=")</f>
        <v>#REF!</v>
      </c>
      <c r="EJ49" t="e">
        <f>AND(Liste!#REF!,"AAAAAH9NPos=")</f>
        <v>#REF!</v>
      </c>
      <c r="EK49" t="e">
        <f>AND(Liste!#REF!,"AAAAAH9NPow=")</f>
        <v>#REF!</v>
      </c>
      <c r="EL49" t="e">
        <f>AND(Liste!#REF!,"AAAAAH9NPo0=")</f>
        <v>#REF!</v>
      </c>
      <c r="EM49" t="e">
        <f>AND(Liste!#REF!,"AAAAAH9NPo4=")</f>
        <v>#REF!</v>
      </c>
      <c r="EN49" t="e">
        <f>IF(Liste!#REF!,"AAAAAH9NPo8=",0)</f>
        <v>#REF!</v>
      </c>
      <c r="EO49" t="e">
        <f>AND(Liste!#REF!,"AAAAAH9NPpA=")</f>
        <v>#REF!</v>
      </c>
      <c r="EP49" t="e">
        <f>AND(Liste!#REF!,"AAAAAH9NPpE=")</f>
        <v>#REF!</v>
      </c>
      <c r="EQ49" t="e">
        <f>AND(Liste!#REF!,"AAAAAH9NPpI=")</f>
        <v>#REF!</v>
      </c>
      <c r="ER49" t="e">
        <f>AND(Liste!#REF!,"AAAAAH9NPpM=")</f>
        <v>#REF!</v>
      </c>
      <c r="ES49" t="e">
        <f>AND(Liste!#REF!,"AAAAAH9NPpQ=")</f>
        <v>#REF!</v>
      </c>
      <c r="ET49" t="e">
        <f>AND(Liste!#REF!,"AAAAAH9NPpU=")</f>
        <v>#REF!</v>
      </c>
      <c r="EU49" t="e">
        <f>AND(Liste!#REF!,"AAAAAH9NPpY=")</f>
        <v>#REF!</v>
      </c>
      <c r="EV49" t="e">
        <f>AND(Liste!#REF!,"AAAAAH9NPpc=")</f>
        <v>#REF!</v>
      </c>
      <c r="EW49" t="e">
        <f>AND(Liste!#REF!,"AAAAAH9NPpg=")</f>
        <v>#REF!</v>
      </c>
      <c r="EX49" t="e">
        <f>AND(Liste!#REF!,"AAAAAH9NPpk=")</f>
        <v>#REF!</v>
      </c>
      <c r="EY49" t="e">
        <f>AND(Liste!#REF!,"AAAAAH9NPpo=")</f>
        <v>#REF!</v>
      </c>
      <c r="EZ49" t="e">
        <f>AND(Liste!#REF!,"AAAAAH9NPps=")</f>
        <v>#REF!</v>
      </c>
      <c r="FA49" t="e">
        <f>AND(Liste!#REF!,"AAAAAH9NPpw=")</f>
        <v>#REF!</v>
      </c>
      <c r="FB49" t="e">
        <f>AND(Liste!#REF!,"AAAAAH9NPp0=")</f>
        <v>#REF!</v>
      </c>
      <c r="FC49" t="e">
        <f>AND(Liste!#REF!,"AAAAAH9NPp4=")</f>
        <v>#REF!</v>
      </c>
      <c r="FD49" t="e">
        <f>AND(Liste!#REF!,"AAAAAH9NPp8=")</f>
        <v>#REF!</v>
      </c>
      <c r="FE49" t="e">
        <f>AND(Liste!#REF!,"AAAAAH9NPqA=")</f>
        <v>#REF!</v>
      </c>
      <c r="FF49" t="e">
        <f>AND(Liste!#REF!,"AAAAAH9NPqE=")</f>
        <v>#REF!</v>
      </c>
      <c r="FG49" t="e">
        <f>AND(Liste!#REF!,"AAAAAH9NPqI=")</f>
        <v>#REF!</v>
      </c>
      <c r="FH49" t="e">
        <f>AND(Liste!#REF!,"AAAAAH9NPqM=")</f>
        <v>#REF!</v>
      </c>
      <c r="FI49" t="e">
        <f>AND(Liste!#REF!,"AAAAAH9NPqQ=")</f>
        <v>#REF!</v>
      </c>
      <c r="FJ49" t="e">
        <f>AND(Liste!#REF!,"AAAAAH9NPqU=")</f>
        <v>#REF!</v>
      </c>
      <c r="FK49" t="e">
        <f>AND(Liste!#REF!,"AAAAAH9NPqY=")</f>
        <v>#REF!</v>
      </c>
      <c r="FL49" t="e">
        <f>AND(Liste!#REF!,"AAAAAH9NPqc=")</f>
        <v>#REF!</v>
      </c>
      <c r="FM49" t="e">
        <f>AND(Liste!#REF!,"AAAAAH9NPqg=")</f>
        <v>#REF!</v>
      </c>
      <c r="FN49" t="e">
        <f>AND(Liste!#REF!,"AAAAAH9NPqk=")</f>
        <v>#REF!</v>
      </c>
      <c r="FO49" t="e">
        <f>AND(Liste!#REF!,"AAAAAH9NPqo=")</f>
        <v>#REF!</v>
      </c>
      <c r="FP49" t="e">
        <f>AND(Liste!#REF!,"AAAAAH9NPqs=")</f>
        <v>#REF!</v>
      </c>
      <c r="FQ49" t="e">
        <f>AND(Liste!#REF!,"AAAAAH9NPqw=")</f>
        <v>#REF!</v>
      </c>
      <c r="FR49" t="e">
        <f>AND(Liste!#REF!,"AAAAAH9NPq0=")</f>
        <v>#REF!</v>
      </c>
      <c r="FS49" t="e">
        <f>IF(Liste!#REF!,"AAAAAH9NPq4=",0)</f>
        <v>#REF!</v>
      </c>
      <c r="FT49" t="e">
        <f>AND(Liste!#REF!,"AAAAAH9NPq8=")</f>
        <v>#REF!</v>
      </c>
      <c r="FU49" t="e">
        <f>AND(Liste!#REF!,"AAAAAH9NPrA=")</f>
        <v>#REF!</v>
      </c>
      <c r="FV49" t="e">
        <f>AND(Liste!#REF!,"AAAAAH9NPrE=")</f>
        <v>#REF!</v>
      </c>
      <c r="FW49" t="e">
        <f>AND(Liste!#REF!,"AAAAAH9NPrI=")</f>
        <v>#REF!</v>
      </c>
      <c r="FX49" t="e">
        <f>AND(Liste!#REF!,"AAAAAH9NPrM=")</f>
        <v>#REF!</v>
      </c>
      <c r="FY49" t="e">
        <f>AND(Liste!#REF!,"AAAAAH9NPrQ=")</f>
        <v>#REF!</v>
      </c>
      <c r="FZ49" t="e">
        <f>AND(Liste!#REF!,"AAAAAH9NPrU=")</f>
        <v>#REF!</v>
      </c>
      <c r="GA49" t="e">
        <f>AND(Liste!#REF!,"AAAAAH9NPrY=")</f>
        <v>#REF!</v>
      </c>
      <c r="GB49" t="e">
        <f>AND(Liste!#REF!,"AAAAAH9NPrc=")</f>
        <v>#REF!</v>
      </c>
      <c r="GC49" t="e">
        <f>AND(Liste!#REF!,"AAAAAH9NPrg=")</f>
        <v>#REF!</v>
      </c>
      <c r="GD49" t="e">
        <f>AND(Liste!#REF!,"AAAAAH9NPrk=")</f>
        <v>#REF!</v>
      </c>
      <c r="GE49" t="e">
        <f>AND(Liste!#REF!,"AAAAAH9NPro=")</f>
        <v>#REF!</v>
      </c>
      <c r="GF49" t="e">
        <f>AND(Liste!#REF!,"AAAAAH9NPrs=")</f>
        <v>#REF!</v>
      </c>
      <c r="GG49" t="e">
        <f>AND(Liste!#REF!,"AAAAAH9NPrw=")</f>
        <v>#REF!</v>
      </c>
      <c r="GH49" t="e">
        <f>AND(Liste!#REF!,"AAAAAH9NPr0=")</f>
        <v>#REF!</v>
      </c>
      <c r="GI49" t="e">
        <f>AND(Liste!#REF!,"AAAAAH9NPr4=")</f>
        <v>#REF!</v>
      </c>
      <c r="GJ49" t="e">
        <f>AND(Liste!#REF!,"AAAAAH9NPr8=")</f>
        <v>#REF!</v>
      </c>
      <c r="GK49" t="e">
        <f>AND(Liste!#REF!,"AAAAAH9NPsA=")</f>
        <v>#REF!</v>
      </c>
      <c r="GL49" t="e">
        <f>AND(Liste!#REF!,"AAAAAH9NPsE=")</f>
        <v>#REF!</v>
      </c>
      <c r="GM49" t="e">
        <f>AND(Liste!#REF!,"AAAAAH9NPsI=")</f>
        <v>#REF!</v>
      </c>
      <c r="GN49" t="e">
        <f>AND(Liste!#REF!,"AAAAAH9NPsM=")</f>
        <v>#REF!</v>
      </c>
      <c r="GO49" t="e">
        <f>AND(Liste!#REF!,"AAAAAH9NPsQ=")</f>
        <v>#REF!</v>
      </c>
      <c r="GP49" t="e">
        <f>AND(Liste!#REF!,"AAAAAH9NPsU=")</f>
        <v>#REF!</v>
      </c>
      <c r="GQ49" t="e">
        <f>AND(Liste!#REF!,"AAAAAH9NPsY=")</f>
        <v>#REF!</v>
      </c>
      <c r="GR49" t="e">
        <f>AND(Liste!#REF!,"AAAAAH9NPsc=")</f>
        <v>#REF!</v>
      </c>
      <c r="GS49" t="e">
        <f>AND(Liste!#REF!,"AAAAAH9NPsg=")</f>
        <v>#REF!</v>
      </c>
      <c r="GT49" t="e">
        <f>AND(Liste!#REF!,"AAAAAH9NPsk=")</f>
        <v>#REF!</v>
      </c>
      <c r="GU49" t="e">
        <f>AND(Liste!#REF!,"AAAAAH9NPso=")</f>
        <v>#REF!</v>
      </c>
      <c r="GV49" t="e">
        <f>AND(Liste!#REF!,"AAAAAH9NPss=")</f>
        <v>#REF!</v>
      </c>
      <c r="GW49" t="e">
        <f>AND(Liste!#REF!,"AAAAAH9NPsw=")</f>
        <v>#REF!</v>
      </c>
      <c r="GX49" t="e">
        <f>IF(Liste!#REF!,"AAAAAH9NPs0=",0)</f>
        <v>#REF!</v>
      </c>
      <c r="GY49" t="e">
        <f>AND(Liste!#REF!,"AAAAAH9NPs4=")</f>
        <v>#REF!</v>
      </c>
      <c r="GZ49" t="e">
        <f>AND(Liste!#REF!,"AAAAAH9NPs8=")</f>
        <v>#REF!</v>
      </c>
      <c r="HA49" t="e">
        <f>AND(Liste!#REF!,"AAAAAH9NPtA=")</f>
        <v>#REF!</v>
      </c>
      <c r="HB49" t="e">
        <f>AND(Liste!#REF!,"AAAAAH9NPtE=")</f>
        <v>#REF!</v>
      </c>
      <c r="HC49" t="e">
        <f>AND(Liste!#REF!,"AAAAAH9NPtI=")</f>
        <v>#REF!</v>
      </c>
      <c r="HD49" t="e">
        <f>AND(Liste!#REF!,"AAAAAH9NPtM=")</f>
        <v>#REF!</v>
      </c>
      <c r="HE49" t="e">
        <f>AND(Liste!#REF!,"AAAAAH9NPtQ=")</f>
        <v>#REF!</v>
      </c>
      <c r="HF49" t="e">
        <f>AND(Liste!#REF!,"AAAAAH9NPtU=")</f>
        <v>#REF!</v>
      </c>
      <c r="HG49" t="e">
        <f>AND(Liste!#REF!,"AAAAAH9NPtY=")</f>
        <v>#REF!</v>
      </c>
      <c r="HH49" t="e">
        <f>AND(Liste!#REF!,"AAAAAH9NPtc=")</f>
        <v>#REF!</v>
      </c>
      <c r="HI49" t="e">
        <f>AND(Liste!#REF!,"AAAAAH9NPtg=")</f>
        <v>#REF!</v>
      </c>
      <c r="HJ49" t="e">
        <f>AND(Liste!#REF!,"AAAAAH9NPtk=")</f>
        <v>#REF!</v>
      </c>
      <c r="HK49" t="e">
        <f>AND(Liste!#REF!,"AAAAAH9NPto=")</f>
        <v>#REF!</v>
      </c>
      <c r="HL49" t="e">
        <f>AND(Liste!#REF!,"AAAAAH9NPts=")</f>
        <v>#REF!</v>
      </c>
      <c r="HM49" t="e">
        <f>AND(Liste!#REF!,"AAAAAH9NPtw=")</f>
        <v>#REF!</v>
      </c>
      <c r="HN49" t="e">
        <f>AND(Liste!#REF!,"AAAAAH9NPt0=")</f>
        <v>#REF!</v>
      </c>
      <c r="HO49" t="e">
        <f>AND(Liste!#REF!,"AAAAAH9NPt4=")</f>
        <v>#REF!</v>
      </c>
      <c r="HP49" t="e">
        <f>AND(Liste!#REF!,"AAAAAH9NPt8=")</f>
        <v>#REF!</v>
      </c>
      <c r="HQ49" t="e">
        <f>AND(Liste!#REF!,"AAAAAH9NPuA=")</f>
        <v>#REF!</v>
      </c>
      <c r="HR49" t="e">
        <f>AND(Liste!#REF!,"AAAAAH9NPuE=")</f>
        <v>#REF!</v>
      </c>
      <c r="HS49" t="e">
        <f>AND(Liste!#REF!,"AAAAAH9NPuI=")</f>
        <v>#REF!</v>
      </c>
      <c r="HT49" t="e">
        <f>AND(Liste!#REF!,"AAAAAH9NPuM=")</f>
        <v>#REF!</v>
      </c>
      <c r="HU49" t="e">
        <f>AND(Liste!#REF!,"AAAAAH9NPuQ=")</f>
        <v>#REF!</v>
      </c>
      <c r="HV49" t="e">
        <f>AND(Liste!#REF!,"AAAAAH9NPuU=")</f>
        <v>#REF!</v>
      </c>
      <c r="HW49" t="e">
        <f>AND(Liste!#REF!,"AAAAAH9NPuY=")</f>
        <v>#REF!</v>
      </c>
      <c r="HX49" t="e">
        <f>AND(Liste!#REF!,"AAAAAH9NPuc=")</f>
        <v>#REF!</v>
      </c>
      <c r="HY49" t="e">
        <f>AND(Liste!#REF!,"AAAAAH9NPug=")</f>
        <v>#REF!</v>
      </c>
      <c r="HZ49" t="e">
        <f>AND(Liste!#REF!,"AAAAAH9NPuk=")</f>
        <v>#REF!</v>
      </c>
      <c r="IA49" t="e">
        <f>AND(Liste!#REF!,"AAAAAH9NPuo=")</f>
        <v>#REF!</v>
      </c>
      <c r="IB49" t="e">
        <f>AND(Liste!#REF!,"AAAAAH9NPus=")</f>
        <v>#REF!</v>
      </c>
      <c r="IC49" t="e">
        <f>IF(Liste!#REF!,"AAAAAH9NPuw=",0)</f>
        <v>#REF!</v>
      </c>
      <c r="ID49" t="e">
        <f>AND(Liste!#REF!,"AAAAAH9NPu0=")</f>
        <v>#REF!</v>
      </c>
      <c r="IE49" t="e">
        <f>AND(Liste!#REF!,"AAAAAH9NPu4=")</f>
        <v>#REF!</v>
      </c>
      <c r="IF49" t="e">
        <f>AND(Liste!#REF!,"AAAAAH9NPu8=")</f>
        <v>#REF!</v>
      </c>
      <c r="IG49" t="e">
        <f>AND(Liste!#REF!,"AAAAAH9NPvA=")</f>
        <v>#REF!</v>
      </c>
      <c r="IH49" t="e">
        <f>AND(Liste!#REF!,"AAAAAH9NPvE=")</f>
        <v>#REF!</v>
      </c>
      <c r="II49" t="e">
        <f>AND(Liste!#REF!,"AAAAAH9NPvI=")</f>
        <v>#REF!</v>
      </c>
      <c r="IJ49" t="e">
        <f>AND(Liste!#REF!,"AAAAAH9NPvM=")</f>
        <v>#REF!</v>
      </c>
      <c r="IK49" t="e">
        <f>AND(Liste!#REF!,"AAAAAH9NPvQ=")</f>
        <v>#REF!</v>
      </c>
      <c r="IL49" t="e">
        <f>AND(Liste!#REF!,"AAAAAH9NPvU=")</f>
        <v>#REF!</v>
      </c>
      <c r="IM49" t="e">
        <f>AND(Liste!#REF!,"AAAAAH9NPvY=")</f>
        <v>#REF!</v>
      </c>
      <c r="IN49" t="e">
        <f>AND(Liste!#REF!,"AAAAAH9NPvc=")</f>
        <v>#REF!</v>
      </c>
      <c r="IO49" t="e">
        <f>AND(Liste!#REF!,"AAAAAH9NPvg=")</f>
        <v>#REF!</v>
      </c>
      <c r="IP49" t="e">
        <f>AND(Liste!#REF!,"AAAAAH9NPvk=")</f>
        <v>#REF!</v>
      </c>
      <c r="IQ49" t="e">
        <f>AND(Liste!#REF!,"AAAAAH9NPvo=")</f>
        <v>#REF!</v>
      </c>
      <c r="IR49" t="e">
        <f>AND(Liste!#REF!,"AAAAAH9NPvs=")</f>
        <v>#REF!</v>
      </c>
      <c r="IS49" t="e">
        <f>AND(Liste!#REF!,"AAAAAH9NPvw=")</f>
        <v>#REF!</v>
      </c>
      <c r="IT49" t="e">
        <f>AND(Liste!#REF!,"AAAAAH9NPv0=")</f>
        <v>#REF!</v>
      </c>
      <c r="IU49" t="e">
        <f>AND(Liste!#REF!,"AAAAAH9NPv4=")</f>
        <v>#REF!</v>
      </c>
      <c r="IV49" t="e">
        <f>AND(Liste!#REF!,"AAAAAH9NPv8=")</f>
        <v>#REF!</v>
      </c>
    </row>
    <row r="50" spans="1:256" x14ac:dyDescent="0.2">
      <c r="A50" t="e">
        <f>AND(Liste!#REF!,"AAAAAHfqeQA=")</f>
        <v>#REF!</v>
      </c>
      <c r="B50" t="e">
        <f>AND(Liste!#REF!,"AAAAAHfqeQE=")</f>
        <v>#REF!</v>
      </c>
      <c r="C50" t="e">
        <f>AND(Liste!#REF!,"AAAAAHfqeQI=")</f>
        <v>#REF!</v>
      </c>
      <c r="D50" t="e">
        <f>AND(Liste!#REF!,"AAAAAHfqeQM=")</f>
        <v>#REF!</v>
      </c>
      <c r="E50" t="e">
        <f>AND(Liste!#REF!,"AAAAAHfqeQQ=")</f>
        <v>#REF!</v>
      </c>
      <c r="F50" t="e">
        <f>AND(Liste!#REF!,"AAAAAHfqeQU=")</f>
        <v>#REF!</v>
      </c>
      <c r="G50" t="e">
        <f>AND(Liste!#REF!,"AAAAAHfqeQY=")</f>
        <v>#REF!</v>
      </c>
      <c r="H50" t="e">
        <f>AND(Liste!#REF!,"AAAAAHfqeQc=")</f>
        <v>#REF!</v>
      </c>
      <c r="I50" t="e">
        <f>AND(Liste!#REF!,"AAAAAHfqeQg=")</f>
        <v>#REF!</v>
      </c>
      <c r="J50" t="e">
        <f>AND(Liste!#REF!,"AAAAAHfqeQk=")</f>
        <v>#REF!</v>
      </c>
      <c r="K50" t="e">
        <f>AND(Liste!#REF!,"AAAAAHfqeQo=")</f>
        <v>#REF!</v>
      </c>
      <c r="L50">
        <f>IF(Liste!365:365,"AAAAAHfqeQs=",0)</f>
        <v>0</v>
      </c>
      <c r="M50" t="e">
        <f>AND(Liste!A365,"AAAAAHfqeQw=")</f>
        <v>#VALUE!</v>
      </c>
      <c r="N50" t="e">
        <f>AND(Liste!#REF!,"AAAAAHfqeQ0=")</f>
        <v>#REF!</v>
      </c>
      <c r="O50" t="e">
        <f>AND(Liste!#REF!,"AAAAAHfqeQ4=")</f>
        <v>#REF!</v>
      </c>
      <c r="P50" t="e">
        <f>AND(Liste!#REF!,"AAAAAHfqeQ8=")</f>
        <v>#REF!</v>
      </c>
      <c r="Q50" t="e">
        <f>AND(Liste!#REF!,"AAAAAHfqeRA=")</f>
        <v>#REF!</v>
      </c>
      <c r="R50" t="e">
        <f>AND(Liste!#REF!,"AAAAAHfqeRE=")</f>
        <v>#REF!</v>
      </c>
      <c r="S50" t="e">
        <f>AND(Liste!#REF!,"AAAAAHfqeRI=")</f>
        <v>#REF!</v>
      </c>
      <c r="T50" t="e">
        <f>AND(Liste!#REF!,"AAAAAHfqeRM=")</f>
        <v>#REF!</v>
      </c>
      <c r="U50" t="e">
        <f>AND(Liste!#REF!,"AAAAAHfqeRQ=")</f>
        <v>#REF!</v>
      </c>
      <c r="V50" t="e">
        <f>AND(Liste!#REF!,"AAAAAHfqeRU=")</f>
        <v>#REF!</v>
      </c>
      <c r="W50" t="e">
        <f>AND(Liste!#REF!,"AAAAAHfqeRY=")</f>
        <v>#REF!</v>
      </c>
      <c r="X50" t="e">
        <f>AND(Liste!#REF!,"AAAAAHfqeRc=")</f>
        <v>#REF!</v>
      </c>
      <c r="Y50" t="e">
        <f>AND(Liste!#REF!,"AAAAAHfqeRg=")</f>
        <v>#REF!</v>
      </c>
      <c r="Z50" t="e">
        <f>AND(Liste!#REF!,"AAAAAHfqeRk=")</f>
        <v>#REF!</v>
      </c>
      <c r="AA50" t="e">
        <f>AND(Liste!#REF!,"AAAAAHfqeRo=")</f>
        <v>#REF!</v>
      </c>
      <c r="AB50" t="e">
        <f>AND(Liste!#REF!,"AAAAAHfqeRs=")</f>
        <v>#REF!</v>
      </c>
      <c r="AC50" t="e">
        <f>AND(Liste!#REF!,"AAAAAHfqeRw=")</f>
        <v>#REF!</v>
      </c>
      <c r="AD50" t="e">
        <f>AND(Liste!#REF!,"AAAAAHfqeR0=")</f>
        <v>#REF!</v>
      </c>
      <c r="AE50" t="e">
        <f>AND(Liste!#REF!,"AAAAAHfqeR4=")</f>
        <v>#REF!</v>
      </c>
      <c r="AF50" t="e">
        <f>AND(Liste!#REF!,"AAAAAHfqeR8=")</f>
        <v>#REF!</v>
      </c>
      <c r="AG50" t="e">
        <f>AND(Liste!#REF!,"AAAAAHfqeSA=")</f>
        <v>#REF!</v>
      </c>
      <c r="AH50" t="e">
        <f>AND(Liste!#REF!,"AAAAAHfqeSE=")</f>
        <v>#REF!</v>
      </c>
      <c r="AI50" t="e">
        <f>AND(Liste!#REF!,"AAAAAHfqeSI=")</f>
        <v>#REF!</v>
      </c>
      <c r="AJ50" t="e">
        <f>AND(Liste!#REF!,"AAAAAHfqeSM=")</f>
        <v>#REF!</v>
      </c>
      <c r="AK50" t="e">
        <f>AND(Liste!#REF!,"AAAAAHfqeSQ=")</f>
        <v>#REF!</v>
      </c>
      <c r="AL50" t="e">
        <f>AND(Liste!#REF!,"AAAAAHfqeSU=")</f>
        <v>#REF!</v>
      </c>
      <c r="AM50" t="e">
        <f>AND(Liste!#REF!,"AAAAAHfqeSY=")</f>
        <v>#REF!</v>
      </c>
      <c r="AN50" t="e">
        <f>AND(Liste!#REF!,"AAAAAHfqeSc=")</f>
        <v>#REF!</v>
      </c>
      <c r="AO50" t="e">
        <f>AND(Liste!#REF!,"AAAAAHfqeSg=")</f>
        <v>#REF!</v>
      </c>
      <c r="AP50" t="e">
        <f>AND(Liste!#REF!,"AAAAAHfqeSk=")</f>
        <v>#REF!</v>
      </c>
      <c r="AQ50">
        <f>IF(Liste!366:366,"AAAAAHfqeSo=",0)</f>
        <v>0</v>
      </c>
      <c r="AR50" t="e">
        <f>AND(Liste!A366,"AAAAAHfqeSs=")</f>
        <v>#VALUE!</v>
      </c>
      <c r="AS50" t="e">
        <f>AND(Liste!#REF!,"AAAAAHfqeSw=")</f>
        <v>#REF!</v>
      </c>
      <c r="AT50" t="e">
        <f>AND(Liste!#REF!,"AAAAAHfqeS0=")</f>
        <v>#REF!</v>
      </c>
      <c r="AU50" t="e">
        <f>AND(Liste!#REF!,"AAAAAHfqeS4=")</f>
        <v>#REF!</v>
      </c>
      <c r="AV50" t="e">
        <f>AND(Liste!#REF!,"AAAAAHfqeS8=")</f>
        <v>#REF!</v>
      </c>
      <c r="AW50" t="e">
        <f>AND(Liste!#REF!,"AAAAAHfqeTA=")</f>
        <v>#REF!</v>
      </c>
      <c r="AX50" t="e">
        <f>AND(Liste!#REF!,"AAAAAHfqeTE=")</f>
        <v>#REF!</v>
      </c>
      <c r="AY50" t="e">
        <f>AND(Liste!#REF!,"AAAAAHfqeTI=")</f>
        <v>#REF!</v>
      </c>
      <c r="AZ50" t="e">
        <f>AND(Liste!#REF!,"AAAAAHfqeTM=")</f>
        <v>#REF!</v>
      </c>
      <c r="BA50" t="e">
        <f>AND(Liste!#REF!,"AAAAAHfqeTQ=")</f>
        <v>#REF!</v>
      </c>
      <c r="BB50" t="e">
        <f>AND(Liste!#REF!,"AAAAAHfqeTU=")</f>
        <v>#REF!</v>
      </c>
      <c r="BC50" t="e">
        <f>AND(Liste!#REF!,"AAAAAHfqeTY=")</f>
        <v>#REF!</v>
      </c>
      <c r="BD50" t="e">
        <f>AND(Liste!#REF!,"AAAAAHfqeTc=")</f>
        <v>#REF!</v>
      </c>
      <c r="BE50" t="e">
        <f>AND(Liste!#REF!,"AAAAAHfqeTg=")</f>
        <v>#REF!</v>
      </c>
      <c r="BF50" t="e">
        <f>AND(Liste!#REF!,"AAAAAHfqeTk=")</f>
        <v>#REF!</v>
      </c>
      <c r="BG50" t="e">
        <f>AND(Liste!#REF!,"AAAAAHfqeTo=")</f>
        <v>#REF!</v>
      </c>
      <c r="BH50" t="e">
        <f>AND(Liste!#REF!,"AAAAAHfqeTs=")</f>
        <v>#REF!</v>
      </c>
      <c r="BI50" t="e">
        <f>AND(Liste!#REF!,"AAAAAHfqeTw=")</f>
        <v>#REF!</v>
      </c>
      <c r="BJ50" t="e">
        <f>AND(Liste!#REF!,"AAAAAHfqeT0=")</f>
        <v>#REF!</v>
      </c>
      <c r="BK50" t="e">
        <f>AND(Liste!#REF!,"AAAAAHfqeT4=")</f>
        <v>#REF!</v>
      </c>
      <c r="BL50" t="e">
        <f>AND(Liste!#REF!,"AAAAAHfqeT8=")</f>
        <v>#REF!</v>
      </c>
      <c r="BM50" t="e">
        <f>AND(Liste!#REF!,"AAAAAHfqeUA=")</f>
        <v>#REF!</v>
      </c>
      <c r="BN50" t="e">
        <f>AND(Liste!#REF!,"AAAAAHfqeUE=")</f>
        <v>#REF!</v>
      </c>
      <c r="BO50" t="e">
        <f>AND(Liste!#REF!,"AAAAAHfqeUI=")</f>
        <v>#REF!</v>
      </c>
      <c r="BP50" t="e">
        <f>AND(Liste!#REF!,"AAAAAHfqeUM=")</f>
        <v>#REF!</v>
      </c>
      <c r="BQ50" t="e">
        <f>AND(Liste!#REF!,"AAAAAHfqeUQ=")</f>
        <v>#REF!</v>
      </c>
      <c r="BR50" t="e">
        <f>AND(Liste!#REF!,"AAAAAHfqeUU=")</f>
        <v>#REF!</v>
      </c>
      <c r="BS50" t="e">
        <f>AND(Liste!#REF!,"AAAAAHfqeUY=")</f>
        <v>#REF!</v>
      </c>
      <c r="BT50" t="e">
        <f>AND(Liste!#REF!,"AAAAAHfqeUc=")</f>
        <v>#REF!</v>
      </c>
      <c r="BU50" t="e">
        <f>AND(Liste!#REF!,"AAAAAHfqeUg=")</f>
        <v>#REF!</v>
      </c>
      <c r="BV50">
        <f>IF(Liste!367:367,"AAAAAHfqeUk=",0)</f>
        <v>0</v>
      </c>
      <c r="BW50" t="b">
        <f>AND(Liste!A367,"AAAAAHfqeUo=")</f>
        <v>1</v>
      </c>
      <c r="BX50" t="e">
        <f>AND(Liste!#REF!,"AAAAAHfqeUs=")</f>
        <v>#REF!</v>
      </c>
      <c r="BY50" t="e">
        <f>AND(Liste!#REF!,"AAAAAHfqeUw=")</f>
        <v>#REF!</v>
      </c>
      <c r="BZ50" t="e">
        <f>AND(Liste!#REF!,"AAAAAHfqeU0=")</f>
        <v>#REF!</v>
      </c>
      <c r="CA50" t="e">
        <f>AND(Liste!#REF!,"AAAAAHfqeU4=")</f>
        <v>#REF!</v>
      </c>
      <c r="CB50" t="e">
        <f>AND(Liste!#REF!,"AAAAAHfqeU8=")</f>
        <v>#REF!</v>
      </c>
      <c r="CC50" t="e">
        <f>AND(Liste!#REF!,"AAAAAHfqeVA=")</f>
        <v>#REF!</v>
      </c>
      <c r="CD50" t="e">
        <f>AND(Liste!#REF!,"AAAAAHfqeVE=")</f>
        <v>#REF!</v>
      </c>
      <c r="CE50" t="e">
        <f>AND(Liste!#REF!,"AAAAAHfqeVI=")</f>
        <v>#REF!</v>
      </c>
      <c r="CF50" t="e">
        <f>AND(Liste!#REF!,"AAAAAHfqeVM=")</f>
        <v>#REF!</v>
      </c>
      <c r="CG50" t="e">
        <f>AND(Liste!#REF!,"AAAAAHfqeVQ=")</f>
        <v>#REF!</v>
      </c>
      <c r="CH50" t="e">
        <f>AND(Liste!#REF!,"AAAAAHfqeVU=")</f>
        <v>#REF!</v>
      </c>
      <c r="CI50" t="e">
        <f>AND(Liste!#REF!,"AAAAAHfqeVY=")</f>
        <v>#REF!</v>
      </c>
      <c r="CJ50" t="e">
        <f>AND(Liste!#REF!,"AAAAAHfqeVc=")</f>
        <v>#REF!</v>
      </c>
      <c r="CK50" t="e">
        <f>AND(Liste!#REF!,"AAAAAHfqeVg=")</f>
        <v>#REF!</v>
      </c>
      <c r="CL50" t="e">
        <f>AND(Liste!#REF!,"AAAAAHfqeVk=")</f>
        <v>#REF!</v>
      </c>
      <c r="CM50" t="e">
        <f>AND(Liste!#REF!,"AAAAAHfqeVo=")</f>
        <v>#REF!</v>
      </c>
      <c r="CN50" t="e">
        <f>AND(Liste!#REF!,"AAAAAHfqeVs=")</f>
        <v>#REF!</v>
      </c>
      <c r="CO50" t="e">
        <f>AND(Liste!#REF!,"AAAAAHfqeVw=")</f>
        <v>#REF!</v>
      </c>
      <c r="CP50" t="e">
        <f>AND(Liste!#REF!,"AAAAAHfqeV0=")</f>
        <v>#REF!</v>
      </c>
      <c r="CQ50" t="e">
        <f>AND(Liste!#REF!,"AAAAAHfqeV4=")</f>
        <v>#REF!</v>
      </c>
      <c r="CR50" t="e">
        <f>AND(Liste!#REF!,"AAAAAHfqeV8=")</f>
        <v>#REF!</v>
      </c>
      <c r="CS50" t="e">
        <f>AND(Liste!#REF!,"AAAAAHfqeWA=")</f>
        <v>#REF!</v>
      </c>
      <c r="CT50" t="e">
        <f>AND(Liste!#REF!,"AAAAAHfqeWE=")</f>
        <v>#REF!</v>
      </c>
      <c r="CU50" t="e">
        <f>AND(Liste!#REF!,"AAAAAHfqeWI=")</f>
        <v>#REF!</v>
      </c>
      <c r="CV50" t="e">
        <f>AND(Liste!#REF!,"AAAAAHfqeWM=")</f>
        <v>#REF!</v>
      </c>
      <c r="CW50" t="e">
        <f>AND(Liste!#REF!,"AAAAAHfqeWQ=")</f>
        <v>#REF!</v>
      </c>
      <c r="CX50" t="e">
        <f>AND(Liste!#REF!,"AAAAAHfqeWU=")</f>
        <v>#REF!</v>
      </c>
      <c r="CY50" t="e">
        <f>AND(Liste!#REF!,"AAAAAHfqeWY=")</f>
        <v>#REF!</v>
      </c>
      <c r="CZ50" t="e">
        <f>AND(Liste!#REF!,"AAAAAHfqeWc=")</f>
        <v>#REF!</v>
      </c>
      <c r="DA50">
        <f>IF(Liste!368:368,"AAAAAHfqeWg=",0)</f>
        <v>0</v>
      </c>
      <c r="DB50" t="b">
        <f>AND(Liste!A368,"AAAAAHfqeWk=")</f>
        <v>1</v>
      </c>
      <c r="DC50" t="e">
        <f>AND(Liste!#REF!,"AAAAAHfqeWo=")</f>
        <v>#REF!</v>
      </c>
      <c r="DD50" t="e">
        <f>AND(Liste!#REF!,"AAAAAHfqeWs=")</f>
        <v>#REF!</v>
      </c>
      <c r="DE50" t="e">
        <f>AND(Liste!#REF!,"AAAAAHfqeWw=")</f>
        <v>#REF!</v>
      </c>
      <c r="DF50" t="e">
        <f>AND(Liste!#REF!,"AAAAAHfqeW0=")</f>
        <v>#REF!</v>
      </c>
      <c r="DG50" t="e">
        <f>AND(Liste!#REF!,"AAAAAHfqeW4=")</f>
        <v>#REF!</v>
      </c>
      <c r="DH50" t="e">
        <f>AND(Liste!#REF!,"AAAAAHfqeW8=")</f>
        <v>#REF!</v>
      </c>
      <c r="DI50" t="e">
        <f>AND(Liste!#REF!,"AAAAAHfqeXA=")</f>
        <v>#REF!</v>
      </c>
      <c r="DJ50" t="e">
        <f>AND(Liste!#REF!,"AAAAAHfqeXE=")</f>
        <v>#REF!</v>
      </c>
      <c r="DK50" t="e">
        <f>AND(Liste!#REF!,"AAAAAHfqeXI=")</f>
        <v>#REF!</v>
      </c>
      <c r="DL50" t="e">
        <f>AND(Liste!#REF!,"AAAAAHfqeXM=")</f>
        <v>#REF!</v>
      </c>
      <c r="DM50" t="e">
        <f>AND(Liste!#REF!,"AAAAAHfqeXQ=")</f>
        <v>#REF!</v>
      </c>
      <c r="DN50" t="e">
        <f>AND(Liste!#REF!,"AAAAAHfqeXU=")</f>
        <v>#REF!</v>
      </c>
      <c r="DO50" t="e">
        <f>AND(Liste!#REF!,"AAAAAHfqeXY=")</f>
        <v>#REF!</v>
      </c>
      <c r="DP50" t="e">
        <f>AND(Liste!#REF!,"AAAAAHfqeXc=")</f>
        <v>#REF!</v>
      </c>
      <c r="DQ50" t="e">
        <f>AND(Liste!#REF!,"AAAAAHfqeXg=")</f>
        <v>#REF!</v>
      </c>
      <c r="DR50" t="e">
        <f>AND(Liste!#REF!,"AAAAAHfqeXk=")</f>
        <v>#REF!</v>
      </c>
      <c r="DS50" t="e">
        <f>AND(Liste!#REF!,"AAAAAHfqeXo=")</f>
        <v>#REF!</v>
      </c>
      <c r="DT50" t="e">
        <f>AND(Liste!#REF!,"AAAAAHfqeXs=")</f>
        <v>#REF!</v>
      </c>
      <c r="DU50" t="e">
        <f>AND(Liste!#REF!,"AAAAAHfqeXw=")</f>
        <v>#REF!</v>
      </c>
      <c r="DV50" t="e">
        <f>AND(Liste!#REF!,"AAAAAHfqeX0=")</f>
        <v>#REF!</v>
      </c>
      <c r="DW50" t="e">
        <f>AND(Liste!#REF!,"AAAAAHfqeX4=")</f>
        <v>#REF!</v>
      </c>
      <c r="DX50" t="e">
        <f>AND(Liste!#REF!,"AAAAAHfqeX8=")</f>
        <v>#REF!</v>
      </c>
      <c r="DY50" t="e">
        <f>AND(Liste!#REF!,"AAAAAHfqeYA=")</f>
        <v>#REF!</v>
      </c>
      <c r="DZ50" t="e">
        <f>AND(Liste!#REF!,"AAAAAHfqeYE=")</f>
        <v>#REF!</v>
      </c>
      <c r="EA50" t="e">
        <f>AND(Liste!#REF!,"AAAAAHfqeYI=")</f>
        <v>#REF!</v>
      </c>
      <c r="EB50" t="e">
        <f>AND(Liste!#REF!,"AAAAAHfqeYM=")</f>
        <v>#REF!</v>
      </c>
      <c r="EC50" t="e">
        <f>AND(Liste!#REF!,"AAAAAHfqeYQ=")</f>
        <v>#REF!</v>
      </c>
      <c r="ED50" t="e">
        <f>AND(Liste!#REF!,"AAAAAHfqeYU=")</f>
        <v>#REF!</v>
      </c>
      <c r="EE50" t="e">
        <f>AND(Liste!#REF!,"AAAAAHfqeYY=")</f>
        <v>#REF!</v>
      </c>
      <c r="EF50">
        <f>IF(Liste!369:369,"AAAAAHfqeYc=",0)</f>
        <v>0</v>
      </c>
      <c r="EG50" t="b">
        <f>AND(Liste!A369,"AAAAAHfqeYg=")</f>
        <v>1</v>
      </c>
      <c r="EH50" t="e">
        <f>AND(Liste!#REF!,"AAAAAHfqeYk=")</f>
        <v>#REF!</v>
      </c>
      <c r="EI50" t="e">
        <f>AND(Liste!#REF!,"AAAAAHfqeYo=")</f>
        <v>#REF!</v>
      </c>
      <c r="EJ50" t="e">
        <f>AND(Liste!#REF!,"AAAAAHfqeYs=")</f>
        <v>#REF!</v>
      </c>
      <c r="EK50" t="e">
        <f>AND(Liste!#REF!,"AAAAAHfqeYw=")</f>
        <v>#REF!</v>
      </c>
      <c r="EL50" t="e">
        <f>AND(Liste!#REF!,"AAAAAHfqeY0=")</f>
        <v>#REF!</v>
      </c>
      <c r="EM50" t="e">
        <f>AND(Liste!#REF!,"AAAAAHfqeY4=")</f>
        <v>#REF!</v>
      </c>
      <c r="EN50" t="e">
        <f>AND(Liste!#REF!,"AAAAAHfqeY8=")</f>
        <v>#REF!</v>
      </c>
      <c r="EO50" t="e">
        <f>AND(Liste!#REF!,"AAAAAHfqeZA=")</f>
        <v>#REF!</v>
      </c>
      <c r="EP50" t="e">
        <f>AND(Liste!#REF!,"AAAAAHfqeZE=")</f>
        <v>#REF!</v>
      </c>
      <c r="EQ50" t="e">
        <f>AND(Liste!#REF!,"AAAAAHfqeZI=")</f>
        <v>#REF!</v>
      </c>
      <c r="ER50" t="e">
        <f>AND(Liste!#REF!,"AAAAAHfqeZM=")</f>
        <v>#REF!</v>
      </c>
      <c r="ES50" t="e">
        <f>AND(Liste!#REF!,"AAAAAHfqeZQ=")</f>
        <v>#REF!</v>
      </c>
      <c r="ET50" t="e">
        <f>AND(Liste!#REF!,"AAAAAHfqeZU=")</f>
        <v>#REF!</v>
      </c>
      <c r="EU50" t="e">
        <f>AND(Liste!#REF!,"AAAAAHfqeZY=")</f>
        <v>#REF!</v>
      </c>
      <c r="EV50" t="e">
        <f>AND(Liste!#REF!,"AAAAAHfqeZc=")</f>
        <v>#REF!</v>
      </c>
      <c r="EW50" t="e">
        <f>AND(Liste!#REF!,"AAAAAHfqeZg=")</f>
        <v>#REF!</v>
      </c>
      <c r="EX50" t="e">
        <f>AND(Liste!#REF!,"AAAAAHfqeZk=")</f>
        <v>#REF!</v>
      </c>
      <c r="EY50" t="e">
        <f>AND(Liste!#REF!,"AAAAAHfqeZo=")</f>
        <v>#REF!</v>
      </c>
      <c r="EZ50" t="e">
        <f>AND(Liste!#REF!,"AAAAAHfqeZs=")</f>
        <v>#REF!</v>
      </c>
      <c r="FA50" t="e">
        <f>AND(Liste!#REF!,"AAAAAHfqeZw=")</f>
        <v>#REF!</v>
      </c>
      <c r="FB50" t="e">
        <f>AND(Liste!#REF!,"AAAAAHfqeZ0=")</f>
        <v>#REF!</v>
      </c>
      <c r="FC50" t="e">
        <f>AND(Liste!#REF!,"AAAAAHfqeZ4=")</f>
        <v>#REF!</v>
      </c>
      <c r="FD50" t="e">
        <f>AND(Liste!#REF!,"AAAAAHfqeZ8=")</f>
        <v>#REF!</v>
      </c>
      <c r="FE50" t="e">
        <f>AND(Liste!#REF!,"AAAAAHfqeaA=")</f>
        <v>#REF!</v>
      </c>
      <c r="FF50" t="e">
        <f>AND(Liste!#REF!,"AAAAAHfqeaE=")</f>
        <v>#REF!</v>
      </c>
      <c r="FG50" t="e">
        <f>AND(Liste!#REF!,"AAAAAHfqeaI=")</f>
        <v>#REF!</v>
      </c>
      <c r="FH50" t="e">
        <f>AND(Liste!#REF!,"AAAAAHfqeaM=")</f>
        <v>#REF!</v>
      </c>
      <c r="FI50" t="e">
        <f>AND(Liste!#REF!,"AAAAAHfqeaQ=")</f>
        <v>#REF!</v>
      </c>
      <c r="FJ50" t="e">
        <f>AND(Liste!#REF!,"AAAAAHfqeaU=")</f>
        <v>#REF!</v>
      </c>
      <c r="FK50">
        <f>IF(Liste!370:370,"AAAAAHfqeaY=",0)</f>
        <v>0</v>
      </c>
      <c r="FL50" t="b">
        <f>AND(Liste!A370,"AAAAAHfqeac=")</f>
        <v>1</v>
      </c>
      <c r="FM50" t="e">
        <f>AND(Liste!#REF!,"AAAAAHfqeag=")</f>
        <v>#REF!</v>
      </c>
      <c r="FN50" t="e">
        <f>AND(Liste!#REF!,"AAAAAHfqeak=")</f>
        <v>#REF!</v>
      </c>
      <c r="FO50" t="e">
        <f>AND(Liste!#REF!,"AAAAAHfqeao=")</f>
        <v>#REF!</v>
      </c>
      <c r="FP50" t="e">
        <f>AND(Liste!#REF!,"AAAAAHfqeas=")</f>
        <v>#REF!</v>
      </c>
      <c r="FQ50" t="e">
        <f>AND(Liste!#REF!,"AAAAAHfqeaw=")</f>
        <v>#REF!</v>
      </c>
      <c r="FR50" t="e">
        <f>AND(Liste!#REF!,"AAAAAHfqea0=")</f>
        <v>#REF!</v>
      </c>
      <c r="FS50" t="e">
        <f>AND(Liste!#REF!,"AAAAAHfqea4=")</f>
        <v>#REF!</v>
      </c>
      <c r="FT50" t="e">
        <f>AND(Liste!#REF!,"AAAAAHfqea8=")</f>
        <v>#REF!</v>
      </c>
      <c r="FU50" t="e">
        <f>AND(Liste!#REF!,"AAAAAHfqebA=")</f>
        <v>#REF!</v>
      </c>
      <c r="FV50" t="e">
        <f>AND(Liste!#REF!,"AAAAAHfqebE=")</f>
        <v>#REF!</v>
      </c>
      <c r="FW50" t="e">
        <f>AND(Liste!#REF!,"AAAAAHfqebI=")</f>
        <v>#REF!</v>
      </c>
      <c r="FX50" t="e">
        <f>AND(Liste!#REF!,"AAAAAHfqebM=")</f>
        <v>#REF!</v>
      </c>
      <c r="FY50" t="e">
        <f>AND(Liste!#REF!,"AAAAAHfqebQ=")</f>
        <v>#REF!</v>
      </c>
      <c r="FZ50" t="e">
        <f>AND(Liste!#REF!,"AAAAAHfqebU=")</f>
        <v>#REF!</v>
      </c>
      <c r="GA50" t="e">
        <f>AND(Liste!#REF!,"AAAAAHfqebY=")</f>
        <v>#REF!</v>
      </c>
      <c r="GB50" t="e">
        <f>AND(Liste!#REF!,"AAAAAHfqebc=")</f>
        <v>#REF!</v>
      </c>
      <c r="GC50" t="e">
        <f>AND(Liste!#REF!,"AAAAAHfqebg=")</f>
        <v>#REF!</v>
      </c>
      <c r="GD50" t="e">
        <f>AND(Liste!#REF!,"AAAAAHfqebk=")</f>
        <v>#REF!</v>
      </c>
      <c r="GE50" t="e">
        <f>AND(Liste!#REF!,"AAAAAHfqebo=")</f>
        <v>#REF!</v>
      </c>
      <c r="GF50" t="e">
        <f>AND(Liste!#REF!,"AAAAAHfqebs=")</f>
        <v>#REF!</v>
      </c>
      <c r="GG50" t="e">
        <f>AND(Liste!#REF!,"AAAAAHfqebw=")</f>
        <v>#REF!</v>
      </c>
      <c r="GH50" t="e">
        <f>AND(Liste!#REF!,"AAAAAHfqeb0=")</f>
        <v>#REF!</v>
      </c>
      <c r="GI50" t="e">
        <f>AND(Liste!#REF!,"AAAAAHfqeb4=")</f>
        <v>#REF!</v>
      </c>
      <c r="GJ50" t="e">
        <f>AND(Liste!#REF!,"AAAAAHfqeb8=")</f>
        <v>#REF!</v>
      </c>
      <c r="GK50" t="e">
        <f>AND(Liste!#REF!,"AAAAAHfqecA=")</f>
        <v>#REF!</v>
      </c>
      <c r="GL50" t="e">
        <f>AND(Liste!#REF!,"AAAAAHfqecE=")</f>
        <v>#REF!</v>
      </c>
      <c r="GM50" t="e">
        <f>AND(Liste!#REF!,"AAAAAHfqecI=")</f>
        <v>#REF!</v>
      </c>
      <c r="GN50" t="e">
        <f>AND(Liste!#REF!,"AAAAAHfqecM=")</f>
        <v>#REF!</v>
      </c>
      <c r="GO50" t="e">
        <f>AND(Liste!#REF!,"AAAAAHfqecQ=")</f>
        <v>#REF!</v>
      </c>
      <c r="GP50">
        <f>IF(Liste!371:371,"AAAAAHfqecU=",0)</f>
        <v>0</v>
      </c>
      <c r="GQ50" t="b">
        <f>AND(Liste!A371,"AAAAAHfqecY=")</f>
        <v>1</v>
      </c>
      <c r="GR50" t="e">
        <f>AND(Liste!#REF!,"AAAAAHfqecc=")</f>
        <v>#REF!</v>
      </c>
      <c r="GS50" t="e">
        <f>AND(Liste!#REF!,"AAAAAHfqecg=")</f>
        <v>#REF!</v>
      </c>
      <c r="GT50" t="e">
        <f>AND(Liste!#REF!,"AAAAAHfqeck=")</f>
        <v>#REF!</v>
      </c>
      <c r="GU50" t="e">
        <f>AND(Liste!#REF!,"AAAAAHfqeco=")</f>
        <v>#REF!</v>
      </c>
      <c r="GV50" t="e">
        <f>AND(Liste!#REF!,"AAAAAHfqecs=")</f>
        <v>#REF!</v>
      </c>
      <c r="GW50" t="e">
        <f>AND(Liste!#REF!,"AAAAAHfqecw=")</f>
        <v>#REF!</v>
      </c>
      <c r="GX50" t="e">
        <f>AND(Liste!#REF!,"AAAAAHfqec0=")</f>
        <v>#REF!</v>
      </c>
      <c r="GY50" t="e">
        <f>AND(Liste!#REF!,"AAAAAHfqec4=")</f>
        <v>#REF!</v>
      </c>
      <c r="GZ50" t="e">
        <f>AND(Liste!#REF!,"AAAAAHfqec8=")</f>
        <v>#REF!</v>
      </c>
      <c r="HA50" t="e">
        <f>AND(Liste!#REF!,"AAAAAHfqedA=")</f>
        <v>#REF!</v>
      </c>
      <c r="HB50" t="e">
        <f>AND(Liste!#REF!,"AAAAAHfqedE=")</f>
        <v>#REF!</v>
      </c>
      <c r="HC50" t="e">
        <f>AND(Liste!#REF!,"AAAAAHfqedI=")</f>
        <v>#REF!</v>
      </c>
      <c r="HD50" t="e">
        <f>AND(Liste!#REF!,"AAAAAHfqedM=")</f>
        <v>#REF!</v>
      </c>
      <c r="HE50" t="e">
        <f>AND(Liste!#REF!,"AAAAAHfqedQ=")</f>
        <v>#REF!</v>
      </c>
      <c r="HF50" t="e">
        <f>AND(Liste!#REF!,"AAAAAHfqedU=")</f>
        <v>#REF!</v>
      </c>
      <c r="HG50" t="e">
        <f>AND(Liste!#REF!,"AAAAAHfqedY=")</f>
        <v>#REF!</v>
      </c>
      <c r="HH50" t="e">
        <f>AND(Liste!#REF!,"AAAAAHfqedc=")</f>
        <v>#REF!</v>
      </c>
      <c r="HI50" t="e">
        <f>AND(Liste!#REF!,"AAAAAHfqedg=")</f>
        <v>#REF!</v>
      </c>
      <c r="HJ50" t="e">
        <f>AND(Liste!#REF!,"AAAAAHfqedk=")</f>
        <v>#REF!</v>
      </c>
      <c r="HK50" t="e">
        <f>AND(Liste!#REF!,"AAAAAHfqedo=")</f>
        <v>#REF!</v>
      </c>
      <c r="HL50" t="e">
        <f>AND(Liste!#REF!,"AAAAAHfqeds=")</f>
        <v>#REF!</v>
      </c>
      <c r="HM50" t="e">
        <f>AND(Liste!#REF!,"AAAAAHfqedw=")</f>
        <v>#REF!</v>
      </c>
      <c r="HN50" t="e">
        <f>AND(Liste!#REF!,"AAAAAHfqed0=")</f>
        <v>#REF!</v>
      </c>
      <c r="HO50" t="e">
        <f>AND(Liste!#REF!,"AAAAAHfqed4=")</f>
        <v>#REF!</v>
      </c>
      <c r="HP50" t="e">
        <f>AND(Liste!#REF!,"AAAAAHfqed8=")</f>
        <v>#REF!</v>
      </c>
      <c r="HQ50" t="e">
        <f>AND(Liste!#REF!,"AAAAAHfqeeA=")</f>
        <v>#REF!</v>
      </c>
      <c r="HR50" t="e">
        <f>AND(Liste!#REF!,"AAAAAHfqeeE=")</f>
        <v>#REF!</v>
      </c>
      <c r="HS50" t="e">
        <f>AND(Liste!#REF!,"AAAAAHfqeeI=")</f>
        <v>#REF!</v>
      </c>
      <c r="HT50" t="e">
        <f>AND(Liste!#REF!,"AAAAAHfqeeM=")</f>
        <v>#REF!</v>
      </c>
      <c r="HU50">
        <f>IF(Liste!372:372,"AAAAAHfqeeQ=",0)</f>
        <v>0</v>
      </c>
      <c r="HV50" t="b">
        <f>AND(Liste!A372,"AAAAAHfqeeU=")</f>
        <v>1</v>
      </c>
      <c r="HW50" t="e">
        <f>AND(Liste!#REF!,"AAAAAHfqeeY=")</f>
        <v>#REF!</v>
      </c>
      <c r="HX50" t="e">
        <f>AND(Liste!#REF!,"AAAAAHfqeec=")</f>
        <v>#REF!</v>
      </c>
      <c r="HY50" t="e">
        <f>AND(Liste!#REF!,"AAAAAHfqeeg=")</f>
        <v>#REF!</v>
      </c>
      <c r="HZ50" t="e">
        <f>AND(Liste!#REF!,"AAAAAHfqeek=")</f>
        <v>#REF!</v>
      </c>
      <c r="IA50" t="e">
        <f>AND(Liste!#REF!,"AAAAAHfqeeo=")</f>
        <v>#REF!</v>
      </c>
      <c r="IB50" t="e">
        <f>AND(Liste!#REF!,"AAAAAHfqees=")</f>
        <v>#REF!</v>
      </c>
      <c r="IC50" t="e">
        <f>AND(Liste!#REF!,"AAAAAHfqeew=")</f>
        <v>#REF!</v>
      </c>
      <c r="ID50" t="e">
        <f>AND(Liste!#REF!,"AAAAAHfqee0=")</f>
        <v>#REF!</v>
      </c>
      <c r="IE50" t="e">
        <f>AND(Liste!#REF!,"AAAAAHfqee4=")</f>
        <v>#REF!</v>
      </c>
      <c r="IF50" t="e">
        <f>AND(Liste!#REF!,"AAAAAHfqee8=")</f>
        <v>#REF!</v>
      </c>
      <c r="IG50" t="e">
        <f>AND(Liste!#REF!,"AAAAAHfqefA=")</f>
        <v>#REF!</v>
      </c>
      <c r="IH50" t="e">
        <f>AND(Liste!#REF!,"AAAAAHfqefE=")</f>
        <v>#REF!</v>
      </c>
      <c r="II50" t="e">
        <f>AND(Liste!#REF!,"AAAAAHfqefI=")</f>
        <v>#REF!</v>
      </c>
      <c r="IJ50" t="e">
        <f>AND(Liste!#REF!,"AAAAAHfqefM=")</f>
        <v>#REF!</v>
      </c>
      <c r="IK50" t="e">
        <f>AND(Liste!#REF!,"AAAAAHfqefQ=")</f>
        <v>#REF!</v>
      </c>
      <c r="IL50" t="e">
        <f>AND(Liste!#REF!,"AAAAAHfqefU=")</f>
        <v>#REF!</v>
      </c>
      <c r="IM50" t="e">
        <f>AND(Liste!#REF!,"AAAAAHfqefY=")</f>
        <v>#REF!</v>
      </c>
      <c r="IN50" t="e">
        <f>AND(Liste!#REF!,"AAAAAHfqefc=")</f>
        <v>#REF!</v>
      </c>
      <c r="IO50" t="e">
        <f>AND(Liste!#REF!,"AAAAAHfqefg=")</f>
        <v>#REF!</v>
      </c>
      <c r="IP50" t="e">
        <f>AND(Liste!#REF!,"AAAAAHfqefk=")</f>
        <v>#REF!</v>
      </c>
      <c r="IQ50" t="e">
        <f>AND(Liste!#REF!,"AAAAAHfqefo=")</f>
        <v>#REF!</v>
      </c>
      <c r="IR50" t="e">
        <f>AND(Liste!#REF!,"AAAAAHfqefs=")</f>
        <v>#REF!</v>
      </c>
      <c r="IS50" t="e">
        <f>AND(Liste!#REF!,"AAAAAHfqefw=")</f>
        <v>#REF!</v>
      </c>
      <c r="IT50" t="e">
        <f>AND(Liste!#REF!,"AAAAAHfqef0=")</f>
        <v>#REF!</v>
      </c>
      <c r="IU50" t="e">
        <f>AND(Liste!#REF!,"AAAAAHfqef4=")</f>
        <v>#REF!</v>
      </c>
      <c r="IV50" t="e">
        <f>AND(Liste!#REF!,"AAAAAHfqef8=")</f>
        <v>#REF!</v>
      </c>
    </row>
    <row r="51" spans="1:256" x14ac:dyDescent="0.2">
      <c r="A51" t="e">
        <f>AND(Liste!#REF!,"AAAAAG3v+wA=")</f>
        <v>#REF!</v>
      </c>
      <c r="B51" t="e">
        <f>AND(Liste!#REF!,"AAAAAG3v+wE=")</f>
        <v>#REF!</v>
      </c>
      <c r="C51" t="e">
        <f>AND(Liste!#REF!,"AAAAAG3v+wI=")</f>
        <v>#REF!</v>
      </c>
      <c r="D51" t="e">
        <f>IF(Liste!373:373,"AAAAAG3v+wM=",0)</f>
        <v>#VALUE!</v>
      </c>
      <c r="E51" t="b">
        <f>AND(Liste!A373,"AAAAAG3v+wQ=")</f>
        <v>1</v>
      </c>
      <c r="F51" t="e">
        <f>AND(Liste!#REF!,"AAAAAG3v+wU=")</f>
        <v>#REF!</v>
      </c>
      <c r="G51" t="e">
        <f>AND(Liste!#REF!,"AAAAAG3v+wY=")</f>
        <v>#REF!</v>
      </c>
      <c r="H51" t="e">
        <f>AND(Liste!#REF!,"AAAAAG3v+wc=")</f>
        <v>#REF!</v>
      </c>
      <c r="I51" t="e">
        <f>AND(Liste!#REF!,"AAAAAG3v+wg=")</f>
        <v>#REF!</v>
      </c>
      <c r="J51" t="e">
        <f>AND(Liste!#REF!,"AAAAAG3v+wk=")</f>
        <v>#REF!</v>
      </c>
      <c r="K51" t="e">
        <f>AND(Liste!#REF!,"AAAAAG3v+wo=")</f>
        <v>#REF!</v>
      </c>
      <c r="L51" t="e">
        <f>AND(Liste!#REF!,"AAAAAG3v+ws=")</f>
        <v>#REF!</v>
      </c>
      <c r="M51" t="e">
        <f>AND(Liste!#REF!,"AAAAAG3v+ww=")</f>
        <v>#REF!</v>
      </c>
      <c r="N51" t="e">
        <f>AND(Liste!#REF!,"AAAAAG3v+w0=")</f>
        <v>#REF!</v>
      </c>
      <c r="O51" t="e">
        <f>AND(Liste!#REF!,"AAAAAG3v+w4=")</f>
        <v>#REF!</v>
      </c>
      <c r="P51" t="e">
        <f>AND(Liste!#REF!,"AAAAAG3v+w8=")</f>
        <v>#REF!</v>
      </c>
      <c r="Q51" t="e">
        <f>AND(Liste!#REF!,"AAAAAG3v+xA=")</f>
        <v>#REF!</v>
      </c>
      <c r="R51" t="e">
        <f>AND(Liste!#REF!,"AAAAAG3v+xE=")</f>
        <v>#REF!</v>
      </c>
      <c r="S51" t="e">
        <f>AND(Liste!#REF!,"AAAAAG3v+xI=")</f>
        <v>#REF!</v>
      </c>
      <c r="T51" t="e">
        <f>AND(Liste!#REF!,"AAAAAG3v+xM=")</f>
        <v>#REF!</v>
      </c>
      <c r="U51" t="e">
        <f>AND(Liste!#REF!,"AAAAAG3v+xQ=")</f>
        <v>#REF!</v>
      </c>
      <c r="V51" t="e">
        <f>AND(Liste!#REF!,"AAAAAG3v+xU=")</f>
        <v>#REF!</v>
      </c>
      <c r="W51" t="e">
        <f>AND(Liste!#REF!,"AAAAAG3v+xY=")</f>
        <v>#REF!</v>
      </c>
      <c r="X51" t="e">
        <f>AND(Liste!#REF!,"AAAAAG3v+xc=")</f>
        <v>#REF!</v>
      </c>
      <c r="Y51" t="e">
        <f>AND(Liste!#REF!,"AAAAAG3v+xg=")</f>
        <v>#REF!</v>
      </c>
      <c r="Z51" t="e">
        <f>AND(Liste!#REF!,"AAAAAG3v+xk=")</f>
        <v>#REF!</v>
      </c>
      <c r="AA51" t="e">
        <f>AND(Liste!#REF!,"AAAAAG3v+xo=")</f>
        <v>#REF!</v>
      </c>
      <c r="AB51" t="e">
        <f>AND(Liste!#REF!,"AAAAAG3v+xs=")</f>
        <v>#REF!</v>
      </c>
      <c r="AC51" t="e">
        <f>AND(Liste!#REF!,"AAAAAG3v+xw=")</f>
        <v>#REF!</v>
      </c>
      <c r="AD51" t="e">
        <f>AND(Liste!#REF!,"AAAAAG3v+x0=")</f>
        <v>#REF!</v>
      </c>
      <c r="AE51" t="e">
        <f>AND(Liste!#REF!,"AAAAAG3v+x4=")</f>
        <v>#REF!</v>
      </c>
      <c r="AF51" t="e">
        <f>AND(Liste!#REF!,"AAAAAG3v+x8=")</f>
        <v>#REF!</v>
      </c>
      <c r="AG51" t="e">
        <f>AND(Liste!#REF!,"AAAAAG3v+yA=")</f>
        <v>#REF!</v>
      </c>
      <c r="AH51" t="e">
        <f>AND(Liste!#REF!,"AAAAAG3v+yE=")</f>
        <v>#REF!</v>
      </c>
      <c r="AI51">
        <f>IF(Liste!374:374,"AAAAAG3v+yI=",0)</f>
        <v>0</v>
      </c>
      <c r="AJ51" t="b">
        <f>AND(Liste!A374,"AAAAAG3v+yM=")</f>
        <v>1</v>
      </c>
      <c r="AK51" t="e">
        <f>AND(Liste!#REF!,"AAAAAG3v+yQ=")</f>
        <v>#REF!</v>
      </c>
      <c r="AL51" t="e">
        <f>AND(Liste!#REF!,"AAAAAG3v+yU=")</f>
        <v>#REF!</v>
      </c>
      <c r="AM51" t="e">
        <f>AND(Liste!#REF!,"AAAAAG3v+yY=")</f>
        <v>#REF!</v>
      </c>
      <c r="AN51" t="e">
        <f>AND(Liste!#REF!,"AAAAAG3v+yc=")</f>
        <v>#REF!</v>
      </c>
      <c r="AO51" t="e">
        <f>AND(Liste!#REF!,"AAAAAG3v+yg=")</f>
        <v>#REF!</v>
      </c>
      <c r="AP51" t="e">
        <f>AND(Liste!#REF!,"AAAAAG3v+yk=")</f>
        <v>#REF!</v>
      </c>
      <c r="AQ51" t="e">
        <f>AND(Liste!#REF!,"AAAAAG3v+yo=")</f>
        <v>#REF!</v>
      </c>
      <c r="AR51" t="e">
        <f>AND(Liste!#REF!,"AAAAAG3v+ys=")</f>
        <v>#REF!</v>
      </c>
      <c r="AS51" t="e">
        <f>AND(Liste!#REF!,"AAAAAG3v+yw=")</f>
        <v>#REF!</v>
      </c>
      <c r="AT51" t="e">
        <f>AND(Liste!#REF!,"AAAAAG3v+y0=")</f>
        <v>#REF!</v>
      </c>
      <c r="AU51" t="e">
        <f>AND(Liste!#REF!,"AAAAAG3v+y4=")</f>
        <v>#REF!</v>
      </c>
      <c r="AV51" t="e">
        <f>AND(Liste!#REF!,"AAAAAG3v+y8=")</f>
        <v>#REF!</v>
      </c>
      <c r="AW51" t="e">
        <f>AND(Liste!#REF!,"AAAAAG3v+zA=")</f>
        <v>#REF!</v>
      </c>
      <c r="AX51" t="e">
        <f>AND(Liste!#REF!,"AAAAAG3v+zE=")</f>
        <v>#REF!</v>
      </c>
      <c r="AY51" t="e">
        <f>AND(Liste!#REF!,"AAAAAG3v+zI=")</f>
        <v>#REF!</v>
      </c>
      <c r="AZ51" t="e">
        <f>AND(Liste!#REF!,"AAAAAG3v+zM=")</f>
        <v>#REF!</v>
      </c>
      <c r="BA51" t="e">
        <f>AND(Liste!#REF!,"AAAAAG3v+zQ=")</f>
        <v>#REF!</v>
      </c>
      <c r="BB51" t="e">
        <f>AND(Liste!#REF!,"AAAAAG3v+zU=")</f>
        <v>#REF!</v>
      </c>
      <c r="BC51" t="e">
        <f>AND(Liste!#REF!,"AAAAAG3v+zY=")</f>
        <v>#REF!</v>
      </c>
      <c r="BD51" t="e">
        <f>AND(Liste!#REF!,"AAAAAG3v+zc=")</f>
        <v>#REF!</v>
      </c>
      <c r="BE51" t="e">
        <f>AND(Liste!#REF!,"AAAAAG3v+zg=")</f>
        <v>#REF!</v>
      </c>
      <c r="BF51" t="e">
        <f>AND(Liste!#REF!,"AAAAAG3v+zk=")</f>
        <v>#REF!</v>
      </c>
      <c r="BG51" t="e">
        <f>AND(Liste!#REF!,"AAAAAG3v+zo=")</f>
        <v>#REF!</v>
      </c>
      <c r="BH51" t="e">
        <f>AND(Liste!#REF!,"AAAAAG3v+zs=")</f>
        <v>#REF!</v>
      </c>
      <c r="BI51" t="e">
        <f>AND(Liste!#REF!,"AAAAAG3v+zw=")</f>
        <v>#REF!</v>
      </c>
      <c r="BJ51" t="e">
        <f>AND(Liste!#REF!,"AAAAAG3v+z0=")</f>
        <v>#REF!</v>
      </c>
      <c r="BK51" t="e">
        <f>AND(Liste!#REF!,"AAAAAG3v+z4=")</f>
        <v>#REF!</v>
      </c>
      <c r="BL51" t="e">
        <f>AND(Liste!#REF!,"AAAAAG3v+z8=")</f>
        <v>#REF!</v>
      </c>
      <c r="BM51" t="e">
        <f>AND(Liste!#REF!,"AAAAAG3v+0A=")</f>
        <v>#REF!</v>
      </c>
      <c r="BN51">
        <f>IF(Liste!375:375,"AAAAAG3v+0E=",0)</f>
        <v>0</v>
      </c>
      <c r="BO51" t="b">
        <f>AND(Liste!A375,"AAAAAG3v+0I=")</f>
        <v>1</v>
      </c>
      <c r="BP51" t="e">
        <f>AND(Liste!#REF!,"AAAAAG3v+0M=")</f>
        <v>#REF!</v>
      </c>
      <c r="BQ51" t="e">
        <f>AND(Liste!#REF!,"AAAAAG3v+0Q=")</f>
        <v>#REF!</v>
      </c>
      <c r="BR51" t="e">
        <f>AND(Liste!#REF!,"AAAAAG3v+0U=")</f>
        <v>#REF!</v>
      </c>
      <c r="BS51" t="e">
        <f>AND(Liste!#REF!,"AAAAAG3v+0Y=")</f>
        <v>#REF!</v>
      </c>
      <c r="BT51" t="e">
        <f>AND(Liste!#REF!,"AAAAAG3v+0c=")</f>
        <v>#REF!</v>
      </c>
      <c r="BU51" t="e">
        <f>AND(Liste!#REF!,"AAAAAG3v+0g=")</f>
        <v>#REF!</v>
      </c>
      <c r="BV51" t="e">
        <f>AND(Liste!#REF!,"AAAAAG3v+0k=")</f>
        <v>#REF!</v>
      </c>
      <c r="BW51" t="e">
        <f>AND(Liste!#REF!,"AAAAAG3v+0o=")</f>
        <v>#REF!</v>
      </c>
      <c r="BX51" t="e">
        <f>AND(Liste!#REF!,"AAAAAG3v+0s=")</f>
        <v>#REF!</v>
      </c>
      <c r="BY51" t="e">
        <f>AND(Liste!#REF!,"AAAAAG3v+0w=")</f>
        <v>#REF!</v>
      </c>
      <c r="BZ51" t="e">
        <f>AND(Liste!#REF!,"AAAAAG3v+00=")</f>
        <v>#REF!</v>
      </c>
      <c r="CA51" t="e">
        <f>AND(Liste!#REF!,"AAAAAG3v+04=")</f>
        <v>#REF!</v>
      </c>
      <c r="CB51" t="e">
        <f>AND(Liste!#REF!,"AAAAAG3v+08=")</f>
        <v>#REF!</v>
      </c>
      <c r="CC51" t="e">
        <f>AND(Liste!#REF!,"AAAAAG3v+1A=")</f>
        <v>#REF!</v>
      </c>
      <c r="CD51" t="e">
        <f>AND(Liste!#REF!,"AAAAAG3v+1E=")</f>
        <v>#REF!</v>
      </c>
      <c r="CE51" t="e">
        <f>AND(Liste!#REF!,"AAAAAG3v+1I=")</f>
        <v>#REF!</v>
      </c>
      <c r="CF51" t="e">
        <f>AND(Liste!#REF!,"AAAAAG3v+1M=")</f>
        <v>#REF!</v>
      </c>
      <c r="CG51" t="e">
        <f>AND(Liste!#REF!,"AAAAAG3v+1Q=")</f>
        <v>#REF!</v>
      </c>
      <c r="CH51" t="e">
        <f>AND(Liste!#REF!,"AAAAAG3v+1U=")</f>
        <v>#REF!</v>
      </c>
      <c r="CI51" t="e">
        <f>AND(Liste!#REF!,"AAAAAG3v+1Y=")</f>
        <v>#REF!</v>
      </c>
      <c r="CJ51" t="e">
        <f>AND(Liste!#REF!,"AAAAAG3v+1c=")</f>
        <v>#REF!</v>
      </c>
      <c r="CK51" t="e">
        <f>AND(Liste!#REF!,"AAAAAG3v+1g=")</f>
        <v>#REF!</v>
      </c>
      <c r="CL51" t="e">
        <f>AND(Liste!#REF!,"AAAAAG3v+1k=")</f>
        <v>#REF!</v>
      </c>
      <c r="CM51" t="e">
        <f>AND(Liste!#REF!,"AAAAAG3v+1o=")</f>
        <v>#REF!</v>
      </c>
      <c r="CN51" t="e">
        <f>AND(Liste!#REF!,"AAAAAG3v+1s=")</f>
        <v>#REF!</v>
      </c>
      <c r="CO51" t="e">
        <f>AND(Liste!#REF!,"AAAAAG3v+1w=")</f>
        <v>#REF!</v>
      </c>
      <c r="CP51" t="e">
        <f>AND(Liste!#REF!,"AAAAAG3v+10=")</f>
        <v>#REF!</v>
      </c>
      <c r="CQ51" t="e">
        <f>AND(Liste!#REF!,"AAAAAG3v+14=")</f>
        <v>#REF!</v>
      </c>
      <c r="CR51" t="e">
        <f>AND(Liste!#REF!,"AAAAAG3v+18=")</f>
        <v>#REF!</v>
      </c>
      <c r="CS51" t="e">
        <f>IF(Liste!#REF!,"AAAAAG3v+2A=",0)</f>
        <v>#REF!</v>
      </c>
      <c r="CT51" t="e">
        <f>AND(Liste!#REF!,"AAAAAG3v+2E=")</f>
        <v>#REF!</v>
      </c>
      <c r="CU51" t="e">
        <f>AND(Liste!#REF!,"AAAAAG3v+2I=")</f>
        <v>#REF!</v>
      </c>
      <c r="CV51" t="e">
        <f>AND(Liste!#REF!,"AAAAAG3v+2M=")</f>
        <v>#REF!</v>
      </c>
      <c r="CW51" t="e">
        <f>AND(Liste!#REF!,"AAAAAG3v+2Q=")</f>
        <v>#REF!</v>
      </c>
      <c r="CX51" t="e">
        <f>AND(Liste!#REF!,"AAAAAG3v+2U=")</f>
        <v>#REF!</v>
      </c>
      <c r="CY51" t="e">
        <f>AND(Liste!#REF!,"AAAAAG3v+2Y=")</f>
        <v>#REF!</v>
      </c>
      <c r="CZ51" t="e">
        <f>AND(Liste!#REF!,"AAAAAG3v+2c=")</f>
        <v>#REF!</v>
      </c>
      <c r="DA51" t="e">
        <f>AND(Liste!#REF!,"AAAAAG3v+2g=")</f>
        <v>#REF!</v>
      </c>
      <c r="DB51" t="e">
        <f>AND(Liste!#REF!,"AAAAAG3v+2k=")</f>
        <v>#REF!</v>
      </c>
      <c r="DC51" t="e">
        <f>AND(Liste!#REF!,"AAAAAG3v+2o=")</f>
        <v>#REF!</v>
      </c>
      <c r="DD51" t="e">
        <f>AND(Liste!#REF!,"AAAAAG3v+2s=")</f>
        <v>#REF!</v>
      </c>
      <c r="DE51" t="e">
        <f>AND(Liste!#REF!,"AAAAAG3v+2w=")</f>
        <v>#REF!</v>
      </c>
      <c r="DF51" t="e">
        <f>AND(Liste!#REF!,"AAAAAG3v+20=")</f>
        <v>#REF!</v>
      </c>
      <c r="DG51" t="e">
        <f>AND(Liste!#REF!,"AAAAAG3v+24=")</f>
        <v>#REF!</v>
      </c>
      <c r="DH51" t="e">
        <f>AND(Liste!#REF!,"AAAAAG3v+28=")</f>
        <v>#REF!</v>
      </c>
      <c r="DI51" t="e">
        <f>AND(Liste!#REF!,"AAAAAG3v+3A=")</f>
        <v>#REF!</v>
      </c>
      <c r="DJ51" t="e">
        <f>AND(Liste!#REF!,"AAAAAG3v+3E=")</f>
        <v>#REF!</v>
      </c>
      <c r="DK51" t="e">
        <f>AND(Liste!#REF!,"AAAAAG3v+3I=")</f>
        <v>#REF!</v>
      </c>
      <c r="DL51" t="e">
        <f>AND(Liste!#REF!,"AAAAAG3v+3M=")</f>
        <v>#REF!</v>
      </c>
      <c r="DM51" t="e">
        <f>AND(Liste!#REF!,"AAAAAG3v+3Q=")</f>
        <v>#REF!</v>
      </c>
      <c r="DN51" t="e">
        <f>AND(Liste!#REF!,"AAAAAG3v+3U=")</f>
        <v>#REF!</v>
      </c>
      <c r="DO51" t="e">
        <f>AND(Liste!#REF!,"AAAAAG3v+3Y=")</f>
        <v>#REF!</v>
      </c>
      <c r="DP51" t="e">
        <f>AND(Liste!#REF!,"AAAAAG3v+3c=")</f>
        <v>#REF!</v>
      </c>
      <c r="DQ51" t="e">
        <f>AND(Liste!#REF!,"AAAAAG3v+3g=")</f>
        <v>#REF!</v>
      </c>
      <c r="DR51" t="e">
        <f>AND(Liste!#REF!,"AAAAAG3v+3k=")</f>
        <v>#REF!</v>
      </c>
      <c r="DS51" t="e">
        <f>AND(Liste!#REF!,"AAAAAG3v+3o=")</f>
        <v>#REF!</v>
      </c>
      <c r="DT51" t="e">
        <f>AND(Liste!#REF!,"AAAAAG3v+3s=")</f>
        <v>#REF!</v>
      </c>
      <c r="DU51" t="e">
        <f>AND(Liste!#REF!,"AAAAAG3v+3w=")</f>
        <v>#REF!</v>
      </c>
      <c r="DV51" t="e">
        <f>AND(Liste!#REF!,"AAAAAG3v+30=")</f>
        <v>#REF!</v>
      </c>
      <c r="DW51" t="e">
        <f>AND(Liste!#REF!,"AAAAAG3v+34=")</f>
        <v>#REF!</v>
      </c>
      <c r="DX51" t="e">
        <f>IF(Liste!#REF!,"AAAAAG3v+38=",0)</f>
        <v>#REF!</v>
      </c>
      <c r="DY51" t="e">
        <f>AND(Liste!#REF!,"AAAAAG3v+4A=")</f>
        <v>#REF!</v>
      </c>
      <c r="DZ51" t="e">
        <f>AND(Liste!#REF!,"AAAAAG3v+4E=")</f>
        <v>#REF!</v>
      </c>
      <c r="EA51" t="e">
        <f>AND(Liste!#REF!,"AAAAAG3v+4I=")</f>
        <v>#REF!</v>
      </c>
      <c r="EB51" t="e">
        <f>AND(Liste!#REF!,"AAAAAG3v+4M=")</f>
        <v>#REF!</v>
      </c>
      <c r="EC51" t="e">
        <f>AND(Liste!#REF!,"AAAAAG3v+4Q=")</f>
        <v>#REF!</v>
      </c>
      <c r="ED51" t="e">
        <f>AND(Liste!#REF!,"AAAAAG3v+4U=")</f>
        <v>#REF!</v>
      </c>
      <c r="EE51" t="e">
        <f>AND(Liste!#REF!,"AAAAAG3v+4Y=")</f>
        <v>#REF!</v>
      </c>
      <c r="EF51" t="e">
        <f>AND(Liste!#REF!,"AAAAAG3v+4c=")</f>
        <v>#REF!</v>
      </c>
      <c r="EG51" t="e">
        <f>AND(Liste!#REF!,"AAAAAG3v+4g=")</f>
        <v>#REF!</v>
      </c>
      <c r="EH51" t="e">
        <f>AND(Liste!#REF!,"AAAAAG3v+4k=")</f>
        <v>#REF!</v>
      </c>
      <c r="EI51" t="e">
        <f>AND(Liste!#REF!,"AAAAAG3v+4o=")</f>
        <v>#REF!</v>
      </c>
      <c r="EJ51" t="e">
        <f>AND(Liste!#REF!,"AAAAAG3v+4s=")</f>
        <v>#REF!</v>
      </c>
      <c r="EK51" t="e">
        <f>AND(Liste!#REF!,"AAAAAG3v+4w=")</f>
        <v>#REF!</v>
      </c>
      <c r="EL51" t="e">
        <f>AND(Liste!#REF!,"AAAAAG3v+40=")</f>
        <v>#REF!</v>
      </c>
      <c r="EM51" t="e">
        <f>AND(Liste!#REF!,"AAAAAG3v+44=")</f>
        <v>#REF!</v>
      </c>
      <c r="EN51" t="e">
        <f>AND(Liste!#REF!,"AAAAAG3v+48=")</f>
        <v>#REF!</v>
      </c>
      <c r="EO51" t="e">
        <f>AND(Liste!#REF!,"AAAAAG3v+5A=")</f>
        <v>#REF!</v>
      </c>
      <c r="EP51" t="e">
        <f>AND(Liste!#REF!,"AAAAAG3v+5E=")</f>
        <v>#REF!</v>
      </c>
      <c r="EQ51" t="e">
        <f>AND(Liste!#REF!,"AAAAAG3v+5I=")</f>
        <v>#REF!</v>
      </c>
      <c r="ER51" t="e">
        <f>AND(Liste!#REF!,"AAAAAG3v+5M=")</f>
        <v>#REF!</v>
      </c>
      <c r="ES51" t="e">
        <f>AND(Liste!#REF!,"AAAAAG3v+5Q=")</f>
        <v>#REF!</v>
      </c>
      <c r="ET51" t="e">
        <f>AND(Liste!#REF!,"AAAAAG3v+5U=")</f>
        <v>#REF!</v>
      </c>
      <c r="EU51" t="e">
        <f>AND(Liste!#REF!,"AAAAAG3v+5Y=")</f>
        <v>#REF!</v>
      </c>
      <c r="EV51" t="e">
        <f>AND(Liste!#REF!,"AAAAAG3v+5c=")</f>
        <v>#REF!</v>
      </c>
      <c r="EW51" t="e">
        <f>AND(Liste!#REF!,"AAAAAG3v+5g=")</f>
        <v>#REF!</v>
      </c>
      <c r="EX51" t="e">
        <f>AND(Liste!#REF!,"AAAAAG3v+5k=")</f>
        <v>#REF!</v>
      </c>
      <c r="EY51" t="e">
        <f>AND(Liste!#REF!,"AAAAAG3v+5o=")</f>
        <v>#REF!</v>
      </c>
      <c r="EZ51" t="e">
        <f>AND(Liste!#REF!,"AAAAAG3v+5s=")</f>
        <v>#REF!</v>
      </c>
      <c r="FA51" t="e">
        <f>AND(Liste!#REF!,"AAAAAG3v+5w=")</f>
        <v>#REF!</v>
      </c>
      <c r="FB51" t="e">
        <f>AND(Liste!#REF!,"AAAAAG3v+50=")</f>
        <v>#REF!</v>
      </c>
      <c r="FC51" t="e">
        <f>IF(Liste!#REF!,"AAAAAG3v+54=",0)</f>
        <v>#REF!</v>
      </c>
      <c r="FD51" t="e">
        <f>AND(Liste!#REF!,"AAAAAG3v+58=")</f>
        <v>#REF!</v>
      </c>
      <c r="FE51" t="e">
        <f>AND(Liste!#REF!,"AAAAAG3v+6A=")</f>
        <v>#REF!</v>
      </c>
      <c r="FF51" t="e">
        <f>AND(Liste!#REF!,"AAAAAG3v+6E=")</f>
        <v>#REF!</v>
      </c>
      <c r="FG51" t="e">
        <f>AND(Liste!#REF!,"AAAAAG3v+6I=")</f>
        <v>#REF!</v>
      </c>
      <c r="FH51" t="e">
        <f>AND(Liste!#REF!,"AAAAAG3v+6M=")</f>
        <v>#REF!</v>
      </c>
      <c r="FI51" t="e">
        <f>AND(Liste!#REF!,"AAAAAG3v+6Q=")</f>
        <v>#REF!</v>
      </c>
      <c r="FJ51" t="e">
        <f>AND(Liste!#REF!,"AAAAAG3v+6U=")</f>
        <v>#REF!</v>
      </c>
      <c r="FK51" t="e">
        <f>AND(Liste!#REF!,"AAAAAG3v+6Y=")</f>
        <v>#REF!</v>
      </c>
      <c r="FL51" t="e">
        <f>AND(Liste!#REF!,"AAAAAG3v+6c=")</f>
        <v>#REF!</v>
      </c>
      <c r="FM51" t="e">
        <f>AND(Liste!#REF!,"AAAAAG3v+6g=")</f>
        <v>#REF!</v>
      </c>
      <c r="FN51" t="e">
        <f>AND(Liste!#REF!,"AAAAAG3v+6k=")</f>
        <v>#REF!</v>
      </c>
      <c r="FO51" t="e">
        <f>AND(Liste!#REF!,"AAAAAG3v+6o=")</f>
        <v>#REF!</v>
      </c>
      <c r="FP51" t="e">
        <f>AND(Liste!#REF!,"AAAAAG3v+6s=")</f>
        <v>#REF!</v>
      </c>
      <c r="FQ51" t="e">
        <f>AND(Liste!#REF!,"AAAAAG3v+6w=")</f>
        <v>#REF!</v>
      </c>
      <c r="FR51" t="e">
        <f>AND(Liste!#REF!,"AAAAAG3v+60=")</f>
        <v>#REF!</v>
      </c>
      <c r="FS51" t="e">
        <f>AND(Liste!#REF!,"AAAAAG3v+64=")</f>
        <v>#REF!</v>
      </c>
      <c r="FT51" t="e">
        <f>AND(Liste!#REF!,"AAAAAG3v+68=")</f>
        <v>#REF!</v>
      </c>
      <c r="FU51" t="e">
        <f>AND(Liste!#REF!,"AAAAAG3v+7A=")</f>
        <v>#REF!</v>
      </c>
      <c r="FV51" t="e">
        <f>AND(Liste!#REF!,"AAAAAG3v+7E=")</f>
        <v>#REF!</v>
      </c>
      <c r="FW51" t="e">
        <f>AND(Liste!#REF!,"AAAAAG3v+7I=")</f>
        <v>#REF!</v>
      </c>
      <c r="FX51" t="e">
        <f>AND(Liste!#REF!,"AAAAAG3v+7M=")</f>
        <v>#REF!</v>
      </c>
      <c r="FY51" t="e">
        <f>AND(Liste!#REF!,"AAAAAG3v+7Q=")</f>
        <v>#REF!</v>
      </c>
      <c r="FZ51" t="e">
        <f>AND(Liste!#REF!,"AAAAAG3v+7U=")</f>
        <v>#REF!</v>
      </c>
      <c r="GA51" t="e">
        <f>AND(Liste!#REF!,"AAAAAG3v+7Y=")</f>
        <v>#REF!</v>
      </c>
      <c r="GB51" t="e">
        <f>AND(Liste!#REF!,"AAAAAG3v+7c=")</f>
        <v>#REF!</v>
      </c>
      <c r="GC51" t="e">
        <f>AND(Liste!#REF!,"AAAAAG3v+7g=")</f>
        <v>#REF!</v>
      </c>
      <c r="GD51" t="e">
        <f>AND(Liste!#REF!,"AAAAAG3v+7k=")</f>
        <v>#REF!</v>
      </c>
      <c r="GE51" t="e">
        <f>AND(Liste!#REF!,"AAAAAG3v+7o=")</f>
        <v>#REF!</v>
      </c>
      <c r="GF51" t="e">
        <f>AND(Liste!#REF!,"AAAAAG3v+7s=")</f>
        <v>#REF!</v>
      </c>
      <c r="GG51" t="e">
        <f>AND(Liste!#REF!,"AAAAAG3v+7w=")</f>
        <v>#REF!</v>
      </c>
      <c r="GH51" t="e">
        <f>IF(Liste!#REF!,"AAAAAG3v+70=",0)</f>
        <v>#REF!</v>
      </c>
      <c r="GI51" t="e">
        <f>AND(Liste!#REF!,"AAAAAG3v+74=")</f>
        <v>#REF!</v>
      </c>
      <c r="GJ51" t="e">
        <f>AND(Liste!#REF!,"AAAAAG3v+78=")</f>
        <v>#REF!</v>
      </c>
      <c r="GK51" t="e">
        <f>AND(Liste!#REF!,"AAAAAG3v+8A=")</f>
        <v>#REF!</v>
      </c>
      <c r="GL51" t="e">
        <f>AND(Liste!#REF!,"AAAAAG3v+8E=")</f>
        <v>#REF!</v>
      </c>
      <c r="GM51" t="e">
        <f>AND(Liste!#REF!,"AAAAAG3v+8I=")</f>
        <v>#REF!</v>
      </c>
      <c r="GN51" t="e">
        <f>AND(Liste!#REF!,"AAAAAG3v+8M=")</f>
        <v>#REF!</v>
      </c>
      <c r="GO51" t="e">
        <f>AND(Liste!#REF!,"AAAAAG3v+8Q=")</f>
        <v>#REF!</v>
      </c>
      <c r="GP51" t="e">
        <f>AND(Liste!#REF!,"AAAAAG3v+8U=")</f>
        <v>#REF!</v>
      </c>
      <c r="GQ51" t="e">
        <f>AND(Liste!#REF!,"AAAAAG3v+8Y=")</f>
        <v>#REF!</v>
      </c>
      <c r="GR51" t="e">
        <f>AND(Liste!#REF!,"AAAAAG3v+8c=")</f>
        <v>#REF!</v>
      </c>
      <c r="GS51" t="e">
        <f>AND(Liste!#REF!,"AAAAAG3v+8g=")</f>
        <v>#REF!</v>
      </c>
      <c r="GT51" t="e">
        <f>AND(Liste!#REF!,"AAAAAG3v+8k=")</f>
        <v>#REF!</v>
      </c>
      <c r="GU51" t="e">
        <f>AND(Liste!#REF!,"AAAAAG3v+8o=")</f>
        <v>#REF!</v>
      </c>
      <c r="GV51" t="e">
        <f>AND(Liste!#REF!,"AAAAAG3v+8s=")</f>
        <v>#REF!</v>
      </c>
      <c r="GW51" t="e">
        <f>AND(Liste!#REF!,"AAAAAG3v+8w=")</f>
        <v>#REF!</v>
      </c>
      <c r="GX51" t="e">
        <f>AND(Liste!#REF!,"AAAAAG3v+80=")</f>
        <v>#REF!</v>
      </c>
      <c r="GY51" t="e">
        <f>AND(Liste!#REF!,"AAAAAG3v+84=")</f>
        <v>#REF!</v>
      </c>
      <c r="GZ51" t="e">
        <f>AND(Liste!#REF!,"AAAAAG3v+88=")</f>
        <v>#REF!</v>
      </c>
      <c r="HA51" t="e">
        <f>AND(Liste!#REF!,"AAAAAG3v+9A=")</f>
        <v>#REF!</v>
      </c>
      <c r="HB51" t="e">
        <f>AND(Liste!#REF!,"AAAAAG3v+9E=")</f>
        <v>#REF!</v>
      </c>
      <c r="HC51" t="e">
        <f>AND(Liste!#REF!,"AAAAAG3v+9I=")</f>
        <v>#REF!</v>
      </c>
      <c r="HD51" t="e">
        <f>AND(Liste!#REF!,"AAAAAG3v+9M=")</f>
        <v>#REF!</v>
      </c>
      <c r="HE51" t="e">
        <f>AND(Liste!#REF!,"AAAAAG3v+9Q=")</f>
        <v>#REF!</v>
      </c>
      <c r="HF51" t="e">
        <f>AND(Liste!#REF!,"AAAAAG3v+9U=")</f>
        <v>#REF!</v>
      </c>
      <c r="HG51" t="e">
        <f>AND(Liste!#REF!,"AAAAAG3v+9Y=")</f>
        <v>#REF!</v>
      </c>
      <c r="HH51" t="e">
        <f>AND(Liste!#REF!,"AAAAAG3v+9c=")</f>
        <v>#REF!</v>
      </c>
      <c r="HI51" t="e">
        <f>AND(Liste!#REF!,"AAAAAG3v+9g=")</f>
        <v>#REF!</v>
      </c>
      <c r="HJ51" t="e">
        <f>AND(Liste!#REF!,"AAAAAG3v+9k=")</f>
        <v>#REF!</v>
      </c>
      <c r="HK51" t="e">
        <f>AND(Liste!#REF!,"AAAAAG3v+9o=")</f>
        <v>#REF!</v>
      </c>
      <c r="HL51" t="e">
        <f>AND(Liste!#REF!,"AAAAAG3v+9s=")</f>
        <v>#REF!</v>
      </c>
      <c r="HM51" t="e">
        <f>IF(Liste!#REF!,"AAAAAG3v+9w=",0)</f>
        <v>#REF!</v>
      </c>
      <c r="HN51" t="e">
        <f>AND(Liste!#REF!,"AAAAAG3v+90=")</f>
        <v>#REF!</v>
      </c>
      <c r="HO51" t="e">
        <f>AND(Liste!#REF!,"AAAAAG3v+94=")</f>
        <v>#REF!</v>
      </c>
      <c r="HP51" t="e">
        <f>AND(Liste!#REF!,"AAAAAG3v+98=")</f>
        <v>#REF!</v>
      </c>
      <c r="HQ51" t="e">
        <f>AND(Liste!#REF!,"AAAAAG3v++A=")</f>
        <v>#REF!</v>
      </c>
      <c r="HR51" t="e">
        <f>AND(Liste!#REF!,"AAAAAG3v++E=")</f>
        <v>#REF!</v>
      </c>
      <c r="HS51" t="e">
        <f>AND(Liste!#REF!,"AAAAAG3v++I=")</f>
        <v>#REF!</v>
      </c>
      <c r="HT51" t="e">
        <f>AND(Liste!#REF!,"AAAAAG3v++M=")</f>
        <v>#REF!</v>
      </c>
      <c r="HU51" t="e">
        <f>AND(Liste!#REF!,"AAAAAG3v++Q=")</f>
        <v>#REF!</v>
      </c>
      <c r="HV51" t="e">
        <f>AND(Liste!#REF!,"AAAAAG3v++U=")</f>
        <v>#REF!</v>
      </c>
      <c r="HW51" t="e">
        <f>AND(Liste!#REF!,"AAAAAG3v++Y=")</f>
        <v>#REF!</v>
      </c>
      <c r="HX51" t="e">
        <f>AND(Liste!#REF!,"AAAAAG3v++c=")</f>
        <v>#REF!</v>
      </c>
      <c r="HY51" t="e">
        <f>AND(Liste!#REF!,"AAAAAG3v++g=")</f>
        <v>#REF!</v>
      </c>
      <c r="HZ51" t="e">
        <f>AND(Liste!#REF!,"AAAAAG3v++k=")</f>
        <v>#REF!</v>
      </c>
      <c r="IA51" t="e">
        <f>AND(Liste!#REF!,"AAAAAG3v++o=")</f>
        <v>#REF!</v>
      </c>
      <c r="IB51" t="e">
        <f>AND(Liste!#REF!,"AAAAAG3v++s=")</f>
        <v>#REF!</v>
      </c>
      <c r="IC51" t="e">
        <f>AND(Liste!#REF!,"AAAAAG3v++w=")</f>
        <v>#REF!</v>
      </c>
      <c r="ID51" t="e">
        <f>AND(Liste!#REF!,"AAAAAG3v++0=")</f>
        <v>#REF!</v>
      </c>
      <c r="IE51" t="e">
        <f>AND(Liste!#REF!,"AAAAAG3v++4=")</f>
        <v>#REF!</v>
      </c>
      <c r="IF51" t="e">
        <f>AND(Liste!#REF!,"AAAAAG3v++8=")</f>
        <v>#REF!</v>
      </c>
      <c r="IG51" t="e">
        <f>AND(Liste!#REF!,"AAAAAG3v+/A=")</f>
        <v>#REF!</v>
      </c>
      <c r="IH51" t="e">
        <f>AND(Liste!#REF!,"AAAAAG3v+/E=")</f>
        <v>#REF!</v>
      </c>
      <c r="II51" t="e">
        <f>AND(Liste!#REF!,"AAAAAG3v+/I=")</f>
        <v>#REF!</v>
      </c>
      <c r="IJ51" t="e">
        <f>AND(Liste!#REF!,"AAAAAG3v+/M=")</f>
        <v>#REF!</v>
      </c>
      <c r="IK51" t="e">
        <f>AND(Liste!#REF!,"AAAAAG3v+/Q=")</f>
        <v>#REF!</v>
      </c>
      <c r="IL51" t="e">
        <f>AND(Liste!#REF!,"AAAAAG3v+/U=")</f>
        <v>#REF!</v>
      </c>
      <c r="IM51" t="e">
        <f>AND(Liste!#REF!,"AAAAAG3v+/Y=")</f>
        <v>#REF!</v>
      </c>
      <c r="IN51" t="e">
        <f>AND(Liste!#REF!,"AAAAAG3v+/c=")</f>
        <v>#REF!</v>
      </c>
      <c r="IO51" t="e">
        <f>AND(Liste!#REF!,"AAAAAG3v+/g=")</f>
        <v>#REF!</v>
      </c>
      <c r="IP51" t="e">
        <f>AND(Liste!#REF!,"AAAAAG3v+/k=")</f>
        <v>#REF!</v>
      </c>
      <c r="IQ51" t="e">
        <f>AND(Liste!#REF!,"AAAAAG3v+/o=")</f>
        <v>#REF!</v>
      </c>
      <c r="IR51" t="e">
        <f>IF(Liste!#REF!,"AAAAAG3v+/s=",0)</f>
        <v>#REF!</v>
      </c>
      <c r="IS51" t="e">
        <f>AND(Liste!#REF!,"AAAAAG3v+/w=")</f>
        <v>#REF!</v>
      </c>
      <c r="IT51" t="e">
        <f>AND(Liste!#REF!,"AAAAAG3v+/0=")</f>
        <v>#REF!</v>
      </c>
      <c r="IU51" t="e">
        <f>AND(Liste!#REF!,"AAAAAG3v+/4=")</f>
        <v>#REF!</v>
      </c>
      <c r="IV51" t="e">
        <f>AND(Liste!#REF!,"AAAAAG3v+/8=")</f>
        <v>#REF!</v>
      </c>
    </row>
    <row r="52" spans="1:256" x14ac:dyDescent="0.2">
      <c r="A52" t="e">
        <f>AND(Liste!#REF!,"AAAAAHe/TQA=")</f>
        <v>#REF!</v>
      </c>
      <c r="B52" t="e">
        <f>AND(Liste!#REF!,"AAAAAHe/TQE=")</f>
        <v>#REF!</v>
      </c>
      <c r="C52" t="e">
        <f>AND(Liste!#REF!,"AAAAAHe/TQI=")</f>
        <v>#REF!</v>
      </c>
      <c r="D52" t="e">
        <f>AND(Liste!#REF!,"AAAAAHe/TQM=")</f>
        <v>#REF!</v>
      </c>
      <c r="E52" t="e">
        <f>AND(Liste!#REF!,"AAAAAHe/TQQ=")</f>
        <v>#REF!</v>
      </c>
      <c r="F52" t="e">
        <f>AND(Liste!#REF!,"AAAAAHe/TQU=")</f>
        <v>#REF!</v>
      </c>
      <c r="G52" t="e">
        <f>AND(Liste!#REF!,"AAAAAHe/TQY=")</f>
        <v>#REF!</v>
      </c>
      <c r="H52" t="e">
        <f>AND(Liste!#REF!,"AAAAAHe/TQc=")</f>
        <v>#REF!</v>
      </c>
      <c r="I52" t="e">
        <f>AND(Liste!#REF!,"AAAAAHe/TQg=")</f>
        <v>#REF!</v>
      </c>
      <c r="J52" t="e">
        <f>AND(Liste!#REF!,"AAAAAHe/TQk=")</f>
        <v>#REF!</v>
      </c>
      <c r="K52" t="e">
        <f>AND(Liste!#REF!,"AAAAAHe/TQo=")</f>
        <v>#REF!</v>
      </c>
      <c r="L52" t="e">
        <f>AND(Liste!#REF!,"AAAAAHe/TQs=")</f>
        <v>#REF!</v>
      </c>
      <c r="M52" t="e">
        <f>AND(Liste!#REF!,"AAAAAHe/TQw=")</f>
        <v>#REF!</v>
      </c>
      <c r="N52" t="e">
        <f>AND(Liste!#REF!,"AAAAAHe/TQ0=")</f>
        <v>#REF!</v>
      </c>
      <c r="O52" t="e">
        <f>AND(Liste!#REF!,"AAAAAHe/TQ4=")</f>
        <v>#REF!</v>
      </c>
      <c r="P52" t="e">
        <f>AND(Liste!#REF!,"AAAAAHe/TQ8=")</f>
        <v>#REF!</v>
      </c>
      <c r="Q52" t="e">
        <f>AND(Liste!#REF!,"AAAAAHe/TRA=")</f>
        <v>#REF!</v>
      </c>
      <c r="R52" t="e">
        <f>AND(Liste!#REF!,"AAAAAHe/TRE=")</f>
        <v>#REF!</v>
      </c>
      <c r="S52" t="e">
        <f>AND(Liste!#REF!,"AAAAAHe/TRI=")</f>
        <v>#REF!</v>
      </c>
      <c r="T52" t="e">
        <f>AND(Liste!#REF!,"AAAAAHe/TRM=")</f>
        <v>#REF!</v>
      </c>
      <c r="U52" t="e">
        <f>AND(Liste!#REF!,"AAAAAHe/TRQ=")</f>
        <v>#REF!</v>
      </c>
      <c r="V52" t="e">
        <f>AND(Liste!#REF!,"AAAAAHe/TRU=")</f>
        <v>#REF!</v>
      </c>
      <c r="W52" t="e">
        <f>AND(Liste!#REF!,"AAAAAHe/TRY=")</f>
        <v>#REF!</v>
      </c>
      <c r="X52" t="e">
        <f>AND(Liste!#REF!,"AAAAAHe/TRc=")</f>
        <v>#REF!</v>
      </c>
      <c r="Y52" t="e">
        <f>AND(Liste!#REF!,"AAAAAHe/TRg=")</f>
        <v>#REF!</v>
      </c>
      <c r="Z52" t="e">
        <f>AND(Liste!#REF!,"AAAAAHe/TRk=")</f>
        <v>#REF!</v>
      </c>
      <c r="AA52" t="e">
        <f>IF(Liste!#REF!,"AAAAAHe/TRo=",0)</f>
        <v>#REF!</v>
      </c>
      <c r="AB52" t="e">
        <f>AND(Liste!#REF!,"AAAAAHe/TRs=")</f>
        <v>#REF!</v>
      </c>
      <c r="AC52" t="e">
        <f>AND(Liste!#REF!,"AAAAAHe/TRw=")</f>
        <v>#REF!</v>
      </c>
      <c r="AD52" t="e">
        <f>AND(Liste!#REF!,"AAAAAHe/TR0=")</f>
        <v>#REF!</v>
      </c>
      <c r="AE52" t="e">
        <f>AND(Liste!#REF!,"AAAAAHe/TR4=")</f>
        <v>#REF!</v>
      </c>
      <c r="AF52" t="e">
        <f>AND(Liste!#REF!,"AAAAAHe/TR8=")</f>
        <v>#REF!</v>
      </c>
      <c r="AG52" t="e">
        <f>AND(Liste!#REF!,"AAAAAHe/TSA=")</f>
        <v>#REF!</v>
      </c>
      <c r="AH52" t="e">
        <f>AND(Liste!#REF!,"AAAAAHe/TSE=")</f>
        <v>#REF!</v>
      </c>
      <c r="AI52" t="e">
        <f>AND(Liste!#REF!,"AAAAAHe/TSI=")</f>
        <v>#REF!</v>
      </c>
      <c r="AJ52" t="e">
        <f>AND(Liste!#REF!,"AAAAAHe/TSM=")</f>
        <v>#REF!</v>
      </c>
      <c r="AK52" t="e">
        <f>AND(Liste!#REF!,"AAAAAHe/TSQ=")</f>
        <v>#REF!</v>
      </c>
      <c r="AL52" t="e">
        <f>AND(Liste!#REF!,"AAAAAHe/TSU=")</f>
        <v>#REF!</v>
      </c>
      <c r="AM52" t="e">
        <f>AND(Liste!#REF!,"AAAAAHe/TSY=")</f>
        <v>#REF!</v>
      </c>
      <c r="AN52" t="e">
        <f>AND(Liste!#REF!,"AAAAAHe/TSc=")</f>
        <v>#REF!</v>
      </c>
      <c r="AO52" t="e">
        <f>AND(Liste!#REF!,"AAAAAHe/TSg=")</f>
        <v>#REF!</v>
      </c>
      <c r="AP52" t="e">
        <f>AND(Liste!#REF!,"AAAAAHe/TSk=")</f>
        <v>#REF!</v>
      </c>
      <c r="AQ52" t="e">
        <f>AND(Liste!#REF!,"AAAAAHe/TSo=")</f>
        <v>#REF!</v>
      </c>
      <c r="AR52" t="e">
        <f>AND(Liste!#REF!,"AAAAAHe/TSs=")</f>
        <v>#REF!</v>
      </c>
      <c r="AS52" t="e">
        <f>AND(Liste!#REF!,"AAAAAHe/TSw=")</f>
        <v>#REF!</v>
      </c>
      <c r="AT52" t="e">
        <f>AND(Liste!#REF!,"AAAAAHe/TS0=")</f>
        <v>#REF!</v>
      </c>
      <c r="AU52" t="e">
        <f>AND(Liste!#REF!,"AAAAAHe/TS4=")</f>
        <v>#REF!</v>
      </c>
      <c r="AV52" t="e">
        <f>AND(Liste!#REF!,"AAAAAHe/TS8=")</f>
        <v>#REF!</v>
      </c>
      <c r="AW52" t="e">
        <f>AND(Liste!#REF!,"AAAAAHe/TTA=")</f>
        <v>#REF!</v>
      </c>
      <c r="AX52" t="e">
        <f>AND(Liste!#REF!,"AAAAAHe/TTE=")</f>
        <v>#REF!</v>
      </c>
      <c r="AY52" t="e">
        <f>AND(Liste!#REF!,"AAAAAHe/TTI=")</f>
        <v>#REF!</v>
      </c>
      <c r="AZ52" t="e">
        <f>AND(Liste!#REF!,"AAAAAHe/TTM=")</f>
        <v>#REF!</v>
      </c>
      <c r="BA52" t="e">
        <f>AND(Liste!#REF!,"AAAAAHe/TTQ=")</f>
        <v>#REF!</v>
      </c>
      <c r="BB52" t="e">
        <f>AND(Liste!#REF!,"AAAAAHe/TTU=")</f>
        <v>#REF!</v>
      </c>
      <c r="BC52" t="e">
        <f>AND(Liste!#REF!,"AAAAAHe/TTY=")</f>
        <v>#REF!</v>
      </c>
      <c r="BD52" t="e">
        <f>AND(Liste!#REF!,"AAAAAHe/TTc=")</f>
        <v>#REF!</v>
      </c>
      <c r="BE52" t="e">
        <f>AND(Liste!#REF!,"AAAAAHe/TTg=")</f>
        <v>#REF!</v>
      </c>
      <c r="BF52" t="e">
        <f>IF(Liste!#REF!,"AAAAAHe/TTk=",0)</f>
        <v>#REF!</v>
      </c>
      <c r="BG52" t="e">
        <f>AND(Liste!#REF!,"AAAAAHe/TTo=")</f>
        <v>#REF!</v>
      </c>
      <c r="BH52" t="e">
        <f>AND(Liste!#REF!,"AAAAAHe/TTs=")</f>
        <v>#REF!</v>
      </c>
      <c r="BI52" t="e">
        <f>AND(Liste!#REF!,"AAAAAHe/TTw=")</f>
        <v>#REF!</v>
      </c>
      <c r="BJ52" t="e">
        <f>AND(Liste!#REF!,"AAAAAHe/TT0=")</f>
        <v>#REF!</v>
      </c>
      <c r="BK52" t="e">
        <f>AND(Liste!#REF!,"AAAAAHe/TT4=")</f>
        <v>#REF!</v>
      </c>
      <c r="BL52" t="e">
        <f>AND(Liste!#REF!,"AAAAAHe/TT8=")</f>
        <v>#REF!</v>
      </c>
      <c r="BM52" t="e">
        <f>AND(Liste!#REF!,"AAAAAHe/TUA=")</f>
        <v>#REF!</v>
      </c>
      <c r="BN52" t="e">
        <f>AND(Liste!#REF!,"AAAAAHe/TUE=")</f>
        <v>#REF!</v>
      </c>
      <c r="BO52" t="e">
        <f>AND(Liste!#REF!,"AAAAAHe/TUI=")</f>
        <v>#REF!</v>
      </c>
      <c r="BP52" t="e">
        <f>AND(Liste!#REF!,"AAAAAHe/TUM=")</f>
        <v>#REF!</v>
      </c>
      <c r="BQ52" t="e">
        <f>AND(Liste!#REF!,"AAAAAHe/TUQ=")</f>
        <v>#REF!</v>
      </c>
      <c r="BR52" t="e">
        <f>AND(Liste!#REF!,"AAAAAHe/TUU=")</f>
        <v>#REF!</v>
      </c>
      <c r="BS52" t="e">
        <f>AND(Liste!#REF!,"AAAAAHe/TUY=")</f>
        <v>#REF!</v>
      </c>
      <c r="BT52" t="e">
        <f>AND(Liste!#REF!,"AAAAAHe/TUc=")</f>
        <v>#REF!</v>
      </c>
      <c r="BU52" t="e">
        <f>AND(Liste!#REF!,"AAAAAHe/TUg=")</f>
        <v>#REF!</v>
      </c>
      <c r="BV52" t="e">
        <f>AND(Liste!#REF!,"AAAAAHe/TUk=")</f>
        <v>#REF!</v>
      </c>
      <c r="BW52" t="e">
        <f>AND(Liste!#REF!,"AAAAAHe/TUo=")</f>
        <v>#REF!</v>
      </c>
      <c r="BX52" t="e">
        <f>AND(Liste!#REF!,"AAAAAHe/TUs=")</f>
        <v>#REF!</v>
      </c>
      <c r="BY52" t="e">
        <f>AND(Liste!#REF!,"AAAAAHe/TUw=")</f>
        <v>#REF!</v>
      </c>
      <c r="BZ52" t="e">
        <f>AND(Liste!#REF!,"AAAAAHe/TU0=")</f>
        <v>#REF!</v>
      </c>
      <c r="CA52" t="e">
        <f>AND(Liste!#REF!,"AAAAAHe/TU4=")</f>
        <v>#REF!</v>
      </c>
      <c r="CB52" t="e">
        <f>AND(Liste!#REF!,"AAAAAHe/TU8=")</f>
        <v>#REF!</v>
      </c>
      <c r="CC52" t="e">
        <f>AND(Liste!#REF!,"AAAAAHe/TVA=")</f>
        <v>#REF!</v>
      </c>
      <c r="CD52" t="e">
        <f>AND(Liste!#REF!,"AAAAAHe/TVE=")</f>
        <v>#REF!</v>
      </c>
      <c r="CE52" t="e">
        <f>AND(Liste!#REF!,"AAAAAHe/TVI=")</f>
        <v>#REF!</v>
      </c>
      <c r="CF52" t="e">
        <f>AND(Liste!#REF!,"AAAAAHe/TVM=")</f>
        <v>#REF!</v>
      </c>
      <c r="CG52" t="e">
        <f>AND(Liste!#REF!,"AAAAAHe/TVQ=")</f>
        <v>#REF!</v>
      </c>
      <c r="CH52" t="e">
        <f>AND(Liste!#REF!,"AAAAAHe/TVU=")</f>
        <v>#REF!</v>
      </c>
      <c r="CI52" t="e">
        <f>AND(Liste!#REF!,"AAAAAHe/TVY=")</f>
        <v>#REF!</v>
      </c>
      <c r="CJ52" t="e">
        <f>AND(Liste!#REF!,"AAAAAHe/TVc=")</f>
        <v>#REF!</v>
      </c>
      <c r="CK52" t="e">
        <f>IF(Liste!#REF!,"AAAAAHe/TVg=",0)</f>
        <v>#REF!</v>
      </c>
      <c r="CL52" t="e">
        <f>AND(Liste!#REF!,"AAAAAHe/TVk=")</f>
        <v>#REF!</v>
      </c>
      <c r="CM52" t="e">
        <f>AND(Liste!#REF!,"AAAAAHe/TVo=")</f>
        <v>#REF!</v>
      </c>
      <c r="CN52" t="e">
        <f>AND(Liste!#REF!,"AAAAAHe/TVs=")</f>
        <v>#REF!</v>
      </c>
      <c r="CO52" t="e">
        <f>AND(Liste!#REF!,"AAAAAHe/TVw=")</f>
        <v>#REF!</v>
      </c>
      <c r="CP52" t="e">
        <f>AND(Liste!#REF!,"AAAAAHe/TV0=")</f>
        <v>#REF!</v>
      </c>
      <c r="CQ52" t="e">
        <f>AND(Liste!#REF!,"AAAAAHe/TV4=")</f>
        <v>#REF!</v>
      </c>
      <c r="CR52" t="e">
        <f>AND(Liste!#REF!,"AAAAAHe/TV8=")</f>
        <v>#REF!</v>
      </c>
      <c r="CS52" t="e">
        <f>AND(Liste!#REF!,"AAAAAHe/TWA=")</f>
        <v>#REF!</v>
      </c>
      <c r="CT52" t="e">
        <f>AND(Liste!#REF!,"AAAAAHe/TWE=")</f>
        <v>#REF!</v>
      </c>
      <c r="CU52" t="e">
        <f>AND(Liste!#REF!,"AAAAAHe/TWI=")</f>
        <v>#REF!</v>
      </c>
      <c r="CV52" t="e">
        <f>AND(Liste!#REF!,"AAAAAHe/TWM=")</f>
        <v>#REF!</v>
      </c>
      <c r="CW52" t="e">
        <f>AND(Liste!#REF!,"AAAAAHe/TWQ=")</f>
        <v>#REF!</v>
      </c>
      <c r="CX52" t="e">
        <f>AND(Liste!#REF!,"AAAAAHe/TWU=")</f>
        <v>#REF!</v>
      </c>
      <c r="CY52" t="e">
        <f>AND(Liste!#REF!,"AAAAAHe/TWY=")</f>
        <v>#REF!</v>
      </c>
      <c r="CZ52" t="e">
        <f>AND(Liste!#REF!,"AAAAAHe/TWc=")</f>
        <v>#REF!</v>
      </c>
      <c r="DA52" t="e">
        <f>AND(Liste!#REF!,"AAAAAHe/TWg=")</f>
        <v>#REF!</v>
      </c>
      <c r="DB52" t="e">
        <f>AND(Liste!#REF!,"AAAAAHe/TWk=")</f>
        <v>#REF!</v>
      </c>
      <c r="DC52" t="e">
        <f>AND(Liste!#REF!,"AAAAAHe/TWo=")</f>
        <v>#REF!</v>
      </c>
      <c r="DD52" t="e">
        <f>AND(Liste!#REF!,"AAAAAHe/TWs=")</f>
        <v>#REF!</v>
      </c>
      <c r="DE52" t="e">
        <f>AND(Liste!#REF!,"AAAAAHe/TWw=")</f>
        <v>#REF!</v>
      </c>
      <c r="DF52" t="e">
        <f>AND(Liste!#REF!,"AAAAAHe/TW0=")</f>
        <v>#REF!</v>
      </c>
      <c r="DG52" t="e">
        <f>AND(Liste!#REF!,"AAAAAHe/TW4=")</f>
        <v>#REF!</v>
      </c>
      <c r="DH52" t="e">
        <f>AND(Liste!#REF!,"AAAAAHe/TW8=")</f>
        <v>#REF!</v>
      </c>
      <c r="DI52" t="e">
        <f>AND(Liste!#REF!,"AAAAAHe/TXA=")</f>
        <v>#REF!</v>
      </c>
      <c r="DJ52" t="e">
        <f>AND(Liste!#REF!,"AAAAAHe/TXE=")</f>
        <v>#REF!</v>
      </c>
      <c r="DK52" t="e">
        <f>AND(Liste!#REF!,"AAAAAHe/TXI=")</f>
        <v>#REF!</v>
      </c>
      <c r="DL52" t="e">
        <f>AND(Liste!#REF!,"AAAAAHe/TXM=")</f>
        <v>#REF!</v>
      </c>
      <c r="DM52" t="e">
        <f>AND(Liste!#REF!,"AAAAAHe/TXQ=")</f>
        <v>#REF!</v>
      </c>
      <c r="DN52" t="e">
        <f>AND(Liste!#REF!,"AAAAAHe/TXU=")</f>
        <v>#REF!</v>
      </c>
      <c r="DO52" t="e">
        <f>AND(Liste!#REF!,"AAAAAHe/TXY=")</f>
        <v>#REF!</v>
      </c>
      <c r="DP52" t="e">
        <f>IF(Liste!#REF!,"AAAAAHe/TXc=",0)</f>
        <v>#REF!</v>
      </c>
      <c r="DQ52" t="e">
        <f>AND(Liste!#REF!,"AAAAAHe/TXg=")</f>
        <v>#REF!</v>
      </c>
      <c r="DR52" t="e">
        <f>AND(Liste!#REF!,"AAAAAHe/TXk=")</f>
        <v>#REF!</v>
      </c>
      <c r="DS52" t="e">
        <f>AND(Liste!#REF!,"AAAAAHe/TXo=")</f>
        <v>#REF!</v>
      </c>
      <c r="DT52" t="e">
        <f>AND(Liste!#REF!,"AAAAAHe/TXs=")</f>
        <v>#REF!</v>
      </c>
      <c r="DU52" t="e">
        <f>AND(Liste!#REF!,"AAAAAHe/TXw=")</f>
        <v>#REF!</v>
      </c>
      <c r="DV52" t="e">
        <f>AND(Liste!#REF!,"AAAAAHe/TX0=")</f>
        <v>#REF!</v>
      </c>
      <c r="DW52" t="e">
        <f>AND(Liste!#REF!,"AAAAAHe/TX4=")</f>
        <v>#REF!</v>
      </c>
      <c r="DX52" t="e">
        <f>AND(Liste!#REF!,"AAAAAHe/TX8=")</f>
        <v>#REF!</v>
      </c>
      <c r="DY52" t="e">
        <f>AND(Liste!#REF!,"AAAAAHe/TYA=")</f>
        <v>#REF!</v>
      </c>
      <c r="DZ52" t="e">
        <f>AND(Liste!#REF!,"AAAAAHe/TYE=")</f>
        <v>#REF!</v>
      </c>
      <c r="EA52" t="e">
        <f>AND(Liste!#REF!,"AAAAAHe/TYI=")</f>
        <v>#REF!</v>
      </c>
      <c r="EB52" t="e">
        <f>AND(Liste!#REF!,"AAAAAHe/TYM=")</f>
        <v>#REF!</v>
      </c>
      <c r="EC52" t="e">
        <f>AND(Liste!#REF!,"AAAAAHe/TYQ=")</f>
        <v>#REF!</v>
      </c>
      <c r="ED52" t="e">
        <f>AND(Liste!#REF!,"AAAAAHe/TYU=")</f>
        <v>#REF!</v>
      </c>
      <c r="EE52" t="e">
        <f>AND(Liste!#REF!,"AAAAAHe/TYY=")</f>
        <v>#REF!</v>
      </c>
      <c r="EF52" t="e">
        <f>AND(Liste!#REF!,"AAAAAHe/TYc=")</f>
        <v>#REF!</v>
      </c>
      <c r="EG52" t="e">
        <f>AND(Liste!#REF!,"AAAAAHe/TYg=")</f>
        <v>#REF!</v>
      </c>
      <c r="EH52" t="e">
        <f>AND(Liste!#REF!,"AAAAAHe/TYk=")</f>
        <v>#REF!</v>
      </c>
      <c r="EI52" t="e">
        <f>AND(Liste!#REF!,"AAAAAHe/TYo=")</f>
        <v>#REF!</v>
      </c>
      <c r="EJ52" t="e">
        <f>AND(Liste!#REF!,"AAAAAHe/TYs=")</f>
        <v>#REF!</v>
      </c>
      <c r="EK52" t="e">
        <f>AND(Liste!#REF!,"AAAAAHe/TYw=")</f>
        <v>#REF!</v>
      </c>
      <c r="EL52" t="e">
        <f>AND(Liste!#REF!,"AAAAAHe/TY0=")</f>
        <v>#REF!</v>
      </c>
      <c r="EM52" t="e">
        <f>AND(Liste!#REF!,"AAAAAHe/TY4=")</f>
        <v>#REF!</v>
      </c>
      <c r="EN52" t="e">
        <f>AND(Liste!#REF!,"AAAAAHe/TY8=")</f>
        <v>#REF!</v>
      </c>
      <c r="EO52" t="e">
        <f>AND(Liste!#REF!,"AAAAAHe/TZA=")</f>
        <v>#REF!</v>
      </c>
      <c r="EP52" t="e">
        <f>AND(Liste!#REF!,"AAAAAHe/TZE=")</f>
        <v>#REF!</v>
      </c>
      <c r="EQ52" t="e">
        <f>AND(Liste!#REF!,"AAAAAHe/TZI=")</f>
        <v>#REF!</v>
      </c>
      <c r="ER52" t="e">
        <f>AND(Liste!#REF!,"AAAAAHe/TZM=")</f>
        <v>#REF!</v>
      </c>
      <c r="ES52" t="e">
        <f>AND(Liste!#REF!,"AAAAAHe/TZQ=")</f>
        <v>#REF!</v>
      </c>
      <c r="ET52" t="e">
        <f>AND(Liste!#REF!,"AAAAAHe/TZU=")</f>
        <v>#REF!</v>
      </c>
      <c r="EU52" t="e">
        <f>IF(Liste!#REF!,"AAAAAHe/TZY=",0)</f>
        <v>#REF!</v>
      </c>
      <c r="EV52" t="e">
        <f>AND(Liste!#REF!,"AAAAAHe/TZc=")</f>
        <v>#REF!</v>
      </c>
      <c r="EW52" t="e">
        <f>AND(Liste!#REF!,"AAAAAHe/TZg=")</f>
        <v>#REF!</v>
      </c>
      <c r="EX52" t="e">
        <f>AND(Liste!#REF!,"AAAAAHe/TZk=")</f>
        <v>#REF!</v>
      </c>
      <c r="EY52" t="e">
        <f>AND(Liste!#REF!,"AAAAAHe/TZo=")</f>
        <v>#REF!</v>
      </c>
      <c r="EZ52" t="e">
        <f>AND(Liste!#REF!,"AAAAAHe/TZs=")</f>
        <v>#REF!</v>
      </c>
      <c r="FA52" t="e">
        <f>AND(Liste!#REF!,"AAAAAHe/TZw=")</f>
        <v>#REF!</v>
      </c>
      <c r="FB52" t="e">
        <f>AND(Liste!#REF!,"AAAAAHe/TZ0=")</f>
        <v>#REF!</v>
      </c>
      <c r="FC52" t="e">
        <f>AND(Liste!#REF!,"AAAAAHe/TZ4=")</f>
        <v>#REF!</v>
      </c>
      <c r="FD52" t="e">
        <f>AND(Liste!#REF!,"AAAAAHe/TZ8=")</f>
        <v>#REF!</v>
      </c>
      <c r="FE52" t="e">
        <f>AND(Liste!#REF!,"AAAAAHe/TaA=")</f>
        <v>#REF!</v>
      </c>
      <c r="FF52" t="e">
        <f>AND(Liste!#REF!,"AAAAAHe/TaE=")</f>
        <v>#REF!</v>
      </c>
      <c r="FG52" t="e">
        <f>AND(Liste!#REF!,"AAAAAHe/TaI=")</f>
        <v>#REF!</v>
      </c>
      <c r="FH52" t="e">
        <f>AND(Liste!#REF!,"AAAAAHe/TaM=")</f>
        <v>#REF!</v>
      </c>
      <c r="FI52" t="e">
        <f>AND(Liste!#REF!,"AAAAAHe/TaQ=")</f>
        <v>#REF!</v>
      </c>
      <c r="FJ52" t="e">
        <f>AND(Liste!#REF!,"AAAAAHe/TaU=")</f>
        <v>#REF!</v>
      </c>
      <c r="FK52" t="e">
        <f>AND(Liste!#REF!,"AAAAAHe/TaY=")</f>
        <v>#REF!</v>
      </c>
      <c r="FL52" t="e">
        <f>AND(Liste!#REF!,"AAAAAHe/Tac=")</f>
        <v>#REF!</v>
      </c>
      <c r="FM52" t="e">
        <f>AND(Liste!#REF!,"AAAAAHe/Tag=")</f>
        <v>#REF!</v>
      </c>
      <c r="FN52" t="e">
        <f>AND(Liste!#REF!,"AAAAAHe/Tak=")</f>
        <v>#REF!</v>
      </c>
      <c r="FO52" t="e">
        <f>AND(Liste!#REF!,"AAAAAHe/Tao=")</f>
        <v>#REF!</v>
      </c>
      <c r="FP52" t="e">
        <f>AND(Liste!#REF!,"AAAAAHe/Tas=")</f>
        <v>#REF!</v>
      </c>
      <c r="FQ52" t="e">
        <f>AND(Liste!#REF!,"AAAAAHe/Taw=")</f>
        <v>#REF!</v>
      </c>
      <c r="FR52" t="e">
        <f>AND(Liste!#REF!,"AAAAAHe/Ta0=")</f>
        <v>#REF!</v>
      </c>
      <c r="FS52" t="e">
        <f>AND(Liste!#REF!,"AAAAAHe/Ta4=")</f>
        <v>#REF!</v>
      </c>
      <c r="FT52" t="e">
        <f>AND(Liste!#REF!,"AAAAAHe/Ta8=")</f>
        <v>#REF!</v>
      </c>
      <c r="FU52" t="e">
        <f>AND(Liste!#REF!,"AAAAAHe/TbA=")</f>
        <v>#REF!</v>
      </c>
      <c r="FV52" t="e">
        <f>AND(Liste!#REF!,"AAAAAHe/TbE=")</f>
        <v>#REF!</v>
      </c>
      <c r="FW52" t="e">
        <f>AND(Liste!#REF!,"AAAAAHe/TbI=")</f>
        <v>#REF!</v>
      </c>
      <c r="FX52" t="e">
        <f>AND(Liste!#REF!,"AAAAAHe/TbM=")</f>
        <v>#REF!</v>
      </c>
      <c r="FY52" t="e">
        <f>AND(Liste!#REF!,"AAAAAHe/TbQ=")</f>
        <v>#REF!</v>
      </c>
      <c r="FZ52" t="e">
        <f>IF(Liste!#REF!,"AAAAAHe/TbU=",0)</f>
        <v>#REF!</v>
      </c>
      <c r="GA52" t="e">
        <f>AND(Liste!#REF!,"AAAAAHe/TbY=")</f>
        <v>#REF!</v>
      </c>
      <c r="GB52" t="e">
        <f>AND(Liste!#REF!,"AAAAAHe/Tbc=")</f>
        <v>#REF!</v>
      </c>
      <c r="GC52" t="e">
        <f>AND(Liste!#REF!,"AAAAAHe/Tbg=")</f>
        <v>#REF!</v>
      </c>
      <c r="GD52" t="e">
        <f>AND(Liste!#REF!,"AAAAAHe/Tbk=")</f>
        <v>#REF!</v>
      </c>
      <c r="GE52" t="e">
        <f>AND(Liste!#REF!,"AAAAAHe/Tbo=")</f>
        <v>#REF!</v>
      </c>
      <c r="GF52" t="e">
        <f>AND(Liste!#REF!,"AAAAAHe/Tbs=")</f>
        <v>#REF!</v>
      </c>
      <c r="GG52" t="e">
        <f>AND(Liste!#REF!,"AAAAAHe/Tbw=")</f>
        <v>#REF!</v>
      </c>
      <c r="GH52" t="e">
        <f>AND(Liste!#REF!,"AAAAAHe/Tb0=")</f>
        <v>#REF!</v>
      </c>
      <c r="GI52" t="e">
        <f>AND(Liste!#REF!,"AAAAAHe/Tb4=")</f>
        <v>#REF!</v>
      </c>
      <c r="GJ52" t="e">
        <f>AND(Liste!#REF!,"AAAAAHe/Tb8=")</f>
        <v>#REF!</v>
      </c>
      <c r="GK52" t="e">
        <f>AND(Liste!#REF!,"AAAAAHe/TcA=")</f>
        <v>#REF!</v>
      </c>
      <c r="GL52" t="e">
        <f>AND(Liste!#REF!,"AAAAAHe/TcE=")</f>
        <v>#REF!</v>
      </c>
      <c r="GM52" t="e">
        <f>AND(Liste!#REF!,"AAAAAHe/TcI=")</f>
        <v>#REF!</v>
      </c>
      <c r="GN52" t="e">
        <f>AND(Liste!#REF!,"AAAAAHe/TcM=")</f>
        <v>#REF!</v>
      </c>
      <c r="GO52" t="e">
        <f>AND(Liste!#REF!,"AAAAAHe/TcQ=")</f>
        <v>#REF!</v>
      </c>
      <c r="GP52" t="e">
        <f>AND(Liste!#REF!,"AAAAAHe/TcU=")</f>
        <v>#REF!</v>
      </c>
      <c r="GQ52" t="e">
        <f>AND(Liste!#REF!,"AAAAAHe/TcY=")</f>
        <v>#REF!</v>
      </c>
      <c r="GR52" t="e">
        <f>AND(Liste!#REF!,"AAAAAHe/Tcc=")</f>
        <v>#REF!</v>
      </c>
      <c r="GS52" t="e">
        <f>AND(Liste!#REF!,"AAAAAHe/Tcg=")</f>
        <v>#REF!</v>
      </c>
      <c r="GT52" t="e">
        <f>AND(Liste!#REF!,"AAAAAHe/Tck=")</f>
        <v>#REF!</v>
      </c>
      <c r="GU52" t="e">
        <f>AND(Liste!#REF!,"AAAAAHe/Tco=")</f>
        <v>#REF!</v>
      </c>
      <c r="GV52" t="e">
        <f>AND(Liste!#REF!,"AAAAAHe/Tcs=")</f>
        <v>#REF!</v>
      </c>
      <c r="GW52" t="e">
        <f>AND(Liste!#REF!,"AAAAAHe/Tcw=")</f>
        <v>#REF!</v>
      </c>
      <c r="GX52" t="e">
        <f>AND(Liste!#REF!,"AAAAAHe/Tc0=")</f>
        <v>#REF!</v>
      </c>
      <c r="GY52" t="e">
        <f>AND(Liste!#REF!,"AAAAAHe/Tc4=")</f>
        <v>#REF!</v>
      </c>
      <c r="GZ52" t="e">
        <f>AND(Liste!#REF!,"AAAAAHe/Tc8=")</f>
        <v>#REF!</v>
      </c>
      <c r="HA52" t="e">
        <f>AND(Liste!#REF!,"AAAAAHe/TdA=")</f>
        <v>#REF!</v>
      </c>
      <c r="HB52" t="e">
        <f>AND(Liste!#REF!,"AAAAAHe/TdE=")</f>
        <v>#REF!</v>
      </c>
      <c r="HC52" t="e">
        <f>AND(Liste!#REF!,"AAAAAHe/TdI=")</f>
        <v>#REF!</v>
      </c>
      <c r="HD52" t="e">
        <f>AND(Liste!#REF!,"AAAAAHe/TdM=")</f>
        <v>#REF!</v>
      </c>
      <c r="HE52" t="e">
        <f>IF(Liste!#REF!,"AAAAAHe/TdQ=",0)</f>
        <v>#REF!</v>
      </c>
      <c r="HF52" t="e">
        <f>AND(Liste!#REF!,"AAAAAHe/TdU=")</f>
        <v>#REF!</v>
      </c>
      <c r="HG52" t="e">
        <f>AND(Liste!#REF!,"AAAAAHe/TdY=")</f>
        <v>#REF!</v>
      </c>
      <c r="HH52" t="e">
        <f>AND(Liste!#REF!,"AAAAAHe/Tdc=")</f>
        <v>#REF!</v>
      </c>
      <c r="HI52" t="e">
        <f>AND(Liste!#REF!,"AAAAAHe/Tdg=")</f>
        <v>#REF!</v>
      </c>
      <c r="HJ52" t="e">
        <f>AND(Liste!#REF!,"AAAAAHe/Tdk=")</f>
        <v>#REF!</v>
      </c>
      <c r="HK52" t="e">
        <f>AND(Liste!#REF!,"AAAAAHe/Tdo=")</f>
        <v>#REF!</v>
      </c>
      <c r="HL52" t="e">
        <f>AND(Liste!#REF!,"AAAAAHe/Tds=")</f>
        <v>#REF!</v>
      </c>
      <c r="HM52" t="e">
        <f>AND(Liste!#REF!,"AAAAAHe/Tdw=")</f>
        <v>#REF!</v>
      </c>
      <c r="HN52" t="e">
        <f>AND(Liste!#REF!,"AAAAAHe/Td0=")</f>
        <v>#REF!</v>
      </c>
      <c r="HO52" t="e">
        <f>AND(Liste!#REF!,"AAAAAHe/Td4=")</f>
        <v>#REF!</v>
      </c>
      <c r="HP52" t="e">
        <f>AND(Liste!#REF!,"AAAAAHe/Td8=")</f>
        <v>#REF!</v>
      </c>
      <c r="HQ52" t="e">
        <f>AND(Liste!#REF!,"AAAAAHe/TeA=")</f>
        <v>#REF!</v>
      </c>
      <c r="HR52" t="e">
        <f>AND(Liste!#REF!,"AAAAAHe/TeE=")</f>
        <v>#REF!</v>
      </c>
      <c r="HS52" t="e">
        <f>AND(Liste!#REF!,"AAAAAHe/TeI=")</f>
        <v>#REF!</v>
      </c>
      <c r="HT52" t="e">
        <f>AND(Liste!#REF!,"AAAAAHe/TeM=")</f>
        <v>#REF!</v>
      </c>
      <c r="HU52" t="e">
        <f>AND(Liste!#REF!,"AAAAAHe/TeQ=")</f>
        <v>#REF!</v>
      </c>
      <c r="HV52" t="e">
        <f>AND(Liste!#REF!,"AAAAAHe/TeU=")</f>
        <v>#REF!</v>
      </c>
      <c r="HW52" t="e">
        <f>AND(Liste!#REF!,"AAAAAHe/TeY=")</f>
        <v>#REF!</v>
      </c>
      <c r="HX52" t="e">
        <f>AND(Liste!#REF!,"AAAAAHe/Tec=")</f>
        <v>#REF!</v>
      </c>
      <c r="HY52" t="e">
        <f>AND(Liste!#REF!,"AAAAAHe/Teg=")</f>
        <v>#REF!</v>
      </c>
      <c r="HZ52" t="e">
        <f>AND(Liste!#REF!,"AAAAAHe/Tek=")</f>
        <v>#REF!</v>
      </c>
      <c r="IA52" t="e">
        <f>AND(Liste!#REF!,"AAAAAHe/Teo=")</f>
        <v>#REF!</v>
      </c>
      <c r="IB52" t="e">
        <f>AND(Liste!#REF!,"AAAAAHe/Tes=")</f>
        <v>#REF!</v>
      </c>
      <c r="IC52" t="e">
        <f>AND(Liste!#REF!,"AAAAAHe/Tew=")</f>
        <v>#REF!</v>
      </c>
      <c r="ID52" t="e">
        <f>AND(Liste!#REF!,"AAAAAHe/Te0=")</f>
        <v>#REF!</v>
      </c>
      <c r="IE52" t="e">
        <f>AND(Liste!#REF!,"AAAAAHe/Te4=")</f>
        <v>#REF!</v>
      </c>
      <c r="IF52" t="e">
        <f>AND(Liste!#REF!,"AAAAAHe/Te8=")</f>
        <v>#REF!</v>
      </c>
      <c r="IG52" t="e">
        <f>AND(Liste!#REF!,"AAAAAHe/TfA=")</f>
        <v>#REF!</v>
      </c>
      <c r="IH52" t="e">
        <f>AND(Liste!#REF!,"AAAAAHe/TfE=")</f>
        <v>#REF!</v>
      </c>
      <c r="II52" t="e">
        <f>AND(Liste!#REF!,"AAAAAHe/TfI=")</f>
        <v>#REF!</v>
      </c>
      <c r="IJ52" t="e">
        <f>IF(Liste!#REF!,"AAAAAHe/TfM=",0)</f>
        <v>#REF!</v>
      </c>
      <c r="IK52" t="e">
        <f>AND(Liste!#REF!,"AAAAAHe/TfQ=")</f>
        <v>#REF!</v>
      </c>
      <c r="IL52" t="e">
        <f>AND(Liste!#REF!,"AAAAAHe/TfU=")</f>
        <v>#REF!</v>
      </c>
      <c r="IM52" t="e">
        <f>AND(Liste!#REF!,"AAAAAHe/TfY=")</f>
        <v>#REF!</v>
      </c>
      <c r="IN52" t="e">
        <f>AND(Liste!#REF!,"AAAAAHe/Tfc=")</f>
        <v>#REF!</v>
      </c>
      <c r="IO52" t="e">
        <f>AND(Liste!#REF!,"AAAAAHe/Tfg=")</f>
        <v>#REF!</v>
      </c>
      <c r="IP52" t="e">
        <f>AND(Liste!#REF!,"AAAAAHe/Tfk=")</f>
        <v>#REF!</v>
      </c>
      <c r="IQ52" t="e">
        <f>AND(Liste!#REF!,"AAAAAHe/Tfo=")</f>
        <v>#REF!</v>
      </c>
      <c r="IR52" t="e">
        <f>AND(Liste!#REF!,"AAAAAHe/Tfs=")</f>
        <v>#REF!</v>
      </c>
      <c r="IS52" t="e">
        <f>AND(Liste!#REF!,"AAAAAHe/Tfw=")</f>
        <v>#REF!</v>
      </c>
      <c r="IT52" t="e">
        <f>AND(Liste!#REF!,"AAAAAHe/Tf0=")</f>
        <v>#REF!</v>
      </c>
      <c r="IU52" t="e">
        <f>AND(Liste!#REF!,"AAAAAHe/Tf4=")</f>
        <v>#REF!</v>
      </c>
      <c r="IV52" t="e">
        <f>AND(Liste!#REF!,"AAAAAHe/Tf8=")</f>
        <v>#REF!</v>
      </c>
    </row>
    <row r="53" spans="1:256" x14ac:dyDescent="0.2">
      <c r="A53" t="e">
        <f>AND(Liste!#REF!,"AAAAAH+/8QA=")</f>
        <v>#REF!</v>
      </c>
      <c r="B53" t="e">
        <f>AND(Liste!#REF!,"AAAAAH+/8QE=")</f>
        <v>#REF!</v>
      </c>
      <c r="C53" t="e">
        <f>AND(Liste!#REF!,"AAAAAH+/8QI=")</f>
        <v>#REF!</v>
      </c>
      <c r="D53" t="e">
        <f>AND(Liste!#REF!,"AAAAAH+/8QM=")</f>
        <v>#REF!</v>
      </c>
      <c r="E53" t="e">
        <f>AND(Liste!#REF!,"AAAAAH+/8QQ=")</f>
        <v>#REF!</v>
      </c>
      <c r="F53" t="e">
        <f>AND(Liste!#REF!,"AAAAAH+/8QU=")</f>
        <v>#REF!</v>
      </c>
      <c r="G53" t="e">
        <f>AND(Liste!#REF!,"AAAAAH+/8QY=")</f>
        <v>#REF!</v>
      </c>
      <c r="H53" t="e">
        <f>AND(Liste!#REF!,"AAAAAH+/8Qc=")</f>
        <v>#REF!</v>
      </c>
      <c r="I53" t="e">
        <f>AND(Liste!#REF!,"AAAAAH+/8Qg=")</f>
        <v>#REF!</v>
      </c>
      <c r="J53" t="e">
        <f>AND(Liste!#REF!,"AAAAAH+/8Qk=")</f>
        <v>#REF!</v>
      </c>
      <c r="K53" t="e">
        <f>AND(Liste!#REF!,"AAAAAH+/8Qo=")</f>
        <v>#REF!</v>
      </c>
      <c r="L53" t="e">
        <f>AND(Liste!#REF!,"AAAAAH+/8Qs=")</f>
        <v>#REF!</v>
      </c>
      <c r="M53" t="e">
        <f>AND(Liste!#REF!,"AAAAAH+/8Qw=")</f>
        <v>#REF!</v>
      </c>
      <c r="N53" t="e">
        <f>AND(Liste!#REF!,"AAAAAH+/8Q0=")</f>
        <v>#REF!</v>
      </c>
      <c r="O53" t="e">
        <f>AND(Liste!#REF!,"AAAAAH+/8Q4=")</f>
        <v>#REF!</v>
      </c>
      <c r="P53" t="e">
        <f>AND(Liste!#REF!,"AAAAAH+/8Q8=")</f>
        <v>#REF!</v>
      </c>
      <c r="Q53" t="e">
        <f>AND(Liste!#REF!,"AAAAAH+/8RA=")</f>
        <v>#REF!</v>
      </c>
      <c r="R53" t="e">
        <f>AND(Liste!#REF!,"AAAAAH+/8RE=")</f>
        <v>#REF!</v>
      </c>
      <c r="S53" t="e">
        <f>IF(Liste!#REF!,"AAAAAH+/8RI=",0)</f>
        <v>#REF!</v>
      </c>
      <c r="T53" t="e">
        <f>AND(Liste!#REF!,"AAAAAH+/8RM=")</f>
        <v>#REF!</v>
      </c>
      <c r="U53" t="e">
        <f>AND(Liste!#REF!,"AAAAAH+/8RQ=")</f>
        <v>#REF!</v>
      </c>
      <c r="V53" t="e">
        <f>AND(Liste!#REF!,"AAAAAH+/8RU=")</f>
        <v>#REF!</v>
      </c>
      <c r="W53" t="e">
        <f>AND(Liste!#REF!,"AAAAAH+/8RY=")</f>
        <v>#REF!</v>
      </c>
      <c r="X53" t="e">
        <f>AND(Liste!#REF!,"AAAAAH+/8Rc=")</f>
        <v>#REF!</v>
      </c>
      <c r="Y53" t="e">
        <f>AND(Liste!#REF!,"AAAAAH+/8Rg=")</f>
        <v>#REF!</v>
      </c>
      <c r="Z53" t="e">
        <f>AND(Liste!#REF!,"AAAAAH+/8Rk=")</f>
        <v>#REF!</v>
      </c>
      <c r="AA53" t="e">
        <f>AND(Liste!#REF!,"AAAAAH+/8Ro=")</f>
        <v>#REF!</v>
      </c>
      <c r="AB53" t="e">
        <f>AND(Liste!#REF!,"AAAAAH+/8Rs=")</f>
        <v>#REF!</v>
      </c>
      <c r="AC53" t="e">
        <f>AND(Liste!#REF!,"AAAAAH+/8Rw=")</f>
        <v>#REF!</v>
      </c>
      <c r="AD53" t="e">
        <f>AND(Liste!#REF!,"AAAAAH+/8R0=")</f>
        <v>#REF!</v>
      </c>
      <c r="AE53" t="e">
        <f>AND(Liste!#REF!,"AAAAAH+/8R4=")</f>
        <v>#REF!</v>
      </c>
      <c r="AF53" t="e">
        <f>AND(Liste!#REF!,"AAAAAH+/8R8=")</f>
        <v>#REF!</v>
      </c>
      <c r="AG53" t="e">
        <f>AND(Liste!#REF!,"AAAAAH+/8SA=")</f>
        <v>#REF!</v>
      </c>
      <c r="AH53" t="e">
        <f>AND(Liste!#REF!,"AAAAAH+/8SE=")</f>
        <v>#REF!</v>
      </c>
      <c r="AI53" t="e">
        <f>AND(Liste!#REF!,"AAAAAH+/8SI=")</f>
        <v>#REF!</v>
      </c>
      <c r="AJ53" t="e">
        <f>AND(Liste!#REF!,"AAAAAH+/8SM=")</f>
        <v>#REF!</v>
      </c>
      <c r="AK53" t="e">
        <f>AND(Liste!#REF!,"AAAAAH+/8SQ=")</f>
        <v>#REF!</v>
      </c>
      <c r="AL53" t="e">
        <f>AND(Liste!#REF!,"AAAAAH+/8SU=")</f>
        <v>#REF!</v>
      </c>
      <c r="AM53" t="e">
        <f>AND(Liste!#REF!,"AAAAAH+/8SY=")</f>
        <v>#REF!</v>
      </c>
      <c r="AN53" t="e">
        <f>AND(Liste!#REF!,"AAAAAH+/8Sc=")</f>
        <v>#REF!</v>
      </c>
      <c r="AO53" t="e">
        <f>AND(Liste!#REF!,"AAAAAH+/8Sg=")</f>
        <v>#REF!</v>
      </c>
      <c r="AP53" t="e">
        <f>AND(Liste!#REF!,"AAAAAH+/8Sk=")</f>
        <v>#REF!</v>
      </c>
      <c r="AQ53" t="e">
        <f>AND(Liste!#REF!,"AAAAAH+/8So=")</f>
        <v>#REF!</v>
      </c>
      <c r="AR53" t="e">
        <f>AND(Liste!#REF!,"AAAAAH+/8Ss=")</f>
        <v>#REF!</v>
      </c>
      <c r="AS53" t="e">
        <f>AND(Liste!#REF!,"AAAAAH+/8Sw=")</f>
        <v>#REF!</v>
      </c>
      <c r="AT53" t="e">
        <f>AND(Liste!#REF!,"AAAAAH+/8S0=")</f>
        <v>#REF!</v>
      </c>
      <c r="AU53" t="e">
        <f>AND(Liste!#REF!,"AAAAAH+/8S4=")</f>
        <v>#REF!</v>
      </c>
      <c r="AV53" t="e">
        <f>AND(Liste!#REF!,"AAAAAH+/8S8=")</f>
        <v>#REF!</v>
      </c>
      <c r="AW53" t="e">
        <f>AND(Liste!#REF!,"AAAAAH+/8TA=")</f>
        <v>#REF!</v>
      </c>
      <c r="AX53" t="e">
        <f>IF(Liste!#REF!,"AAAAAH+/8TE=",0)</f>
        <v>#REF!</v>
      </c>
      <c r="AY53" t="e">
        <f>AND(Liste!#REF!,"AAAAAH+/8TI=")</f>
        <v>#REF!</v>
      </c>
      <c r="AZ53" t="e">
        <f>AND(Liste!#REF!,"AAAAAH+/8TM=")</f>
        <v>#REF!</v>
      </c>
      <c r="BA53" t="e">
        <f>AND(Liste!#REF!,"AAAAAH+/8TQ=")</f>
        <v>#REF!</v>
      </c>
      <c r="BB53" t="e">
        <f>AND(Liste!#REF!,"AAAAAH+/8TU=")</f>
        <v>#REF!</v>
      </c>
      <c r="BC53" t="e">
        <f>AND(Liste!#REF!,"AAAAAH+/8TY=")</f>
        <v>#REF!</v>
      </c>
      <c r="BD53" t="e">
        <f>AND(Liste!#REF!,"AAAAAH+/8Tc=")</f>
        <v>#REF!</v>
      </c>
      <c r="BE53" t="e">
        <f>AND(Liste!#REF!,"AAAAAH+/8Tg=")</f>
        <v>#REF!</v>
      </c>
      <c r="BF53" t="e">
        <f>AND(Liste!#REF!,"AAAAAH+/8Tk=")</f>
        <v>#REF!</v>
      </c>
      <c r="BG53" t="e">
        <f>AND(Liste!#REF!,"AAAAAH+/8To=")</f>
        <v>#REF!</v>
      </c>
      <c r="BH53" t="e">
        <f>AND(Liste!#REF!,"AAAAAH+/8Ts=")</f>
        <v>#REF!</v>
      </c>
      <c r="BI53" t="e">
        <f>AND(Liste!#REF!,"AAAAAH+/8Tw=")</f>
        <v>#REF!</v>
      </c>
      <c r="BJ53" t="e">
        <f>AND(Liste!#REF!,"AAAAAH+/8T0=")</f>
        <v>#REF!</v>
      </c>
      <c r="BK53" t="e">
        <f>AND(Liste!#REF!,"AAAAAH+/8T4=")</f>
        <v>#REF!</v>
      </c>
      <c r="BL53" t="e">
        <f>AND(Liste!#REF!,"AAAAAH+/8T8=")</f>
        <v>#REF!</v>
      </c>
      <c r="BM53" t="e">
        <f>AND(Liste!#REF!,"AAAAAH+/8UA=")</f>
        <v>#REF!</v>
      </c>
      <c r="BN53" t="e">
        <f>AND(Liste!#REF!,"AAAAAH+/8UE=")</f>
        <v>#REF!</v>
      </c>
      <c r="BO53" t="e">
        <f>AND(Liste!#REF!,"AAAAAH+/8UI=")</f>
        <v>#REF!</v>
      </c>
      <c r="BP53" t="e">
        <f>AND(Liste!#REF!,"AAAAAH+/8UM=")</f>
        <v>#REF!</v>
      </c>
      <c r="BQ53" t="e">
        <f>AND(Liste!#REF!,"AAAAAH+/8UQ=")</f>
        <v>#REF!</v>
      </c>
      <c r="BR53" t="e">
        <f>AND(Liste!#REF!,"AAAAAH+/8UU=")</f>
        <v>#REF!</v>
      </c>
      <c r="BS53" t="e">
        <f>AND(Liste!#REF!,"AAAAAH+/8UY=")</f>
        <v>#REF!</v>
      </c>
      <c r="BT53" t="e">
        <f>AND(Liste!#REF!,"AAAAAH+/8Uc=")</f>
        <v>#REF!</v>
      </c>
      <c r="BU53" t="e">
        <f>AND(Liste!#REF!,"AAAAAH+/8Ug=")</f>
        <v>#REF!</v>
      </c>
      <c r="BV53" t="e">
        <f>AND(Liste!#REF!,"AAAAAH+/8Uk=")</f>
        <v>#REF!</v>
      </c>
      <c r="BW53" t="e">
        <f>AND(Liste!#REF!,"AAAAAH+/8Uo=")</f>
        <v>#REF!</v>
      </c>
      <c r="BX53" t="e">
        <f>AND(Liste!#REF!,"AAAAAH+/8Us=")</f>
        <v>#REF!</v>
      </c>
      <c r="BY53" t="e">
        <f>AND(Liste!#REF!,"AAAAAH+/8Uw=")</f>
        <v>#REF!</v>
      </c>
      <c r="BZ53" t="e">
        <f>AND(Liste!#REF!,"AAAAAH+/8U0=")</f>
        <v>#REF!</v>
      </c>
      <c r="CA53" t="e">
        <f>AND(Liste!#REF!,"AAAAAH+/8U4=")</f>
        <v>#REF!</v>
      </c>
      <c r="CB53" t="e">
        <f>AND(Liste!#REF!,"AAAAAH+/8U8=")</f>
        <v>#REF!</v>
      </c>
      <c r="CC53" t="e">
        <f>IF(Liste!#REF!,"AAAAAH+/8VA=",0)</f>
        <v>#REF!</v>
      </c>
      <c r="CD53" t="e">
        <f>AND(Liste!#REF!,"AAAAAH+/8VE=")</f>
        <v>#REF!</v>
      </c>
      <c r="CE53" t="e">
        <f>AND(Liste!#REF!,"AAAAAH+/8VI=")</f>
        <v>#REF!</v>
      </c>
      <c r="CF53" t="e">
        <f>AND(Liste!#REF!,"AAAAAH+/8VM=")</f>
        <v>#REF!</v>
      </c>
      <c r="CG53" t="e">
        <f>AND(Liste!#REF!,"AAAAAH+/8VQ=")</f>
        <v>#REF!</v>
      </c>
      <c r="CH53" t="e">
        <f>AND(Liste!#REF!,"AAAAAH+/8VU=")</f>
        <v>#REF!</v>
      </c>
      <c r="CI53" t="e">
        <f>AND(Liste!#REF!,"AAAAAH+/8VY=")</f>
        <v>#REF!</v>
      </c>
      <c r="CJ53" t="e">
        <f>AND(Liste!#REF!,"AAAAAH+/8Vc=")</f>
        <v>#REF!</v>
      </c>
      <c r="CK53" t="e">
        <f>AND(Liste!#REF!,"AAAAAH+/8Vg=")</f>
        <v>#REF!</v>
      </c>
      <c r="CL53" t="e">
        <f>AND(Liste!#REF!,"AAAAAH+/8Vk=")</f>
        <v>#REF!</v>
      </c>
      <c r="CM53" t="e">
        <f>AND(Liste!#REF!,"AAAAAH+/8Vo=")</f>
        <v>#REF!</v>
      </c>
      <c r="CN53" t="e">
        <f>AND(Liste!#REF!,"AAAAAH+/8Vs=")</f>
        <v>#REF!</v>
      </c>
      <c r="CO53" t="e">
        <f>AND(Liste!#REF!,"AAAAAH+/8Vw=")</f>
        <v>#REF!</v>
      </c>
      <c r="CP53" t="e">
        <f>AND(Liste!#REF!,"AAAAAH+/8V0=")</f>
        <v>#REF!</v>
      </c>
      <c r="CQ53" t="e">
        <f>AND(Liste!#REF!,"AAAAAH+/8V4=")</f>
        <v>#REF!</v>
      </c>
      <c r="CR53" t="e">
        <f>AND(Liste!#REF!,"AAAAAH+/8V8=")</f>
        <v>#REF!</v>
      </c>
      <c r="CS53" t="e">
        <f>AND(Liste!#REF!,"AAAAAH+/8WA=")</f>
        <v>#REF!</v>
      </c>
      <c r="CT53" t="e">
        <f>AND(Liste!#REF!,"AAAAAH+/8WE=")</f>
        <v>#REF!</v>
      </c>
      <c r="CU53" t="e">
        <f>AND(Liste!#REF!,"AAAAAH+/8WI=")</f>
        <v>#REF!</v>
      </c>
      <c r="CV53" t="e">
        <f>AND(Liste!#REF!,"AAAAAH+/8WM=")</f>
        <v>#REF!</v>
      </c>
      <c r="CW53" t="e">
        <f>AND(Liste!#REF!,"AAAAAH+/8WQ=")</f>
        <v>#REF!</v>
      </c>
      <c r="CX53" t="e">
        <f>AND(Liste!#REF!,"AAAAAH+/8WU=")</f>
        <v>#REF!</v>
      </c>
      <c r="CY53" t="e">
        <f>AND(Liste!#REF!,"AAAAAH+/8WY=")</f>
        <v>#REF!</v>
      </c>
      <c r="CZ53" t="e">
        <f>AND(Liste!#REF!,"AAAAAH+/8Wc=")</f>
        <v>#REF!</v>
      </c>
      <c r="DA53" t="e">
        <f>AND(Liste!#REF!,"AAAAAH+/8Wg=")</f>
        <v>#REF!</v>
      </c>
      <c r="DB53" t="e">
        <f>AND(Liste!#REF!,"AAAAAH+/8Wk=")</f>
        <v>#REF!</v>
      </c>
      <c r="DC53" t="e">
        <f>AND(Liste!#REF!,"AAAAAH+/8Wo=")</f>
        <v>#REF!</v>
      </c>
      <c r="DD53" t="e">
        <f>AND(Liste!#REF!,"AAAAAH+/8Ws=")</f>
        <v>#REF!</v>
      </c>
      <c r="DE53" t="e">
        <f>AND(Liste!#REF!,"AAAAAH+/8Ww=")</f>
        <v>#REF!</v>
      </c>
      <c r="DF53" t="e">
        <f>AND(Liste!#REF!,"AAAAAH+/8W0=")</f>
        <v>#REF!</v>
      </c>
      <c r="DG53" t="e">
        <f>AND(Liste!#REF!,"AAAAAH+/8W4=")</f>
        <v>#REF!</v>
      </c>
      <c r="DH53" t="e">
        <f>IF(Liste!#REF!,"AAAAAH+/8W8=",0)</f>
        <v>#REF!</v>
      </c>
      <c r="DI53" t="e">
        <f>AND(Liste!#REF!,"AAAAAH+/8XA=")</f>
        <v>#REF!</v>
      </c>
      <c r="DJ53" t="e">
        <f>AND(Liste!#REF!,"AAAAAH+/8XE=")</f>
        <v>#REF!</v>
      </c>
      <c r="DK53" t="e">
        <f>AND(Liste!#REF!,"AAAAAH+/8XI=")</f>
        <v>#REF!</v>
      </c>
      <c r="DL53" t="e">
        <f>AND(Liste!#REF!,"AAAAAH+/8XM=")</f>
        <v>#REF!</v>
      </c>
      <c r="DM53" t="e">
        <f>AND(Liste!#REF!,"AAAAAH+/8XQ=")</f>
        <v>#REF!</v>
      </c>
      <c r="DN53" t="e">
        <f>AND(Liste!#REF!,"AAAAAH+/8XU=")</f>
        <v>#REF!</v>
      </c>
      <c r="DO53" t="e">
        <f>AND(Liste!#REF!,"AAAAAH+/8XY=")</f>
        <v>#REF!</v>
      </c>
      <c r="DP53" t="e">
        <f>AND(Liste!#REF!,"AAAAAH+/8Xc=")</f>
        <v>#REF!</v>
      </c>
      <c r="DQ53" t="e">
        <f>AND(Liste!#REF!,"AAAAAH+/8Xg=")</f>
        <v>#REF!</v>
      </c>
      <c r="DR53" t="e">
        <f>AND(Liste!#REF!,"AAAAAH+/8Xk=")</f>
        <v>#REF!</v>
      </c>
      <c r="DS53" t="e">
        <f>AND(Liste!#REF!,"AAAAAH+/8Xo=")</f>
        <v>#REF!</v>
      </c>
      <c r="DT53" t="e">
        <f>AND(Liste!#REF!,"AAAAAH+/8Xs=")</f>
        <v>#REF!</v>
      </c>
      <c r="DU53" t="e">
        <f>AND(Liste!#REF!,"AAAAAH+/8Xw=")</f>
        <v>#REF!</v>
      </c>
      <c r="DV53" t="e">
        <f>AND(Liste!#REF!,"AAAAAH+/8X0=")</f>
        <v>#REF!</v>
      </c>
      <c r="DW53" t="e">
        <f>AND(Liste!#REF!,"AAAAAH+/8X4=")</f>
        <v>#REF!</v>
      </c>
      <c r="DX53" t="e">
        <f>AND(Liste!#REF!,"AAAAAH+/8X8=")</f>
        <v>#REF!</v>
      </c>
      <c r="DY53" t="e">
        <f>AND(Liste!#REF!,"AAAAAH+/8YA=")</f>
        <v>#REF!</v>
      </c>
      <c r="DZ53" t="e">
        <f>AND(Liste!#REF!,"AAAAAH+/8YE=")</f>
        <v>#REF!</v>
      </c>
      <c r="EA53" t="e">
        <f>AND(Liste!#REF!,"AAAAAH+/8YI=")</f>
        <v>#REF!</v>
      </c>
      <c r="EB53" t="e">
        <f>AND(Liste!#REF!,"AAAAAH+/8YM=")</f>
        <v>#REF!</v>
      </c>
      <c r="EC53" t="e">
        <f>AND(Liste!#REF!,"AAAAAH+/8YQ=")</f>
        <v>#REF!</v>
      </c>
      <c r="ED53" t="e">
        <f>AND(Liste!#REF!,"AAAAAH+/8YU=")</f>
        <v>#REF!</v>
      </c>
      <c r="EE53" t="e">
        <f>AND(Liste!#REF!,"AAAAAH+/8YY=")</f>
        <v>#REF!</v>
      </c>
      <c r="EF53" t="e">
        <f>AND(Liste!#REF!,"AAAAAH+/8Yc=")</f>
        <v>#REF!</v>
      </c>
      <c r="EG53" t="e">
        <f>AND(Liste!#REF!,"AAAAAH+/8Yg=")</f>
        <v>#REF!</v>
      </c>
      <c r="EH53" t="e">
        <f>AND(Liste!#REF!,"AAAAAH+/8Yk=")</f>
        <v>#REF!</v>
      </c>
      <c r="EI53" t="e">
        <f>AND(Liste!#REF!,"AAAAAH+/8Yo=")</f>
        <v>#REF!</v>
      </c>
      <c r="EJ53" t="e">
        <f>AND(Liste!#REF!,"AAAAAH+/8Ys=")</f>
        <v>#REF!</v>
      </c>
      <c r="EK53" t="e">
        <f>AND(Liste!#REF!,"AAAAAH+/8Yw=")</f>
        <v>#REF!</v>
      </c>
      <c r="EL53" t="e">
        <f>AND(Liste!#REF!,"AAAAAH+/8Y0=")</f>
        <v>#REF!</v>
      </c>
      <c r="EM53" t="e">
        <f>IF(Liste!#REF!,"AAAAAH+/8Y4=",0)</f>
        <v>#REF!</v>
      </c>
      <c r="EN53" t="e">
        <f>AND(Liste!#REF!,"AAAAAH+/8Y8=")</f>
        <v>#REF!</v>
      </c>
      <c r="EO53" t="e">
        <f>AND(Liste!#REF!,"AAAAAH+/8ZA=")</f>
        <v>#REF!</v>
      </c>
      <c r="EP53" t="e">
        <f>AND(Liste!#REF!,"AAAAAH+/8ZE=")</f>
        <v>#REF!</v>
      </c>
      <c r="EQ53" t="e">
        <f>AND(Liste!#REF!,"AAAAAH+/8ZI=")</f>
        <v>#REF!</v>
      </c>
      <c r="ER53" t="e">
        <f>AND(Liste!#REF!,"AAAAAH+/8ZM=")</f>
        <v>#REF!</v>
      </c>
      <c r="ES53" t="e">
        <f>AND(Liste!#REF!,"AAAAAH+/8ZQ=")</f>
        <v>#REF!</v>
      </c>
      <c r="ET53" t="e">
        <f>AND(Liste!#REF!,"AAAAAH+/8ZU=")</f>
        <v>#REF!</v>
      </c>
      <c r="EU53" t="e">
        <f>AND(Liste!#REF!,"AAAAAH+/8ZY=")</f>
        <v>#REF!</v>
      </c>
      <c r="EV53" t="e">
        <f>AND(Liste!#REF!,"AAAAAH+/8Zc=")</f>
        <v>#REF!</v>
      </c>
      <c r="EW53" t="e">
        <f>AND(Liste!#REF!,"AAAAAH+/8Zg=")</f>
        <v>#REF!</v>
      </c>
      <c r="EX53" t="e">
        <f>AND(Liste!#REF!,"AAAAAH+/8Zk=")</f>
        <v>#REF!</v>
      </c>
      <c r="EY53" t="e">
        <f>AND(Liste!#REF!,"AAAAAH+/8Zo=")</f>
        <v>#REF!</v>
      </c>
      <c r="EZ53" t="e">
        <f>AND(Liste!#REF!,"AAAAAH+/8Zs=")</f>
        <v>#REF!</v>
      </c>
      <c r="FA53" t="e">
        <f>AND(Liste!#REF!,"AAAAAH+/8Zw=")</f>
        <v>#REF!</v>
      </c>
      <c r="FB53" t="e">
        <f>AND(Liste!#REF!,"AAAAAH+/8Z0=")</f>
        <v>#REF!</v>
      </c>
      <c r="FC53" t="e">
        <f>AND(Liste!#REF!,"AAAAAH+/8Z4=")</f>
        <v>#REF!</v>
      </c>
      <c r="FD53" t="e">
        <f>AND(Liste!#REF!,"AAAAAH+/8Z8=")</f>
        <v>#REF!</v>
      </c>
      <c r="FE53" t="e">
        <f>AND(Liste!#REF!,"AAAAAH+/8aA=")</f>
        <v>#REF!</v>
      </c>
      <c r="FF53" t="e">
        <f>AND(Liste!#REF!,"AAAAAH+/8aE=")</f>
        <v>#REF!</v>
      </c>
      <c r="FG53" t="e">
        <f>AND(Liste!#REF!,"AAAAAH+/8aI=")</f>
        <v>#REF!</v>
      </c>
      <c r="FH53" t="e">
        <f>AND(Liste!#REF!,"AAAAAH+/8aM=")</f>
        <v>#REF!</v>
      </c>
      <c r="FI53" t="e">
        <f>AND(Liste!#REF!,"AAAAAH+/8aQ=")</f>
        <v>#REF!</v>
      </c>
      <c r="FJ53" t="e">
        <f>AND(Liste!#REF!,"AAAAAH+/8aU=")</f>
        <v>#REF!</v>
      </c>
      <c r="FK53" t="e">
        <f>AND(Liste!#REF!,"AAAAAH+/8aY=")</f>
        <v>#REF!</v>
      </c>
      <c r="FL53" t="e">
        <f>AND(Liste!#REF!,"AAAAAH+/8ac=")</f>
        <v>#REF!</v>
      </c>
      <c r="FM53" t="e">
        <f>AND(Liste!#REF!,"AAAAAH+/8ag=")</f>
        <v>#REF!</v>
      </c>
      <c r="FN53" t="e">
        <f>AND(Liste!#REF!,"AAAAAH+/8ak=")</f>
        <v>#REF!</v>
      </c>
      <c r="FO53" t="e">
        <f>AND(Liste!#REF!,"AAAAAH+/8ao=")</f>
        <v>#REF!</v>
      </c>
      <c r="FP53" t="e">
        <f>AND(Liste!#REF!,"AAAAAH+/8as=")</f>
        <v>#REF!</v>
      </c>
      <c r="FQ53" t="e">
        <f>AND(Liste!#REF!,"AAAAAH+/8aw=")</f>
        <v>#REF!</v>
      </c>
      <c r="FR53" t="e">
        <f>IF(Liste!#REF!,"AAAAAH+/8a0=",0)</f>
        <v>#REF!</v>
      </c>
      <c r="FS53" t="e">
        <f>AND(Liste!#REF!,"AAAAAH+/8a4=")</f>
        <v>#REF!</v>
      </c>
      <c r="FT53" t="e">
        <f>AND(Liste!#REF!,"AAAAAH+/8a8=")</f>
        <v>#REF!</v>
      </c>
      <c r="FU53" t="e">
        <f>AND(Liste!#REF!,"AAAAAH+/8bA=")</f>
        <v>#REF!</v>
      </c>
      <c r="FV53" t="e">
        <f>AND(Liste!#REF!,"AAAAAH+/8bE=")</f>
        <v>#REF!</v>
      </c>
      <c r="FW53" t="e">
        <f>AND(Liste!#REF!,"AAAAAH+/8bI=")</f>
        <v>#REF!</v>
      </c>
      <c r="FX53" t="e">
        <f>AND(Liste!#REF!,"AAAAAH+/8bM=")</f>
        <v>#REF!</v>
      </c>
      <c r="FY53" t="e">
        <f>AND(Liste!#REF!,"AAAAAH+/8bQ=")</f>
        <v>#REF!</v>
      </c>
      <c r="FZ53" t="e">
        <f>AND(Liste!#REF!,"AAAAAH+/8bU=")</f>
        <v>#REF!</v>
      </c>
      <c r="GA53" t="e">
        <f>AND(Liste!#REF!,"AAAAAH+/8bY=")</f>
        <v>#REF!</v>
      </c>
      <c r="GB53" t="e">
        <f>AND(Liste!#REF!,"AAAAAH+/8bc=")</f>
        <v>#REF!</v>
      </c>
      <c r="GC53" t="e">
        <f>AND(Liste!#REF!,"AAAAAH+/8bg=")</f>
        <v>#REF!</v>
      </c>
      <c r="GD53" t="e">
        <f>AND(Liste!#REF!,"AAAAAH+/8bk=")</f>
        <v>#REF!</v>
      </c>
      <c r="GE53" t="e">
        <f>AND(Liste!#REF!,"AAAAAH+/8bo=")</f>
        <v>#REF!</v>
      </c>
      <c r="GF53" t="e">
        <f>AND(Liste!#REF!,"AAAAAH+/8bs=")</f>
        <v>#REF!</v>
      </c>
      <c r="GG53" t="e">
        <f>AND(Liste!#REF!,"AAAAAH+/8bw=")</f>
        <v>#REF!</v>
      </c>
      <c r="GH53" t="e">
        <f>AND(Liste!#REF!,"AAAAAH+/8b0=")</f>
        <v>#REF!</v>
      </c>
      <c r="GI53" t="e">
        <f>AND(Liste!#REF!,"AAAAAH+/8b4=")</f>
        <v>#REF!</v>
      </c>
      <c r="GJ53" t="e">
        <f>AND(Liste!#REF!,"AAAAAH+/8b8=")</f>
        <v>#REF!</v>
      </c>
      <c r="GK53" t="e">
        <f>AND(Liste!#REF!,"AAAAAH+/8cA=")</f>
        <v>#REF!</v>
      </c>
      <c r="GL53" t="e">
        <f>AND(Liste!#REF!,"AAAAAH+/8cE=")</f>
        <v>#REF!</v>
      </c>
      <c r="GM53" t="e">
        <f>AND(Liste!#REF!,"AAAAAH+/8cI=")</f>
        <v>#REF!</v>
      </c>
      <c r="GN53" t="e">
        <f>AND(Liste!#REF!,"AAAAAH+/8cM=")</f>
        <v>#REF!</v>
      </c>
      <c r="GO53" t="e">
        <f>AND(Liste!#REF!,"AAAAAH+/8cQ=")</f>
        <v>#REF!</v>
      </c>
      <c r="GP53" t="e">
        <f>AND(Liste!#REF!,"AAAAAH+/8cU=")</f>
        <v>#REF!</v>
      </c>
      <c r="GQ53" t="e">
        <f>AND(Liste!#REF!,"AAAAAH+/8cY=")</f>
        <v>#REF!</v>
      </c>
      <c r="GR53" t="e">
        <f>AND(Liste!#REF!,"AAAAAH+/8cc=")</f>
        <v>#REF!</v>
      </c>
      <c r="GS53" t="e">
        <f>AND(Liste!#REF!,"AAAAAH+/8cg=")</f>
        <v>#REF!</v>
      </c>
      <c r="GT53" t="e">
        <f>AND(Liste!#REF!,"AAAAAH+/8ck=")</f>
        <v>#REF!</v>
      </c>
      <c r="GU53" t="e">
        <f>AND(Liste!#REF!,"AAAAAH+/8co=")</f>
        <v>#REF!</v>
      </c>
      <c r="GV53" t="e">
        <f>AND(Liste!#REF!,"AAAAAH+/8cs=")</f>
        <v>#REF!</v>
      </c>
      <c r="GW53" t="e">
        <f>IF(Liste!#REF!,"AAAAAH+/8cw=",0)</f>
        <v>#REF!</v>
      </c>
      <c r="GX53" t="e">
        <f>AND(Liste!#REF!,"AAAAAH+/8c0=")</f>
        <v>#REF!</v>
      </c>
      <c r="GY53" t="e">
        <f>AND(Liste!#REF!,"AAAAAH+/8c4=")</f>
        <v>#REF!</v>
      </c>
      <c r="GZ53" t="e">
        <f>AND(Liste!#REF!,"AAAAAH+/8c8=")</f>
        <v>#REF!</v>
      </c>
      <c r="HA53" t="e">
        <f>AND(Liste!#REF!,"AAAAAH+/8dA=")</f>
        <v>#REF!</v>
      </c>
      <c r="HB53" t="e">
        <f>AND(Liste!#REF!,"AAAAAH+/8dE=")</f>
        <v>#REF!</v>
      </c>
      <c r="HC53" t="e">
        <f>AND(Liste!#REF!,"AAAAAH+/8dI=")</f>
        <v>#REF!</v>
      </c>
      <c r="HD53" t="e">
        <f>AND(Liste!#REF!,"AAAAAH+/8dM=")</f>
        <v>#REF!</v>
      </c>
      <c r="HE53" t="e">
        <f>AND(Liste!#REF!,"AAAAAH+/8dQ=")</f>
        <v>#REF!</v>
      </c>
      <c r="HF53" t="e">
        <f>AND(Liste!#REF!,"AAAAAH+/8dU=")</f>
        <v>#REF!</v>
      </c>
      <c r="HG53" t="e">
        <f>AND(Liste!#REF!,"AAAAAH+/8dY=")</f>
        <v>#REF!</v>
      </c>
      <c r="HH53" t="e">
        <f>AND(Liste!#REF!,"AAAAAH+/8dc=")</f>
        <v>#REF!</v>
      </c>
      <c r="HI53" t="e">
        <f>AND(Liste!#REF!,"AAAAAH+/8dg=")</f>
        <v>#REF!</v>
      </c>
      <c r="HJ53" t="e">
        <f>AND(Liste!#REF!,"AAAAAH+/8dk=")</f>
        <v>#REF!</v>
      </c>
      <c r="HK53" t="e">
        <f>AND(Liste!#REF!,"AAAAAH+/8do=")</f>
        <v>#REF!</v>
      </c>
      <c r="HL53" t="e">
        <f>AND(Liste!#REF!,"AAAAAH+/8ds=")</f>
        <v>#REF!</v>
      </c>
      <c r="HM53" t="e">
        <f>AND(Liste!#REF!,"AAAAAH+/8dw=")</f>
        <v>#REF!</v>
      </c>
      <c r="HN53" t="e">
        <f>AND(Liste!#REF!,"AAAAAH+/8d0=")</f>
        <v>#REF!</v>
      </c>
      <c r="HO53" t="e">
        <f>AND(Liste!#REF!,"AAAAAH+/8d4=")</f>
        <v>#REF!</v>
      </c>
      <c r="HP53" t="e">
        <f>AND(Liste!#REF!,"AAAAAH+/8d8=")</f>
        <v>#REF!</v>
      </c>
      <c r="HQ53" t="e">
        <f>AND(Liste!#REF!,"AAAAAH+/8eA=")</f>
        <v>#REF!</v>
      </c>
      <c r="HR53" t="e">
        <f>AND(Liste!#REF!,"AAAAAH+/8eE=")</f>
        <v>#REF!</v>
      </c>
      <c r="HS53" t="e">
        <f>AND(Liste!#REF!,"AAAAAH+/8eI=")</f>
        <v>#REF!</v>
      </c>
      <c r="HT53" t="e">
        <f>AND(Liste!#REF!,"AAAAAH+/8eM=")</f>
        <v>#REF!</v>
      </c>
      <c r="HU53" t="e">
        <f>AND(Liste!#REF!,"AAAAAH+/8eQ=")</f>
        <v>#REF!</v>
      </c>
      <c r="HV53" t="e">
        <f>AND(Liste!#REF!,"AAAAAH+/8eU=")</f>
        <v>#REF!</v>
      </c>
      <c r="HW53" t="e">
        <f>AND(Liste!#REF!,"AAAAAH+/8eY=")</f>
        <v>#REF!</v>
      </c>
      <c r="HX53" t="e">
        <f>AND(Liste!#REF!,"AAAAAH+/8ec=")</f>
        <v>#REF!</v>
      </c>
      <c r="HY53" t="e">
        <f>AND(Liste!#REF!,"AAAAAH+/8eg=")</f>
        <v>#REF!</v>
      </c>
      <c r="HZ53" t="e">
        <f>AND(Liste!#REF!,"AAAAAH+/8ek=")</f>
        <v>#REF!</v>
      </c>
      <c r="IA53" t="e">
        <f>AND(Liste!#REF!,"AAAAAH+/8eo=")</f>
        <v>#REF!</v>
      </c>
      <c r="IB53">
        <f>IF(Liste!383:383,"AAAAAH+/8es=",0)</f>
        <v>0</v>
      </c>
      <c r="IC53" t="e">
        <f>AND(Liste!A383,"AAAAAH+/8ew=")</f>
        <v>#VALUE!</v>
      </c>
      <c r="ID53" t="e">
        <f>AND(Liste!#REF!,"AAAAAH+/8e0=")</f>
        <v>#REF!</v>
      </c>
      <c r="IE53" t="e">
        <f>AND(Liste!#REF!,"AAAAAH+/8e4=")</f>
        <v>#REF!</v>
      </c>
      <c r="IF53" t="e">
        <f>AND(Liste!#REF!,"AAAAAH+/8e8=")</f>
        <v>#REF!</v>
      </c>
      <c r="IG53" t="e">
        <f>AND(Liste!F383,"AAAAAH+/8fA=")</f>
        <v>#VALUE!</v>
      </c>
      <c r="IH53" t="e">
        <f>AND(Liste!G383,"AAAAAH+/8fE=")</f>
        <v>#VALUE!</v>
      </c>
      <c r="II53" t="e">
        <f>AND(Liste!H383,"AAAAAH+/8fI=")</f>
        <v>#VALUE!</v>
      </c>
      <c r="IJ53" t="e">
        <f>AND(Liste!I383,"AAAAAH+/8fM=")</f>
        <v>#VALUE!</v>
      </c>
      <c r="IK53" t="e">
        <f>AND(Liste!J383,"AAAAAH+/8fQ=")</f>
        <v>#VALUE!</v>
      </c>
      <c r="IL53" t="e">
        <f>AND(Liste!#REF!,"AAAAAH+/8fU=")</f>
        <v>#REF!</v>
      </c>
      <c r="IM53" t="e">
        <f>AND(Liste!#REF!,"AAAAAH+/8fY=")</f>
        <v>#REF!</v>
      </c>
      <c r="IN53" t="e">
        <f>AND(Liste!#REF!,"AAAAAH+/8fc=")</f>
        <v>#REF!</v>
      </c>
      <c r="IO53" t="e">
        <f>AND(Liste!#REF!,"AAAAAH+/8fg=")</f>
        <v>#REF!</v>
      </c>
      <c r="IP53" t="e">
        <f>AND(Liste!#REF!,"AAAAAH+/8fk=")</f>
        <v>#REF!</v>
      </c>
      <c r="IQ53" t="e">
        <f>AND(Liste!#REF!,"AAAAAH+/8fo=")</f>
        <v>#REF!</v>
      </c>
      <c r="IR53" t="e">
        <f>AND(Liste!#REF!,"AAAAAH+/8fs=")</f>
        <v>#REF!</v>
      </c>
      <c r="IS53" t="e">
        <f>AND(Liste!#REF!,"AAAAAH+/8fw=")</f>
        <v>#REF!</v>
      </c>
      <c r="IT53" t="e">
        <f>AND(Liste!#REF!,"AAAAAH+/8f0=")</f>
        <v>#REF!</v>
      </c>
      <c r="IU53" t="e">
        <f>AND(Liste!#REF!,"AAAAAH+/8f4=")</f>
        <v>#REF!</v>
      </c>
      <c r="IV53" t="e">
        <f>AND(Liste!#REF!,"AAAAAH+/8f8=")</f>
        <v>#REF!</v>
      </c>
    </row>
    <row r="54" spans="1:256" x14ac:dyDescent="0.2">
      <c r="A54" t="e">
        <f>AND(Liste!#REF!,"AAAAAH/q3wA=")</f>
        <v>#REF!</v>
      </c>
      <c r="B54" t="e">
        <f>AND(Liste!#REF!,"AAAAAH/q3wE=")</f>
        <v>#REF!</v>
      </c>
      <c r="C54" t="e">
        <f>AND(Liste!#REF!,"AAAAAH/q3wI=")</f>
        <v>#REF!</v>
      </c>
      <c r="D54" t="e">
        <f>AND(Liste!#REF!,"AAAAAH/q3wM=")</f>
        <v>#REF!</v>
      </c>
      <c r="E54" t="e">
        <f>AND(Liste!#REF!,"AAAAAH/q3wQ=")</f>
        <v>#REF!</v>
      </c>
      <c r="F54" t="e">
        <f>AND(Liste!#REF!,"AAAAAH/q3wU=")</f>
        <v>#REF!</v>
      </c>
      <c r="G54" t="e">
        <f>AND(Liste!#REF!,"AAAAAH/q3wY=")</f>
        <v>#REF!</v>
      </c>
      <c r="H54" t="e">
        <f>AND(Liste!#REF!,"AAAAAH/q3wc=")</f>
        <v>#REF!</v>
      </c>
      <c r="I54" t="e">
        <f>AND(Liste!#REF!,"AAAAAH/q3wg=")</f>
        <v>#REF!</v>
      </c>
      <c r="J54" t="e">
        <f>AND(Liste!#REF!,"AAAAAH/q3wk=")</f>
        <v>#REF!</v>
      </c>
      <c r="K54">
        <f>IF(Liste!384:384,"AAAAAH/q3wo=",0)</f>
        <v>0</v>
      </c>
      <c r="L54" t="e">
        <f>AND(Liste!A384,"AAAAAH/q3ws=")</f>
        <v>#VALUE!</v>
      </c>
      <c r="M54" t="e">
        <f>AND(Liste!#REF!,"AAAAAH/q3ww=")</f>
        <v>#REF!</v>
      </c>
      <c r="N54" t="e">
        <f>AND(Liste!#REF!,"AAAAAH/q3w0=")</f>
        <v>#REF!</v>
      </c>
      <c r="O54" t="e">
        <f>AND(Liste!#REF!,"AAAAAH/q3w4=")</f>
        <v>#REF!</v>
      </c>
      <c r="P54" t="e">
        <f>AND(Liste!F384,"AAAAAH/q3w8=")</f>
        <v>#VALUE!</v>
      </c>
      <c r="Q54" t="e">
        <f>AND(Liste!G384,"AAAAAH/q3xA=")</f>
        <v>#VALUE!</v>
      </c>
      <c r="R54" t="e">
        <f>AND(Liste!H384,"AAAAAH/q3xE=")</f>
        <v>#VALUE!</v>
      </c>
      <c r="S54" t="e">
        <f>AND(Liste!I384,"AAAAAH/q3xI=")</f>
        <v>#VALUE!</v>
      </c>
      <c r="T54" t="e">
        <f>AND(Liste!J384,"AAAAAH/q3xM=")</f>
        <v>#VALUE!</v>
      </c>
      <c r="U54" t="e">
        <f>AND(Liste!#REF!,"AAAAAH/q3xQ=")</f>
        <v>#REF!</v>
      </c>
      <c r="V54" t="e">
        <f>AND(Liste!#REF!,"AAAAAH/q3xU=")</f>
        <v>#REF!</v>
      </c>
      <c r="W54" t="e">
        <f>AND(Liste!#REF!,"AAAAAH/q3xY=")</f>
        <v>#REF!</v>
      </c>
      <c r="X54" t="e">
        <f>AND(Liste!#REF!,"AAAAAH/q3xc=")</f>
        <v>#REF!</v>
      </c>
      <c r="Y54" t="e">
        <f>AND(Liste!#REF!,"AAAAAH/q3xg=")</f>
        <v>#REF!</v>
      </c>
      <c r="Z54" t="e">
        <f>AND(Liste!#REF!,"AAAAAH/q3xk=")</f>
        <v>#REF!</v>
      </c>
      <c r="AA54" t="e">
        <f>AND(Liste!#REF!,"AAAAAH/q3xo=")</f>
        <v>#REF!</v>
      </c>
      <c r="AB54" t="e">
        <f>AND(Liste!#REF!,"AAAAAH/q3xs=")</f>
        <v>#REF!</v>
      </c>
      <c r="AC54" t="e">
        <f>AND(Liste!#REF!,"AAAAAH/q3xw=")</f>
        <v>#REF!</v>
      </c>
      <c r="AD54" t="e">
        <f>AND(Liste!#REF!,"AAAAAH/q3x0=")</f>
        <v>#REF!</v>
      </c>
      <c r="AE54" t="e">
        <f>AND(Liste!#REF!,"AAAAAH/q3x4=")</f>
        <v>#REF!</v>
      </c>
      <c r="AF54" t="e">
        <f>AND(Liste!#REF!,"AAAAAH/q3x8=")</f>
        <v>#REF!</v>
      </c>
      <c r="AG54" t="e">
        <f>AND(Liste!#REF!,"AAAAAH/q3yA=")</f>
        <v>#REF!</v>
      </c>
      <c r="AH54" t="e">
        <f>AND(Liste!#REF!,"AAAAAH/q3yE=")</f>
        <v>#REF!</v>
      </c>
      <c r="AI54" t="e">
        <f>AND(Liste!#REF!,"AAAAAH/q3yI=")</f>
        <v>#REF!</v>
      </c>
      <c r="AJ54" t="e">
        <f>AND(Liste!#REF!,"AAAAAH/q3yM=")</f>
        <v>#REF!</v>
      </c>
      <c r="AK54" t="e">
        <f>AND(Liste!#REF!,"AAAAAH/q3yQ=")</f>
        <v>#REF!</v>
      </c>
      <c r="AL54" t="e">
        <f>AND(Liste!#REF!,"AAAAAH/q3yU=")</f>
        <v>#REF!</v>
      </c>
      <c r="AM54" t="e">
        <f>AND(Liste!#REF!,"AAAAAH/q3yY=")</f>
        <v>#REF!</v>
      </c>
      <c r="AN54" t="e">
        <f>AND(Liste!#REF!,"AAAAAH/q3yc=")</f>
        <v>#REF!</v>
      </c>
      <c r="AO54" t="e">
        <f>AND(Liste!#REF!,"AAAAAH/q3yg=")</f>
        <v>#REF!</v>
      </c>
      <c r="AP54">
        <f>IF(Liste!385:385,"AAAAAH/q3yk=",0)</f>
        <v>0</v>
      </c>
      <c r="AQ54" t="b">
        <f>AND(Liste!A385,"AAAAAH/q3yo=")</f>
        <v>1</v>
      </c>
      <c r="AR54" t="e">
        <f>AND(Liste!#REF!,"AAAAAH/q3ys=")</f>
        <v>#REF!</v>
      </c>
      <c r="AS54" t="e">
        <f>AND(Liste!#REF!,"AAAAAH/q3yw=")</f>
        <v>#REF!</v>
      </c>
      <c r="AT54" t="e">
        <f>AND(Liste!#REF!,"AAAAAH/q3y0=")</f>
        <v>#REF!</v>
      </c>
      <c r="AU54" t="e">
        <f>AND(Liste!F385,"AAAAAH/q3y4=")</f>
        <v>#VALUE!</v>
      </c>
      <c r="AV54" t="e">
        <f>AND(Liste!G385,"AAAAAH/q3y8=")</f>
        <v>#VALUE!</v>
      </c>
      <c r="AW54" t="e">
        <f>AND(Liste!H385,"AAAAAH/q3zA=")</f>
        <v>#VALUE!</v>
      </c>
      <c r="AX54" t="e">
        <f>AND(Liste!I385,"AAAAAH/q3zE=")</f>
        <v>#VALUE!</v>
      </c>
      <c r="AY54" t="e">
        <f>AND(Liste!J385,"AAAAAH/q3zI=")</f>
        <v>#VALUE!</v>
      </c>
      <c r="AZ54" t="e">
        <f>AND(Liste!#REF!,"AAAAAH/q3zM=")</f>
        <v>#REF!</v>
      </c>
      <c r="BA54" t="e">
        <f>AND(Liste!#REF!,"AAAAAH/q3zQ=")</f>
        <v>#REF!</v>
      </c>
      <c r="BB54" t="e">
        <f>AND(Liste!#REF!,"AAAAAH/q3zU=")</f>
        <v>#REF!</v>
      </c>
      <c r="BC54" t="e">
        <f>AND(Liste!#REF!,"AAAAAH/q3zY=")</f>
        <v>#REF!</v>
      </c>
      <c r="BD54" t="e">
        <f>AND(Liste!#REF!,"AAAAAH/q3zc=")</f>
        <v>#REF!</v>
      </c>
      <c r="BE54" t="e">
        <f>AND(Liste!#REF!,"AAAAAH/q3zg=")</f>
        <v>#REF!</v>
      </c>
      <c r="BF54" t="e">
        <f>AND(Liste!#REF!,"AAAAAH/q3zk=")</f>
        <v>#REF!</v>
      </c>
      <c r="BG54" t="e">
        <f>AND(Liste!#REF!,"AAAAAH/q3zo=")</f>
        <v>#REF!</v>
      </c>
      <c r="BH54" t="e">
        <f>AND(Liste!#REF!,"AAAAAH/q3zs=")</f>
        <v>#REF!</v>
      </c>
      <c r="BI54" t="e">
        <f>AND(Liste!#REF!,"AAAAAH/q3zw=")</f>
        <v>#REF!</v>
      </c>
      <c r="BJ54" t="e">
        <f>AND(Liste!#REF!,"AAAAAH/q3z0=")</f>
        <v>#REF!</v>
      </c>
      <c r="BK54" t="e">
        <f>AND(Liste!#REF!,"AAAAAH/q3z4=")</f>
        <v>#REF!</v>
      </c>
      <c r="BL54" t="e">
        <f>AND(Liste!#REF!,"AAAAAH/q3z8=")</f>
        <v>#REF!</v>
      </c>
      <c r="BM54" t="e">
        <f>AND(Liste!#REF!,"AAAAAH/q30A=")</f>
        <v>#REF!</v>
      </c>
      <c r="BN54" t="e">
        <f>AND(Liste!#REF!,"AAAAAH/q30E=")</f>
        <v>#REF!</v>
      </c>
      <c r="BO54" t="e">
        <f>AND(Liste!#REF!,"AAAAAH/q30I=")</f>
        <v>#REF!</v>
      </c>
      <c r="BP54" t="e">
        <f>AND(Liste!#REF!,"AAAAAH/q30M=")</f>
        <v>#REF!</v>
      </c>
      <c r="BQ54" t="e">
        <f>AND(Liste!#REF!,"AAAAAH/q30Q=")</f>
        <v>#REF!</v>
      </c>
      <c r="BR54" t="e">
        <f>AND(Liste!#REF!,"AAAAAH/q30U=")</f>
        <v>#REF!</v>
      </c>
      <c r="BS54" t="e">
        <f>AND(Liste!#REF!,"AAAAAH/q30Y=")</f>
        <v>#REF!</v>
      </c>
      <c r="BT54" t="e">
        <f>AND(Liste!#REF!,"AAAAAH/q30c=")</f>
        <v>#REF!</v>
      </c>
      <c r="BU54">
        <f>IF(Liste!386:386,"AAAAAH/q30g=",0)</f>
        <v>0</v>
      </c>
      <c r="BV54" t="b">
        <f>AND(Liste!A386,"AAAAAH/q30k=")</f>
        <v>1</v>
      </c>
      <c r="BW54" t="e">
        <f>AND(Liste!#REF!,"AAAAAH/q30o=")</f>
        <v>#REF!</v>
      </c>
      <c r="BX54" t="e">
        <f>AND(Liste!#REF!,"AAAAAH/q30s=")</f>
        <v>#REF!</v>
      </c>
      <c r="BY54" t="e">
        <f>AND(Liste!#REF!,"AAAAAH/q30w=")</f>
        <v>#REF!</v>
      </c>
      <c r="BZ54" t="e">
        <f>AND(Liste!F386,"AAAAAH/q300=")</f>
        <v>#VALUE!</v>
      </c>
      <c r="CA54" t="e">
        <f>AND(Liste!G386,"AAAAAH/q304=")</f>
        <v>#VALUE!</v>
      </c>
      <c r="CB54" t="e">
        <f>AND(Liste!H386,"AAAAAH/q308=")</f>
        <v>#VALUE!</v>
      </c>
      <c r="CC54" t="e">
        <f>AND(Liste!I386,"AAAAAH/q31A=")</f>
        <v>#VALUE!</v>
      </c>
      <c r="CD54" t="e">
        <f>AND(Liste!J386,"AAAAAH/q31E=")</f>
        <v>#VALUE!</v>
      </c>
      <c r="CE54" t="e">
        <f>AND(Liste!#REF!,"AAAAAH/q31I=")</f>
        <v>#REF!</v>
      </c>
      <c r="CF54" t="e">
        <f>AND(Liste!#REF!,"AAAAAH/q31M=")</f>
        <v>#REF!</v>
      </c>
      <c r="CG54" t="e">
        <f>AND(Liste!#REF!,"AAAAAH/q31Q=")</f>
        <v>#REF!</v>
      </c>
      <c r="CH54" t="e">
        <f>AND(Liste!#REF!,"AAAAAH/q31U=")</f>
        <v>#REF!</v>
      </c>
      <c r="CI54" t="e">
        <f>AND(Liste!#REF!,"AAAAAH/q31Y=")</f>
        <v>#REF!</v>
      </c>
      <c r="CJ54" t="e">
        <f>AND(Liste!#REF!,"AAAAAH/q31c=")</f>
        <v>#REF!</v>
      </c>
      <c r="CK54" t="e">
        <f>AND(Liste!#REF!,"AAAAAH/q31g=")</f>
        <v>#REF!</v>
      </c>
      <c r="CL54" t="e">
        <f>AND(Liste!#REF!,"AAAAAH/q31k=")</f>
        <v>#REF!</v>
      </c>
      <c r="CM54" t="e">
        <f>AND(Liste!#REF!,"AAAAAH/q31o=")</f>
        <v>#REF!</v>
      </c>
      <c r="CN54" t="e">
        <f>AND(Liste!#REF!,"AAAAAH/q31s=")</f>
        <v>#REF!</v>
      </c>
      <c r="CO54" t="e">
        <f>AND(Liste!#REF!,"AAAAAH/q31w=")</f>
        <v>#REF!</v>
      </c>
      <c r="CP54" t="e">
        <f>AND(Liste!#REF!,"AAAAAH/q310=")</f>
        <v>#REF!</v>
      </c>
      <c r="CQ54" t="e">
        <f>AND(Liste!#REF!,"AAAAAH/q314=")</f>
        <v>#REF!</v>
      </c>
      <c r="CR54" t="e">
        <f>AND(Liste!#REF!,"AAAAAH/q318=")</f>
        <v>#REF!</v>
      </c>
      <c r="CS54" t="e">
        <f>AND(Liste!#REF!,"AAAAAH/q32A=")</f>
        <v>#REF!</v>
      </c>
      <c r="CT54" t="e">
        <f>AND(Liste!#REF!,"AAAAAH/q32E=")</f>
        <v>#REF!</v>
      </c>
      <c r="CU54" t="e">
        <f>AND(Liste!#REF!,"AAAAAH/q32I=")</f>
        <v>#REF!</v>
      </c>
      <c r="CV54" t="e">
        <f>AND(Liste!#REF!,"AAAAAH/q32M=")</f>
        <v>#REF!</v>
      </c>
      <c r="CW54" t="e">
        <f>AND(Liste!#REF!,"AAAAAH/q32Q=")</f>
        <v>#REF!</v>
      </c>
      <c r="CX54" t="e">
        <f>AND(Liste!#REF!,"AAAAAH/q32U=")</f>
        <v>#REF!</v>
      </c>
      <c r="CY54" t="e">
        <f>AND(Liste!#REF!,"AAAAAH/q32Y=")</f>
        <v>#REF!</v>
      </c>
      <c r="CZ54">
        <f>IF(Liste!387:387,"AAAAAH/q32c=",0)</f>
        <v>0</v>
      </c>
      <c r="DA54" t="b">
        <f>AND(Liste!A387,"AAAAAH/q32g=")</f>
        <v>1</v>
      </c>
      <c r="DB54" t="e">
        <f>AND(Liste!#REF!,"AAAAAH/q32k=")</f>
        <v>#REF!</v>
      </c>
      <c r="DC54" t="e">
        <f>AND(Liste!#REF!,"AAAAAH/q32o=")</f>
        <v>#REF!</v>
      </c>
      <c r="DD54" t="e">
        <f>AND(Liste!#REF!,"AAAAAH/q32s=")</f>
        <v>#REF!</v>
      </c>
      <c r="DE54" t="e">
        <f>AND(Liste!F387,"AAAAAH/q32w=")</f>
        <v>#VALUE!</v>
      </c>
      <c r="DF54" t="e">
        <f>AND(Liste!G387,"AAAAAH/q320=")</f>
        <v>#VALUE!</v>
      </c>
      <c r="DG54" t="e">
        <f>AND(Liste!H387,"AAAAAH/q324=")</f>
        <v>#VALUE!</v>
      </c>
      <c r="DH54" t="e">
        <f>AND(Liste!I387,"AAAAAH/q328=")</f>
        <v>#VALUE!</v>
      </c>
      <c r="DI54" t="e">
        <f>AND(Liste!J387,"AAAAAH/q33A=")</f>
        <v>#VALUE!</v>
      </c>
      <c r="DJ54" t="e">
        <f>AND(Liste!#REF!,"AAAAAH/q33E=")</f>
        <v>#REF!</v>
      </c>
      <c r="DK54" t="e">
        <f>AND(Liste!#REF!,"AAAAAH/q33I=")</f>
        <v>#REF!</v>
      </c>
      <c r="DL54" t="e">
        <f>AND(Liste!#REF!,"AAAAAH/q33M=")</f>
        <v>#REF!</v>
      </c>
      <c r="DM54" t="e">
        <f>AND(Liste!#REF!,"AAAAAH/q33Q=")</f>
        <v>#REF!</v>
      </c>
      <c r="DN54" t="e">
        <f>AND(Liste!#REF!,"AAAAAH/q33U=")</f>
        <v>#REF!</v>
      </c>
      <c r="DO54" t="e">
        <f>AND(Liste!#REF!,"AAAAAH/q33Y=")</f>
        <v>#REF!</v>
      </c>
      <c r="DP54" t="e">
        <f>AND(Liste!#REF!,"AAAAAH/q33c=")</f>
        <v>#REF!</v>
      </c>
      <c r="DQ54" t="e">
        <f>AND(Liste!#REF!,"AAAAAH/q33g=")</f>
        <v>#REF!</v>
      </c>
      <c r="DR54" t="e">
        <f>AND(Liste!#REF!,"AAAAAH/q33k=")</f>
        <v>#REF!</v>
      </c>
      <c r="DS54" t="e">
        <f>AND(Liste!#REF!,"AAAAAH/q33o=")</f>
        <v>#REF!</v>
      </c>
      <c r="DT54" t="e">
        <f>AND(Liste!#REF!,"AAAAAH/q33s=")</f>
        <v>#REF!</v>
      </c>
      <c r="DU54" t="e">
        <f>AND(Liste!#REF!,"AAAAAH/q33w=")</f>
        <v>#REF!</v>
      </c>
      <c r="DV54" t="e">
        <f>AND(Liste!#REF!,"AAAAAH/q330=")</f>
        <v>#REF!</v>
      </c>
      <c r="DW54" t="e">
        <f>AND(Liste!#REF!,"AAAAAH/q334=")</f>
        <v>#REF!</v>
      </c>
      <c r="DX54" t="e">
        <f>AND(Liste!#REF!,"AAAAAH/q338=")</f>
        <v>#REF!</v>
      </c>
      <c r="DY54" t="e">
        <f>AND(Liste!#REF!,"AAAAAH/q34A=")</f>
        <v>#REF!</v>
      </c>
      <c r="DZ54" t="e">
        <f>AND(Liste!#REF!,"AAAAAH/q34E=")</f>
        <v>#REF!</v>
      </c>
      <c r="EA54" t="e">
        <f>AND(Liste!#REF!,"AAAAAH/q34I=")</f>
        <v>#REF!</v>
      </c>
      <c r="EB54" t="e">
        <f>AND(Liste!#REF!,"AAAAAH/q34M=")</f>
        <v>#REF!</v>
      </c>
      <c r="EC54" t="e">
        <f>AND(Liste!#REF!,"AAAAAH/q34Q=")</f>
        <v>#REF!</v>
      </c>
      <c r="ED54" t="e">
        <f>AND(Liste!#REF!,"AAAAAH/q34U=")</f>
        <v>#REF!</v>
      </c>
      <c r="EE54">
        <f>IF(Liste!388:388,"AAAAAH/q34Y=",0)</f>
        <v>0</v>
      </c>
      <c r="EF54" t="b">
        <f>AND(Liste!A388,"AAAAAH/q34c=")</f>
        <v>1</v>
      </c>
      <c r="EG54" t="e">
        <f>AND(Liste!#REF!,"AAAAAH/q34g=")</f>
        <v>#REF!</v>
      </c>
      <c r="EH54" t="e">
        <f>AND(Liste!#REF!,"AAAAAH/q34k=")</f>
        <v>#REF!</v>
      </c>
      <c r="EI54" t="e">
        <f>AND(Liste!#REF!,"AAAAAH/q34o=")</f>
        <v>#REF!</v>
      </c>
      <c r="EJ54" t="e">
        <f>AND(Liste!F388,"AAAAAH/q34s=")</f>
        <v>#VALUE!</v>
      </c>
      <c r="EK54" t="e">
        <f>AND(Liste!G388,"AAAAAH/q34w=")</f>
        <v>#VALUE!</v>
      </c>
      <c r="EL54" t="e">
        <f>AND(Liste!H388,"AAAAAH/q340=")</f>
        <v>#VALUE!</v>
      </c>
      <c r="EM54" t="e">
        <f>AND(Liste!I388,"AAAAAH/q344=")</f>
        <v>#VALUE!</v>
      </c>
      <c r="EN54" t="e">
        <f>AND(Liste!J388,"AAAAAH/q348=")</f>
        <v>#VALUE!</v>
      </c>
      <c r="EO54" t="e">
        <f>AND(Liste!#REF!,"AAAAAH/q35A=")</f>
        <v>#REF!</v>
      </c>
      <c r="EP54" t="e">
        <f>AND(Liste!#REF!,"AAAAAH/q35E=")</f>
        <v>#REF!</v>
      </c>
      <c r="EQ54" t="e">
        <f>AND(Liste!#REF!,"AAAAAH/q35I=")</f>
        <v>#REF!</v>
      </c>
      <c r="ER54" t="e">
        <f>AND(Liste!#REF!,"AAAAAH/q35M=")</f>
        <v>#REF!</v>
      </c>
      <c r="ES54" t="e">
        <f>AND(Liste!#REF!,"AAAAAH/q35Q=")</f>
        <v>#REF!</v>
      </c>
      <c r="ET54" t="e">
        <f>AND(Liste!#REF!,"AAAAAH/q35U=")</f>
        <v>#REF!</v>
      </c>
      <c r="EU54" t="e">
        <f>AND(Liste!#REF!,"AAAAAH/q35Y=")</f>
        <v>#REF!</v>
      </c>
      <c r="EV54" t="e">
        <f>AND(Liste!#REF!,"AAAAAH/q35c=")</f>
        <v>#REF!</v>
      </c>
      <c r="EW54" t="e">
        <f>AND(Liste!#REF!,"AAAAAH/q35g=")</f>
        <v>#REF!</v>
      </c>
      <c r="EX54" t="e">
        <f>AND(Liste!#REF!,"AAAAAH/q35k=")</f>
        <v>#REF!</v>
      </c>
      <c r="EY54" t="e">
        <f>AND(Liste!#REF!,"AAAAAH/q35o=")</f>
        <v>#REF!</v>
      </c>
      <c r="EZ54" t="e">
        <f>AND(Liste!#REF!,"AAAAAH/q35s=")</f>
        <v>#REF!</v>
      </c>
      <c r="FA54" t="e">
        <f>AND(Liste!#REF!,"AAAAAH/q35w=")</f>
        <v>#REF!</v>
      </c>
      <c r="FB54" t="e">
        <f>AND(Liste!#REF!,"AAAAAH/q350=")</f>
        <v>#REF!</v>
      </c>
      <c r="FC54" t="e">
        <f>AND(Liste!#REF!,"AAAAAH/q354=")</f>
        <v>#REF!</v>
      </c>
      <c r="FD54" t="e">
        <f>AND(Liste!#REF!,"AAAAAH/q358=")</f>
        <v>#REF!</v>
      </c>
      <c r="FE54" t="e">
        <f>AND(Liste!#REF!,"AAAAAH/q36A=")</f>
        <v>#REF!</v>
      </c>
      <c r="FF54" t="e">
        <f>AND(Liste!#REF!,"AAAAAH/q36E=")</f>
        <v>#REF!</v>
      </c>
      <c r="FG54" t="e">
        <f>AND(Liste!#REF!,"AAAAAH/q36I=")</f>
        <v>#REF!</v>
      </c>
      <c r="FH54" t="e">
        <f>AND(Liste!#REF!,"AAAAAH/q36M=")</f>
        <v>#REF!</v>
      </c>
      <c r="FI54" t="e">
        <f>AND(Liste!#REF!,"AAAAAH/q36Q=")</f>
        <v>#REF!</v>
      </c>
      <c r="FJ54">
        <f>IF(Liste!389:389,"AAAAAH/q36U=",0)</f>
        <v>0</v>
      </c>
      <c r="FK54" t="b">
        <f>AND(Liste!A389,"AAAAAH/q36Y=")</f>
        <v>1</v>
      </c>
      <c r="FL54" t="e">
        <f>AND(Liste!#REF!,"AAAAAH/q36c=")</f>
        <v>#REF!</v>
      </c>
      <c r="FM54" t="e">
        <f>AND(Liste!#REF!,"AAAAAH/q36g=")</f>
        <v>#REF!</v>
      </c>
      <c r="FN54" t="e">
        <f>AND(Liste!#REF!,"AAAAAH/q36k=")</f>
        <v>#REF!</v>
      </c>
      <c r="FO54" t="e">
        <f>AND(Liste!F389,"AAAAAH/q36o=")</f>
        <v>#VALUE!</v>
      </c>
      <c r="FP54" t="e">
        <f>AND(Liste!G389,"AAAAAH/q36s=")</f>
        <v>#VALUE!</v>
      </c>
      <c r="FQ54" t="e">
        <f>AND(Liste!H389,"AAAAAH/q36w=")</f>
        <v>#VALUE!</v>
      </c>
      <c r="FR54" t="e">
        <f>AND(Liste!I389,"AAAAAH/q360=")</f>
        <v>#VALUE!</v>
      </c>
      <c r="FS54" t="e">
        <f>AND(Liste!J389,"AAAAAH/q364=")</f>
        <v>#VALUE!</v>
      </c>
      <c r="FT54" t="e">
        <f>AND(Liste!#REF!,"AAAAAH/q368=")</f>
        <v>#REF!</v>
      </c>
      <c r="FU54" t="e">
        <f>AND(Liste!#REF!,"AAAAAH/q37A=")</f>
        <v>#REF!</v>
      </c>
      <c r="FV54" t="e">
        <f>AND(Liste!#REF!,"AAAAAH/q37E=")</f>
        <v>#REF!</v>
      </c>
      <c r="FW54" t="e">
        <f>AND(Liste!#REF!,"AAAAAH/q37I=")</f>
        <v>#REF!</v>
      </c>
      <c r="FX54" t="e">
        <f>AND(Liste!#REF!,"AAAAAH/q37M=")</f>
        <v>#REF!</v>
      </c>
      <c r="FY54" t="e">
        <f>AND(Liste!#REF!,"AAAAAH/q37Q=")</f>
        <v>#REF!</v>
      </c>
      <c r="FZ54" t="e">
        <f>AND(Liste!#REF!,"AAAAAH/q37U=")</f>
        <v>#REF!</v>
      </c>
      <c r="GA54" t="e">
        <f>AND(Liste!#REF!,"AAAAAH/q37Y=")</f>
        <v>#REF!</v>
      </c>
      <c r="GB54" t="e">
        <f>AND(Liste!#REF!,"AAAAAH/q37c=")</f>
        <v>#REF!</v>
      </c>
      <c r="GC54" t="e">
        <f>AND(Liste!#REF!,"AAAAAH/q37g=")</f>
        <v>#REF!</v>
      </c>
      <c r="GD54" t="e">
        <f>AND(Liste!#REF!,"AAAAAH/q37k=")</f>
        <v>#REF!</v>
      </c>
      <c r="GE54" t="e">
        <f>AND(Liste!#REF!,"AAAAAH/q37o=")</f>
        <v>#REF!</v>
      </c>
      <c r="GF54" t="e">
        <f>AND(Liste!#REF!,"AAAAAH/q37s=")</f>
        <v>#REF!</v>
      </c>
      <c r="GG54" t="e">
        <f>AND(Liste!#REF!,"AAAAAH/q37w=")</f>
        <v>#REF!</v>
      </c>
      <c r="GH54" t="e">
        <f>AND(Liste!#REF!,"AAAAAH/q370=")</f>
        <v>#REF!</v>
      </c>
      <c r="GI54" t="e">
        <f>AND(Liste!#REF!,"AAAAAH/q374=")</f>
        <v>#REF!</v>
      </c>
      <c r="GJ54" t="e">
        <f>AND(Liste!#REF!,"AAAAAH/q378=")</f>
        <v>#REF!</v>
      </c>
      <c r="GK54" t="e">
        <f>AND(Liste!#REF!,"AAAAAH/q38A=")</f>
        <v>#REF!</v>
      </c>
      <c r="GL54" t="e">
        <f>AND(Liste!#REF!,"AAAAAH/q38E=")</f>
        <v>#REF!</v>
      </c>
      <c r="GM54" t="e">
        <f>AND(Liste!#REF!,"AAAAAH/q38I=")</f>
        <v>#REF!</v>
      </c>
      <c r="GN54" t="e">
        <f>AND(Liste!#REF!,"AAAAAH/q38M=")</f>
        <v>#REF!</v>
      </c>
      <c r="GO54">
        <f>IF(Liste!390:390,"AAAAAH/q38Q=",0)</f>
        <v>0</v>
      </c>
      <c r="GP54" t="b">
        <f>AND(Liste!A390,"AAAAAH/q38U=")</f>
        <v>1</v>
      </c>
      <c r="GQ54" t="e">
        <f>AND(Liste!#REF!,"AAAAAH/q38Y=")</f>
        <v>#REF!</v>
      </c>
      <c r="GR54" t="e">
        <f>AND(Liste!#REF!,"AAAAAH/q38c=")</f>
        <v>#REF!</v>
      </c>
      <c r="GS54" t="e">
        <f>AND(Liste!#REF!,"AAAAAH/q38g=")</f>
        <v>#REF!</v>
      </c>
      <c r="GT54" t="e">
        <f>AND(Liste!F390,"AAAAAH/q38k=")</f>
        <v>#VALUE!</v>
      </c>
      <c r="GU54" t="e">
        <f>AND(Liste!G390,"AAAAAH/q38o=")</f>
        <v>#VALUE!</v>
      </c>
      <c r="GV54" t="e">
        <f>AND(Liste!H390,"AAAAAH/q38s=")</f>
        <v>#VALUE!</v>
      </c>
      <c r="GW54" t="e">
        <f>AND(Liste!I390,"AAAAAH/q38w=")</f>
        <v>#VALUE!</v>
      </c>
      <c r="GX54" t="e">
        <f>AND(Liste!J390,"AAAAAH/q380=")</f>
        <v>#VALUE!</v>
      </c>
      <c r="GY54" t="e">
        <f>AND(Liste!#REF!,"AAAAAH/q384=")</f>
        <v>#REF!</v>
      </c>
      <c r="GZ54" t="e">
        <f>AND(Liste!#REF!,"AAAAAH/q388=")</f>
        <v>#REF!</v>
      </c>
      <c r="HA54" t="e">
        <f>AND(Liste!#REF!,"AAAAAH/q39A=")</f>
        <v>#REF!</v>
      </c>
      <c r="HB54" t="e">
        <f>AND(Liste!#REF!,"AAAAAH/q39E=")</f>
        <v>#REF!</v>
      </c>
      <c r="HC54" t="e">
        <f>AND(Liste!#REF!,"AAAAAH/q39I=")</f>
        <v>#REF!</v>
      </c>
      <c r="HD54" t="e">
        <f>AND(Liste!#REF!,"AAAAAH/q39M=")</f>
        <v>#REF!</v>
      </c>
      <c r="HE54" t="e">
        <f>AND(Liste!#REF!,"AAAAAH/q39Q=")</f>
        <v>#REF!</v>
      </c>
      <c r="HF54" t="e">
        <f>AND(Liste!#REF!,"AAAAAH/q39U=")</f>
        <v>#REF!</v>
      </c>
      <c r="HG54" t="e">
        <f>AND(Liste!#REF!,"AAAAAH/q39Y=")</f>
        <v>#REF!</v>
      </c>
      <c r="HH54" t="e">
        <f>AND(Liste!#REF!,"AAAAAH/q39c=")</f>
        <v>#REF!</v>
      </c>
      <c r="HI54" t="e">
        <f>AND(Liste!#REF!,"AAAAAH/q39g=")</f>
        <v>#REF!</v>
      </c>
      <c r="HJ54" t="e">
        <f>AND(Liste!#REF!,"AAAAAH/q39k=")</f>
        <v>#REF!</v>
      </c>
      <c r="HK54" t="e">
        <f>AND(Liste!#REF!,"AAAAAH/q39o=")</f>
        <v>#REF!</v>
      </c>
      <c r="HL54" t="e">
        <f>AND(Liste!#REF!,"AAAAAH/q39s=")</f>
        <v>#REF!</v>
      </c>
      <c r="HM54" t="e">
        <f>AND(Liste!#REF!,"AAAAAH/q39w=")</f>
        <v>#REF!</v>
      </c>
      <c r="HN54" t="e">
        <f>AND(Liste!#REF!,"AAAAAH/q390=")</f>
        <v>#REF!</v>
      </c>
      <c r="HO54" t="e">
        <f>AND(Liste!#REF!,"AAAAAH/q394=")</f>
        <v>#REF!</v>
      </c>
      <c r="HP54" t="e">
        <f>AND(Liste!#REF!,"AAAAAH/q398=")</f>
        <v>#REF!</v>
      </c>
      <c r="HQ54" t="e">
        <f>AND(Liste!#REF!,"AAAAAH/q3+A=")</f>
        <v>#REF!</v>
      </c>
      <c r="HR54" t="e">
        <f>AND(Liste!#REF!,"AAAAAH/q3+E=")</f>
        <v>#REF!</v>
      </c>
      <c r="HS54" t="e">
        <f>AND(Liste!#REF!,"AAAAAH/q3+I=")</f>
        <v>#REF!</v>
      </c>
      <c r="HT54">
        <f>IF(Liste!391:391,"AAAAAH/q3+M=",0)</f>
        <v>0</v>
      </c>
      <c r="HU54" t="b">
        <f>AND(Liste!A391,"AAAAAH/q3+Q=")</f>
        <v>1</v>
      </c>
      <c r="HV54" t="e">
        <f>AND(Liste!#REF!,"AAAAAH/q3+U=")</f>
        <v>#REF!</v>
      </c>
      <c r="HW54" t="e">
        <f>AND(Liste!#REF!,"AAAAAH/q3+Y=")</f>
        <v>#REF!</v>
      </c>
      <c r="HX54" t="e">
        <f>AND(Liste!#REF!,"AAAAAH/q3+c=")</f>
        <v>#REF!</v>
      </c>
      <c r="HY54" t="e">
        <f>AND(Liste!F391,"AAAAAH/q3+g=")</f>
        <v>#VALUE!</v>
      </c>
      <c r="HZ54" t="e">
        <f>AND(Liste!G391,"AAAAAH/q3+k=")</f>
        <v>#VALUE!</v>
      </c>
      <c r="IA54" t="e">
        <f>AND(Liste!H391,"AAAAAH/q3+o=")</f>
        <v>#VALUE!</v>
      </c>
      <c r="IB54" t="e">
        <f>AND(Liste!I391,"AAAAAH/q3+s=")</f>
        <v>#VALUE!</v>
      </c>
      <c r="IC54" t="e">
        <f>AND(Liste!J391,"AAAAAH/q3+w=")</f>
        <v>#VALUE!</v>
      </c>
      <c r="ID54" t="e">
        <f>AND(Liste!#REF!,"AAAAAH/q3+0=")</f>
        <v>#REF!</v>
      </c>
      <c r="IE54" t="e">
        <f>AND(Liste!#REF!,"AAAAAH/q3+4=")</f>
        <v>#REF!</v>
      </c>
      <c r="IF54" t="e">
        <f>AND(Liste!#REF!,"AAAAAH/q3+8=")</f>
        <v>#REF!</v>
      </c>
      <c r="IG54" t="e">
        <f>AND(Liste!#REF!,"AAAAAH/q3/A=")</f>
        <v>#REF!</v>
      </c>
      <c r="IH54" t="e">
        <f>AND(Liste!#REF!,"AAAAAH/q3/E=")</f>
        <v>#REF!</v>
      </c>
      <c r="II54" t="e">
        <f>AND(Liste!#REF!,"AAAAAH/q3/I=")</f>
        <v>#REF!</v>
      </c>
      <c r="IJ54" t="e">
        <f>AND(Liste!#REF!,"AAAAAH/q3/M=")</f>
        <v>#REF!</v>
      </c>
      <c r="IK54" t="e">
        <f>AND(Liste!#REF!,"AAAAAH/q3/Q=")</f>
        <v>#REF!</v>
      </c>
      <c r="IL54" t="e">
        <f>AND(Liste!#REF!,"AAAAAH/q3/U=")</f>
        <v>#REF!</v>
      </c>
      <c r="IM54" t="e">
        <f>AND(Liste!#REF!,"AAAAAH/q3/Y=")</f>
        <v>#REF!</v>
      </c>
      <c r="IN54" t="e">
        <f>AND(Liste!#REF!,"AAAAAH/q3/c=")</f>
        <v>#REF!</v>
      </c>
      <c r="IO54" t="e">
        <f>AND(Liste!#REF!,"AAAAAH/q3/g=")</f>
        <v>#REF!</v>
      </c>
      <c r="IP54" t="e">
        <f>AND(Liste!#REF!,"AAAAAH/q3/k=")</f>
        <v>#REF!</v>
      </c>
      <c r="IQ54" t="e">
        <f>AND(Liste!#REF!,"AAAAAH/q3/o=")</f>
        <v>#REF!</v>
      </c>
      <c r="IR54" t="e">
        <f>AND(Liste!#REF!,"AAAAAH/q3/s=")</f>
        <v>#REF!</v>
      </c>
      <c r="IS54" t="e">
        <f>AND(Liste!#REF!,"AAAAAH/q3/w=")</f>
        <v>#REF!</v>
      </c>
      <c r="IT54" t="e">
        <f>AND(Liste!#REF!,"AAAAAH/q3/0=")</f>
        <v>#REF!</v>
      </c>
      <c r="IU54" t="e">
        <f>AND(Liste!#REF!,"AAAAAH/q3/4=")</f>
        <v>#REF!</v>
      </c>
      <c r="IV54" t="e">
        <f>AND(Liste!#REF!,"AAAAAH/q3/8=")</f>
        <v>#REF!</v>
      </c>
    </row>
    <row r="55" spans="1:256" x14ac:dyDescent="0.2">
      <c r="A55" t="e">
        <f>AND(Liste!#REF!,"AAAAAHWvqwA=")</f>
        <v>#REF!</v>
      </c>
      <c r="B55" t="e">
        <f>AND(Liste!#REF!,"AAAAAHWvqwE=")</f>
        <v>#REF!</v>
      </c>
      <c r="C55" t="e">
        <f>IF(Liste!392:392,"AAAAAHWvqwI=",0)</f>
        <v>#VALUE!</v>
      </c>
      <c r="D55" t="b">
        <f>AND(Liste!A392,"AAAAAHWvqwM=")</f>
        <v>1</v>
      </c>
      <c r="E55" t="e">
        <f>AND(Liste!#REF!,"AAAAAHWvqwQ=")</f>
        <v>#REF!</v>
      </c>
      <c r="F55" t="e">
        <f>AND(Liste!#REF!,"AAAAAHWvqwU=")</f>
        <v>#REF!</v>
      </c>
      <c r="G55" t="e">
        <f>AND(Liste!#REF!,"AAAAAHWvqwY=")</f>
        <v>#REF!</v>
      </c>
      <c r="H55" t="e">
        <f>AND(Liste!F392,"AAAAAHWvqwc=")</f>
        <v>#VALUE!</v>
      </c>
      <c r="I55" t="e">
        <f>AND(Liste!G392,"AAAAAHWvqwg=")</f>
        <v>#VALUE!</v>
      </c>
      <c r="J55" t="e">
        <f>AND(Liste!H392,"AAAAAHWvqwk=")</f>
        <v>#VALUE!</v>
      </c>
      <c r="K55" t="e">
        <f>AND(Liste!I392,"AAAAAHWvqwo=")</f>
        <v>#VALUE!</v>
      </c>
      <c r="L55" t="e">
        <f>AND(Liste!J392,"AAAAAHWvqws=")</f>
        <v>#VALUE!</v>
      </c>
      <c r="M55" t="e">
        <f>AND(Liste!#REF!,"AAAAAHWvqww=")</f>
        <v>#REF!</v>
      </c>
      <c r="N55" t="e">
        <f>AND(Liste!#REF!,"AAAAAHWvqw0=")</f>
        <v>#REF!</v>
      </c>
      <c r="O55" t="e">
        <f>AND(Liste!#REF!,"AAAAAHWvqw4=")</f>
        <v>#REF!</v>
      </c>
      <c r="P55" t="e">
        <f>AND(Liste!#REF!,"AAAAAHWvqw8=")</f>
        <v>#REF!</v>
      </c>
      <c r="Q55" t="e">
        <f>AND(Liste!#REF!,"AAAAAHWvqxA=")</f>
        <v>#REF!</v>
      </c>
      <c r="R55" t="e">
        <f>AND(Liste!#REF!,"AAAAAHWvqxE=")</f>
        <v>#REF!</v>
      </c>
      <c r="S55" t="e">
        <f>AND(Liste!#REF!,"AAAAAHWvqxI=")</f>
        <v>#REF!</v>
      </c>
      <c r="T55" t="e">
        <f>AND(Liste!#REF!,"AAAAAHWvqxM=")</f>
        <v>#REF!</v>
      </c>
      <c r="U55" t="e">
        <f>AND(Liste!#REF!,"AAAAAHWvqxQ=")</f>
        <v>#REF!</v>
      </c>
      <c r="V55" t="e">
        <f>AND(Liste!#REF!,"AAAAAHWvqxU=")</f>
        <v>#REF!</v>
      </c>
      <c r="W55" t="e">
        <f>AND(Liste!#REF!,"AAAAAHWvqxY=")</f>
        <v>#REF!</v>
      </c>
      <c r="X55" t="e">
        <f>AND(Liste!#REF!,"AAAAAHWvqxc=")</f>
        <v>#REF!</v>
      </c>
      <c r="Y55" t="e">
        <f>AND(Liste!#REF!,"AAAAAHWvqxg=")</f>
        <v>#REF!</v>
      </c>
      <c r="Z55" t="e">
        <f>AND(Liste!#REF!,"AAAAAHWvqxk=")</f>
        <v>#REF!</v>
      </c>
      <c r="AA55" t="e">
        <f>AND(Liste!#REF!,"AAAAAHWvqxo=")</f>
        <v>#REF!</v>
      </c>
      <c r="AB55" t="e">
        <f>AND(Liste!#REF!,"AAAAAHWvqxs=")</f>
        <v>#REF!</v>
      </c>
      <c r="AC55" t="e">
        <f>AND(Liste!#REF!,"AAAAAHWvqxw=")</f>
        <v>#REF!</v>
      </c>
      <c r="AD55" t="e">
        <f>AND(Liste!#REF!,"AAAAAHWvqx0=")</f>
        <v>#REF!</v>
      </c>
      <c r="AE55" t="e">
        <f>AND(Liste!#REF!,"AAAAAHWvqx4=")</f>
        <v>#REF!</v>
      </c>
      <c r="AF55" t="e">
        <f>AND(Liste!#REF!,"AAAAAHWvqx8=")</f>
        <v>#REF!</v>
      </c>
      <c r="AG55" t="e">
        <f>AND(Liste!#REF!,"AAAAAHWvqyA=")</f>
        <v>#REF!</v>
      </c>
      <c r="AH55">
        <f>IF(Liste!393:393,"AAAAAHWvqyE=",0)</f>
        <v>0</v>
      </c>
      <c r="AI55" t="b">
        <f>AND(Liste!A393,"AAAAAHWvqyI=")</f>
        <v>1</v>
      </c>
      <c r="AJ55" t="e">
        <f>AND(Liste!#REF!,"AAAAAHWvqyM=")</f>
        <v>#REF!</v>
      </c>
      <c r="AK55" t="e">
        <f>AND(Liste!#REF!,"AAAAAHWvqyQ=")</f>
        <v>#REF!</v>
      </c>
      <c r="AL55" t="e">
        <f>AND(Liste!#REF!,"AAAAAHWvqyU=")</f>
        <v>#REF!</v>
      </c>
      <c r="AM55" t="e">
        <f>AND(Liste!F393,"AAAAAHWvqyY=")</f>
        <v>#VALUE!</v>
      </c>
      <c r="AN55" t="e">
        <f>AND(Liste!G393,"AAAAAHWvqyc=")</f>
        <v>#VALUE!</v>
      </c>
      <c r="AO55" t="e">
        <f>AND(Liste!H393,"AAAAAHWvqyg=")</f>
        <v>#VALUE!</v>
      </c>
      <c r="AP55" t="e">
        <f>AND(Liste!I393,"AAAAAHWvqyk=")</f>
        <v>#VALUE!</v>
      </c>
      <c r="AQ55" t="e">
        <f>AND(Liste!J393,"AAAAAHWvqyo=")</f>
        <v>#VALUE!</v>
      </c>
      <c r="AR55" t="e">
        <f>AND(Liste!#REF!,"AAAAAHWvqys=")</f>
        <v>#REF!</v>
      </c>
      <c r="AS55" t="e">
        <f>AND(Liste!#REF!,"AAAAAHWvqyw=")</f>
        <v>#REF!</v>
      </c>
      <c r="AT55" t="e">
        <f>AND(Liste!#REF!,"AAAAAHWvqy0=")</f>
        <v>#REF!</v>
      </c>
      <c r="AU55" t="e">
        <f>AND(Liste!#REF!,"AAAAAHWvqy4=")</f>
        <v>#REF!</v>
      </c>
      <c r="AV55" t="e">
        <f>AND(Liste!#REF!,"AAAAAHWvqy8=")</f>
        <v>#REF!</v>
      </c>
      <c r="AW55" t="e">
        <f>AND(Liste!#REF!,"AAAAAHWvqzA=")</f>
        <v>#REF!</v>
      </c>
      <c r="AX55" t="e">
        <f>AND(Liste!#REF!,"AAAAAHWvqzE=")</f>
        <v>#REF!</v>
      </c>
      <c r="AY55" t="e">
        <f>AND(Liste!#REF!,"AAAAAHWvqzI=")</f>
        <v>#REF!</v>
      </c>
      <c r="AZ55" t="e">
        <f>AND(Liste!#REF!,"AAAAAHWvqzM=")</f>
        <v>#REF!</v>
      </c>
      <c r="BA55" t="e">
        <f>AND(Liste!#REF!,"AAAAAHWvqzQ=")</f>
        <v>#REF!</v>
      </c>
      <c r="BB55" t="e">
        <f>AND(Liste!#REF!,"AAAAAHWvqzU=")</f>
        <v>#REF!</v>
      </c>
      <c r="BC55" t="e">
        <f>AND(Liste!#REF!,"AAAAAHWvqzY=")</f>
        <v>#REF!</v>
      </c>
      <c r="BD55" t="e">
        <f>AND(Liste!#REF!,"AAAAAHWvqzc=")</f>
        <v>#REF!</v>
      </c>
      <c r="BE55" t="e">
        <f>AND(Liste!#REF!,"AAAAAHWvqzg=")</f>
        <v>#REF!</v>
      </c>
      <c r="BF55" t="e">
        <f>AND(Liste!#REF!,"AAAAAHWvqzk=")</f>
        <v>#REF!</v>
      </c>
      <c r="BG55" t="e">
        <f>AND(Liste!#REF!,"AAAAAHWvqzo=")</f>
        <v>#REF!</v>
      </c>
      <c r="BH55" t="e">
        <f>AND(Liste!#REF!,"AAAAAHWvqzs=")</f>
        <v>#REF!</v>
      </c>
      <c r="BI55" t="e">
        <f>AND(Liste!#REF!,"AAAAAHWvqzw=")</f>
        <v>#REF!</v>
      </c>
      <c r="BJ55" t="e">
        <f>AND(Liste!#REF!,"AAAAAHWvqz0=")</f>
        <v>#REF!</v>
      </c>
      <c r="BK55" t="e">
        <f>AND(Liste!#REF!,"AAAAAHWvqz4=")</f>
        <v>#REF!</v>
      </c>
      <c r="BL55" t="e">
        <f>AND(Liste!#REF!,"AAAAAHWvqz8=")</f>
        <v>#REF!</v>
      </c>
      <c r="BM55">
        <f>IF(Liste!394:394,"AAAAAHWvq0A=",0)</f>
        <v>0</v>
      </c>
      <c r="BN55" t="b">
        <f>AND(Liste!A394,"AAAAAHWvq0E=")</f>
        <v>1</v>
      </c>
      <c r="BO55" t="e">
        <f>AND(Liste!#REF!,"AAAAAHWvq0I=")</f>
        <v>#REF!</v>
      </c>
      <c r="BP55" t="e">
        <f>AND(Liste!#REF!,"AAAAAHWvq0M=")</f>
        <v>#REF!</v>
      </c>
      <c r="BQ55" t="e">
        <f>AND(Liste!#REF!,"AAAAAHWvq0Q=")</f>
        <v>#REF!</v>
      </c>
      <c r="BR55" t="e">
        <f>AND(Liste!F394,"AAAAAHWvq0U=")</f>
        <v>#VALUE!</v>
      </c>
      <c r="BS55" t="e">
        <f>AND(Liste!G394,"AAAAAHWvq0Y=")</f>
        <v>#VALUE!</v>
      </c>
      <c r="BT55" t="e">
        <f>AND(Liste!H394,"AAAAAHWvq0c=")</f>
        <v>#VALUE!</v>
      </c>
      <c r="BU55" t="e">
        <f>AND(Liste!I394,"AAAAAHWvq0g=")</f>
        <v>#VALUE!</v>
      </c>
      <c r="BV55" t="e">
        <f>AND(Liste!J394,"AAAAAHWvq0k=")</f>
        <v>#VALUE!</v>
      </c>
      <c r="BW55" t="e">
        <f>AND(Liste!#REF!,"AAAAAHWvq0o=")</f>
        <v>#REF!</v>
      </c>
      <c r="BX55" t="e">
        <f>AND(Liste!#REF!,"AAAAAHWvq0s=")</f>
        <v>#REF!</v>
      </c>
      <c r="BY55" t="e">
        <f>AND(Liste!#REF!,"AAAAAHWvq0w=")</f>
        <v>#REF!</v>
      </c>
      <c r="BZ55" t="e">
        <f>AND(Liste!#REF!,"AAAAAHWvq00=")</f>
        <v>#REF!</v>
      </c>
      <c r="CA55" t="e">
        <f>AND(Liste!#REF!,"AAAAAHWvq04=")</f>
        <v>#REF!</v>
      </c>
      <c r="CB55" t="e">
        <f>AND(Liste!#REF!,"AAAAAHWvq08=")</f>
        <v>#REF!</v>
      </c>
      <c r="CC55" t="e">
        <f>AND(Liste!#REF!,"AAAAAHWvq1A=")</f>
        <v>#REF!</v>
      </c>
      <c r="CD55" t="e">
        <f>AND(Liste!#REF!,"AAAAAHWvq1E=")</f>
        <v>#REF!</v>
      </c>
      <c r="CE55" t="e">
        <f>AND(Liste!#REF!,"AAAAAHWvq1I=")</f>
        <v>#REF!</v>
      </c>
      <c r="CF55" t="e">
        <f>AND(Liste!#REF!,"AAAAAHWvq1M=")</f>
        <v>#REF!</v>
      </c>
      <c r="CG55" t="e">
        <f>AND(Liste!#REF!,"AAAAAHWvq1Q=")</f>
        <v>#REF!</v>
      </c>
      <c r="CH55" t="e">
        <f>AND(Liste!#REF!,"AAAAAHWvq1U=")</f>
        <v>#REF!</v>
      </c>
      <c r="CI55" t="e">
        <f>AND(Liste!#REF!,"AAAAAHWvq1Y=")</f>
        <v>#REF!</v>
      </c>
      <c r="CJ55" t="e">
        <f>AND(Liste!#REF!,"AAAAAHWvq1c=")</f>
        <v>#REF!</v>
      </c>
      <c r="CK55" t="e">
        <f>AND(Liste!#REF!,"AAAAAHWvq1g=")</f>
        <v>#REF!</v>
      </c>
      <c r="CL55" t="e">
        <f>AND(Liste!#REF!,"AAAAAHWvq1k=")</f>
        <v>#REF!</v>
      </c>
      <c r="CM55" t="e">
        <f>AND(Liste!#REF!,"AAAAAHWvq1o=")</f>
        <v>#REF!</v>
      </c>
      <c r="CN55" t="e">
        <f>AND(Liste!#REF!,"AAAAAHWvq1s=")</f>
        <v>#REF!</v>
      </c>
      <c r="CO55" t="e">
        <f>AND(Liste!#REF!,"AAAAAHWvq1w=")</f>
        <v>#REF!</v>
      </c>
      <c r="CP55" t="e">
        <f>AND(Liste!#REF!,"AAAAAHWvq10=")</f>
        <v>#REF!</v>
      </c>
      <c r="CQ55" t="e">
        <f>AND(Liste!#REF!,"AAAAAHWvq14=")</f>
        <v>#REF!</v>
      </c>
      <c r="CR55">
        <f>IF(Liste!395:395,"AAAAAHWvq18=",0)</f>
        <v>0</v>
      </c>
      <c r="CS55" t="b">
        <f>AND(Liste!A395,"AAAAAHWvq2A=")</f>
        <v>1</v>
      </c>
      <c r="CT55" t="e">
        <f>AND(Liste!#REF!,"AAAAAHWvq2E=")</f>
        <v>#REF!</v>
      </c>
      <c r="CU55" t="e">
        <f>AND(Liste!#REF!,"AAAAAHWvq2I=")</f>
        <v>#REF!</v>
      </c>
      <c r="CV55" t="e">
        <f>AND(Liste!#REF!,"AAAAAHWvq2M=")</f>
        <v>#REF!</v>
      </c>
      <c r="CW55" t="e">
        <f>AND(Liste!F395,"AAAAAHWvq2Q=")</f>
        <v>#VALUE!</v>
      </c>
      <c r="CX55" t="e">
        <f>AND(Liste!G395,"AAAAAHWvq2U=")</f>
        <v>#VALUE!</v>
      </c>
      <c r="CY55" t="e">
        <f>AND(Liste!H395,"AAAAAHWvq2Y=")</f>
        <v>#VALUE!</v>
      </c>
      <c r="CZ55" t="e">
        <f>AND(Liste!I395,"AAAAAHWvq2c=")</f>
        <v>#VALUE!</v>
      </c>
      <c r="DA55" t="e">
        <f>AND(Liste!J395,"AAAAAHWvq2g=")</f>
        <v>#VALUE!</v>
      </c>
      <c r="DB55" t="e">
        <f>AND(Liste!#REF!,"AAAAAHWvq2k=")</f>
        <v>#REF!</v>
      </c>
      <c r="DC55" t="e">
        <f>AND(Liste!#REF!,"AAAAAHWvq2o=")</f>
        <v>#REF!</v>
      </c>
      <c r="DD55" t="e">
        <f>AND(Liste!#REF!,"AAAAAHWvq2s=")</f>
        <v>#REF!</v>
      </c>
      <c r="DE55" t="e">
        <f>AND(Liste!#REF!,"AAAAAHWvq2w=")</f>
        <v>#REF!</v>
      </c>
      <c r="DF55" t="e">
        <f>AND(Liste!#REF!,"AAAAAHWvq20=")</f>
        <v>#REF!</v>
      </c>
      <c r="DG55" t="e">
        <f>AND(Liste!#REF!,"AAAAAHWvq24=")</f>
        <v>#REF!</v>
      </c>
      <c r="DH55" t="e">
        <f>AND(Liste!#REF!,"AAAAAHWvq28=")</f>
        <v>#REF!</v>
      </c>
      <c r="DI55" t="e">
        <f>AND(Liste!#REF!,"AAAAAHWvq3A=")</f>
        <v>#REF!</v>
      </c>
      <c r="DJ55" t="e">
        <f>AND(Liste!#REF!,"AAAAAHWvq3E=")</f>
        <v>#REF!</v>
      </c>
      <c r="DK55" t="e">
        <f>AND(Liste!#REF!,"AAAAAHWvq3I=")</f>
        <v>#REF!</v>
      </c>
      <c r="DL55" t="e">
        <f>AND(Liste!#REF!,"AAAAAHWvq3M=")</f>
        <v>#REF!</v>
      </c>
      <c r="DM55" t="e">
        <f>AND(Liste!#REF!,"AAAAAHWvq3Q=")</f>
        <v>#REF!</v>
      </c>
      <c r="DN55" t="e">
        <f>AND(Liste!#REF!,"AAAAAHWvq3U=")</f>
        <v>#REF!</v>
      </c>
      <c r="DO55" t="e">
        <f>AND(Liste!#REF!,"AAAAAHWvq3Y=")</f>
        <v>#REF!</v>
      </c>
      <c r="DP55" t="e">
        <f>AND(Liste!#REF!,"AAAAAHWvq3c=")</f>
        <v>#REF!</v>
      </c>
      <c r="DQ55" t="e">
        <f>AND(Liste!#REF!,"AAAAAHWvq3g=")</f>
        <v>#REF!</v>
      </c>
      <c r="DR55" t="e">
        <f>AND(Liste!#REF!,"AAAAAHWvq3k=")</f>
        <v>#REF!</v>
      </c>
      <c r="DS55" t="e">
        <f>AND(Liste!#REF!,"AAAAAHWvq3o=")</f>
        <v>#REF!</v>
      </c>
      <c r="DT55" t="e">
        <f>AND(Liste!#REF!,"AAAAAHWvq3s=")</f>
        <v>#REF!</v>
      </c>
      <c r="DU55" t="e">
        <f>AND(Liste!#REF!,"AAAAAHWvq3w=")</f>
        <v>#REF!</v>
      </c>
      <c r="DV55" t="e">
        <f>AND(Liste!#REF!,"AAAAAHWvq30=")</f>
        <v>#REF!</v>
      </c>
      <c r="DW55">
        <f>IF(Liste!396:396,"AAAAAHWvq34=",0)</f>
        <v>0</v>
      </c>
      <c r="DX55" t="b">
        <f>AND(Liste!A396,"AAAAAHWvq38=")</f>
        <v>1</v>
      </c>
      <c r="DY55" t="e">
        <f>AND(Liste!#REF!,"AAAAAHWvq4A=")</f>
        <v>#REF!</v>
      </c>
      <c r="DZ55" t="e">
        <f>AND(Liste!#REF!,"AAAAAHWvq4E=")</f>
        <v>#REF!</v>
      </c>
      <c r="EA55" t="e">
        <f>AND(Liste!#REF!,"AAAAAHWvq4I=")</f>
        <v>#REF!</v>
      </c>
      <c r="EB55" t="e">
        <f>AND(Liste!F396,"AAAAAHWvq4M=")</f>
        <v>#VALUE!</v>
      </c>
      <c r="EC55" t="e">
        <f>AND(Liste!G396,"AAAAAHWvq4Q=")</f>
        <v>#VALUE!</v>
      </c>
      <c r="ED55" t="e">
        <f>AND(Liste!H396,"AAAAAHWvq4U=")</f>
        <v>#VALUE!</v>
      </c>
      <c r="EE55" t="e">
        <f>AND(Liste!I396,"AAAAAHWvq4Y=")</f>
        <v>#VALUE!</v>
      </c>
      <c r="EF55" t="e">
        <f>AND(Liste!J396,"AAAAAHWvq4c=")</f>
        <v>#VALUE!</v>
      </c>
      <c r="EG55" t="e">
        <f>AND(Liste!#REF!,"AAAAAHWvq4g=")</f>
        <v>#REF!</v>
      </c>
      <c r="EH55" t="e">
        <f>AND(Liste!#REF!,"AAAAAHWvq4k=")</f>
        <v>#REF!</v>
      </c>
      <c r="EI55" t="e">
        <f>AND(Liste!#REF!,"AAAAAHWvq4o=")</f>
        <v>#REF!</v>
      </c>
      <c r="EJ55" t="e">
        <f>AND(Liste!#REF!,"AAAAAHWvq4s=")</f>
        <v>#REF!</v>
      </c>
      <c r="EK55" t="e">
        <f>AND(Liste!#REF!,"AAAAAHWvq4w=")</f>
        <v>#REF!</v>
      </c>
      <c r="EL55" t="e">
        <f>AND(Liste!#REF!,"AAAAAHWvq40=")</f>
        <v>#REF!</v>
      </c>
      <c r="EM55" t="e">
        <f>AND(Liste!#REF!,"AAAAAHWvq44=")</f>
        <v>#REF!</v>
      </c>
      <c r="EN55" t="e">
        <f>AND(Liste!#REF!,"AAAAAHWvq48=")</f>
        <v>#REF!</v>
      </c>
      <c r="EO55" t="e">
        <f>AND(Liste!#REF!,"AAAAAHWvq5A=")</f>
        <v>#REF!</v>
      </c>
      <c r="EP55" t="e">
        <f>AND(Liste!#REF!,"AAAAAHWvq5E=")</f>
        <v>#REF!</v>
      </c>
      <c r="EQ55" t="e">
        <f>AND(Liste!#REF!,"AAAAAHWvq5I=")</f>
        <v>#REF!</v>
      </c>
      <c r="ER55" t="e">
        <f>AND(Liste!#REF!,"AAAAAHWvq5M=")</f>
        <v>#REF!</v>
      </c>
      <c r="ES55" t="e">
        <f>AND(Liste!#REF!,"AAAAAHWvq5Q=")</f>
        <v>#REF!</v>
      </c>
      <c r="ET55" t="e">
        <f>AND(Liste!#REF!,"AAAAAHWvq5U=")</f>
        <v>#REF!</v>
      </c>
      <c r="EU55" t="e">
        <f>AND(Liste!#REF!,"AAAAAHWvq5Y=")</f>
        <v>#REF!</v>
      </c>
      <c r="EV55" t="e">
        <f>AND(Liste!#REF!,"AAAAAHWvq5c=")</f>
        <v>#REF!</v>
      </c>
      <c r="EW55" t="e">
        <f>AND(Liste!#REF!,"AAAAAHWvq5g=")</f>
        <v>#REF!</v>
      </c>
      <c r="EX55" t="e">
        <f>AND(Liste!#REF!,"AAAAAHWvq5k=")</f>
        <v>#REF!</v>
      </c>
      <c r="EY55" t="e">
        <f>AND(Liste!#REF!,"AAAAAHWvq5o=")</f>
        <v>#REF!</v>
      </c>
      <c r="EZ55" t="e">
        <f>AND(Liste!#REF!,"AAAAAHWvq5s=")</f>
        <v>#REF!</v>
      </c>
      <c r="FA55" t="e">
        <f>AND(Liste!#REF!,"AAAAAHWvq5w=")</f>
        <v>#REF!</v>
      </c>
      <c r="FB55">
        <f>IF(Liste!397:397,"AAAAAHWvq50=",0)</f>
        <v>0</v>
      </c>
      <c r="FC55" t="b">
        <f>AND(Liste!A397,"AAAAAHWvq54=")</f>
        <v>1</v>
      </c>
      <c r="FD55" t="e">
        <f>AND(Liste!#REF!,"AAAAAHWvq58=")</f>
        <v>#REF!</v>
      </c>
      <c r="FE55" t="e">
        <f>AND(Liste!#REF!,"AAAAAHWvq6A=")</f>
        <v>#REF!</v>
      </c>
      <c r="FF55" t="e">
        <f>AND(Liste!#REF!,"AAAAAHWvq6E=")</f>
        <v>#REF!</v>
      </c>
      <c r="FG55" t="e">
        <f>AND(Liste!F397,"AAAAAHWvq6I=")</f>
        <v>#VALUE!</v>
      </c>
      <c r="FH55" t="e">
        <f>AND(Liste!G397,"AAAAAHWvq6M=")</f>
        <v>#VALUE!</v>
      </c>
      <c r="FI55" t="e">
        <f>AND(Liste!H397,"AAAAAHWvq6Q=")</f>
        <v>#VALUE!</v>
      </c>
      <c r="FJ55" t="e">
        <f>AND(Liste!I397,"AAAAAHWvq6U=")</f>
        <v>#VALUE!</v>
      </c>
      <c r="FK55" t="e">
        <f>AND(Liste!J397,"AAAAAHWvq6Y=")</f>
        <v>#VALUE!</v>
      </c>
      <c r="FL55" t="e">
        <f>AND(Liste!#REF!,"AAAAAHWvq6c=")</f>
        <v>#REF!</v>
      </c>
      <c r="FM55" t="e">
        <f>AND(Liste!#REF!,"AAAAAHWvq6g=")</f>
        <v>#REF!</v>
      </c>
      <c r="FN55" t="e">
        <f>AND(Liste!#REF!,"AAAAAHWvq6k=")</f>
        <v>#REF!</v>
      </c>
      <c r="FO55" t="e">
        <f>AND(Liste!#REF!,"AAAAAHWvq6o=")</f>
        <v>#REF!</v>
      </c>
      <c r="FP55" t="e">
        <f>AND(Liste!#REF!,"AAAAAHWvq6s=")</f>
        <v>#REF!</v>
      </c>
      <c r="FQ55" t="e">
        <f>AND(Liste!#REF!,"AAAAAHWvq6w=")</f>
        <v>#REF!</v>
      </c>
      <c r="FR55" t="e">
        <f>AND(Liste!#REF!,"AAAAAHWvq60=")</f>
        <v>#REF!</v>
      </c>
      <c r="FS55" t="e">
        <f>AND(Liste!#REF!,"AAAAAHWvq64=")</f>
        <v>#REF!</v>
      </c>
      <c r="FT55" t="e">
        <f>AND(Liste!#REF!,"AAAAAHWvq68=")</f>
        <v>#REF!</v>
      </c>
      <c r="FU55" t="e">
        <f>AND(Liste!#REF!,"AAAAAHWvq7A=")</f>
        <v>#REF!</v>
      </c>
      <c r="FV55" t="e">
        <f>AND(Liste!#REF!,"AAAAAHWvq7E=")</f>
        <v>#REF!</v>
      </c>
      <c r="FW55" t="e">
        <f>AND(Liste!#REF!,"AAAAAHWvq7I=")</f>
        <v>#REF!</v>
      </c>
      <c r="FX55" t="e">
        <f>AND(Liste!#REF!,"AAAAAHWvq7M=")</f>
        <v>#REF!</v>
      </c>
      <c r="FY55" t="e">
        <f>AND(Liste!#REF!,"AAAAAHWvq7Q=")</f>
        <v>#REF!</v>
      </c>
      <c r="FZ55" t="e">
        <f>AND(Liste!#REF!,"AAAAAHWvq7U=")</f>
        <v>#REF!</v>
      </c>
      <c r="GA55" t="e">
        <f>AND(Liste!#REF!,"AAAAAHWvq7Y=")</f>
        <v>#REF!</v>
      </c>
      <c r="GB55" t="e">
        <f>AND(Liste!#REF!,"AAAAAHWvq7c=")</f>
        <v>#REF!</v>
      </c>
      <c r="GC55" t="e">
        <f>AND(Liste!#REF!,"AAAAAHWvq7g=")</f>
        <v>#REF!</v>
      </c>
      <c r="GD55" t="e">
        <f>AND(Liste!#REF!,"AAAAAHWvq7k=")</f>
        <v>#REF!</v>
      </c>
      <c r="GE55" t="e">
        <f>AND(Liste!#REF!,"AAAAAHWvq7o=")</f>
        <v>#REF!</v>
      </c>
      <c r="GF55" t="e">
        <f>AND(Liste!#REF!,"AAAAAHWvq7s=")</f>
        <v>#REF!</v>
      </c>
      <c r="GG55">
        <f>IF(Liste!398:398,"AAAAAHWvq7w=",0)</f>
        <v>0</v>
      </c>
      <c r="GH55" t="b">
        <f>AND(Liste!A398,"AAAAAHWvq70=")</f>
        <v>1</v>
      </c>
      <c r="GI55" t="e">
        <f>AND(Liste!#REF!,"AAAAAHWvq74=")</f>
        <v>#REF!</v>
      </c>
      <c r="GJ55" t="e">
        <f>AND(Liste!#REF!,"AAAAAHWvq78=")</f>
        <v>#REF!</v>
      </c>
      <c r="GK55" t="e">
        <f>AND(Liste!#REF!,"AAAAAHWvq8A=")</f>
        <v>#REF!</v>
      </c>
      <c r="GL55" t="e">
        <f>AND(Liste!F398,"AAAAAHWvq8E=")</f>
        <v>#VALUE!</v>
      </c>
      <c r="GM55" t="e">
        <f>AND(Liste!G398,"AAAAAHWvq8I=")</f>
        <v>#VALUE!</v>
      </c>
      <c r="GN55" t="e">
        <f>AND(Liste!H398,"AAAAAHWvq8M=")</f>
        <v>#VALUE!</v>
      </c>
      <c r="GO55" t="e">
        <f>AND(Liste!I398,"AAAAAHWvq8Q=")</f>
        <v>#VALUE!</v>
      </c>
      <c r="GP55" t="e">
        <f>AND(Liste!J398,"AAAAAHWvq8U=")</f>
        <v>#VALUE!</v>
      </c>
      <c r="GQ55" t="e">
        <f>AND(Liste!#REF!,"AAAAAHWvq8Y=")</f>
        <v>#REF!</v>
      </c>
      <c r="GR55" t="e">
        <f>AND(Liste!#REF!,"AAAAAHWvq8c=")</f>
        <v>#REF!</v>
      </c>
      <c r="GS55" t="e">
        <f>AND(Liste!#REF!,"AAAAAHWvq8g=")</f>
        <v>#REF!</v>
      </c>
      <c r="GT55" t="e">
        <f>AND(Liste!#REF!,"AAAAAHWvq8k=")</f>
        <v>#REF!</v>
      </c>
      <c r="GU55" t="e">
        <f>AND(Liste!#REF!,"AAAAAHWvq8o=")</f>
        <v>#REF!</v>
      </c>
      <c r="GV55" t="e">
        <f>AND(Liste!#REF!,"AAAAAHWvq8s=")</f>
        <v>#REF!</v>
      </c>
      <c r="GW55" t="e">
        <f>AND(Liste!#REF!,"AAAAAHWvq8w=")</f>
        <v>#REF!</v>
      </c>
      <c r="GX55" t="e">
        <f>AND(Liste!#REF!,"AAAAAHWvq80=")</f>
        <v>#REF!</v>
      </c>
      <c r="GY55" t="e">
        <f>AND(Liste!#REF!,"AAAAAHWvq84=")</f>
        <v>#REF!</v>
      </c>
      <c r="GZ55" t="e">
        <f>AND(Liste!#REF!,"AAAAAHWvq88=")</f>
        <v>#REF!</v>
      </c>
      <c r="HA55" t="e">
        <f>AND(Liste!#REF!,"AAAAAHWvq9A=")</f>
        <v>#REF!</v>
      </c>
      <c r="HB55" t="e">
        <f>AND(Liste!#REF!,"AAAAAHWvq9E=")</f>
        <v>#REF!</v>
      </c>
      <c r="HC55" t="e">
        <f>AND(Liste!#REF!,"AAAAAHWvq9I=")</f>
        <v>#REF!</v>
      </c>
      <c r="HD55" t="e">
        <f>AND(Liste!#REF!,"AAAAAHWvq9M=")</f>
        <v>#REF!</v>
      </c>
      <c r="HE55" t="e">
        <f>AND(Liste!#REF!,"AAAAAHWvq9Q=")</f>
        <v>#REF!</v>
      </c>
      <c r="HF55" t="e">
        <f>AND(Liste!#REF!,"AAAAAHWvq9U=")</f>
        <v>#REF!</v>
      </c>
      <c r="HG55" t="e">
        <f>AND(Liste!#REF!,"AAAAAHWvq9Y=")</f>
        <v>#REF!</v>
      </c>
      <c r="HH55" t="e">
        <f>AND(Liste!#REF!,"AAAAAHWvq9c=")</f>
        <v>#REF!</v>
      </c>
      <c r="HI55" t="e">
        <f>AND(Liste!#REF!,"AAAAAHWvq9g=")</f>
        <v>#REF!</v>
      </c>
      <c r="HJ55" t="e">
        <f>AND(Liste!#REF!,"AAAAAHWvq9k=")</f>
        <v>#REF!</v>
      </c>
      <c r="HK55" t="e">
        <f>AND(Liste!#REF!,"AAAAAHWvq9o=")</f>
        <v>#REF!</v>
      </c>
      <c r="HL55">
        <f>IF(Liste!399:399,"AAAAAHWvq9s=",0)</f>
        <v>0</v>
      </c>
      <c r="HM55" t="b">
        <f>AND(Liste!A399,"AAAAAHWvq9w=")</f>
        <v>1</v>
      </c>
      <c r="HN55" t="e">
        <f>AND(Liste!#REF!,"AAAAAHWvq90=")</f>
        <v>#REF!</v>
      </c>
      <c r="HO55" t="e">
        <f>AND(Liste!#REF!,"AAAAAHWvq94=")</f>
        <v>#REF!</v>
      </c>
      <c r="HP55" t="e">
        <f>AND(Liste!#REF!,"AAAAAHWvq98=")</f>
        <v>#REF!</v>
      </c>
      <c r="HQ55" t="e">
        <f>AND(Liste!F399,"AAAAAHWvq+A=")</f>
        <v>#VALUE!</v>
      </c>
      <c r="HR55" t="e">
        <f>AND(Liste!G399,"AAAAAHWvq+E=")</f>
        <v>#VALUE!</v>
      </c>
      <c r="HS55" t="e">
        <f>AND(Liste!H399,"AAAAAHWvq+I=")</f>
        <v>#VALUE!</v>
      </c>
      <c r="HT55" t="e">
        <f>AND(Liste!I399,"AAAAAHWvq+M=")</f>
        <v>#VALUE!</v>
      </c>
      <c r="HU55" t="e">
        <f>AND(Liste!J399,"AAAAAHWvq+Q=")</f>
        <v>#VALUE!</v>
      </c>
      <c r="HV55" t="e">
        <f>AND(Liste!#REF!,"AAAAAHWvq+U=")</f>
        <v>#REF!</v>
      </c>
      <c r="HW55" t="e">
        <f>AND(Liste!#REF!,"AAAAAHWvq+Y=")</f>
        <v>#REF!</v>
      </c>
      <c r="HX55" t="e">
        <f>AND(Liste!#REF!,"AAAAAHWvq+c=")</f>
        <v>#REF!</v>
      </c>
      <c r="HY55" t="e">
        <f>AND(Liste!#REF!,"AAAAAHWvq+g=")</f>
        <v>#REF!</v>
      </c>
      <c r="HZ55" t="e">
        <f>AND(Liste!#REF!,"AAAAAHWvq+k=")</f>
        <v>#REF!</v>
      </c>
      <c r="IA55" t="e">
        <f>AND(Liste!#REF!,"AAAAAHWvq+o=")</f>
        <v>#REF!</v>
      </c>
      <c r="IB55" t="e">
        <f>AND(Liste!#REF!,"AAAAAHWvq+s=")</f>
        <v>#REF!</v>
      </c>
      <c r="IC55" t="e">
        <f>AND(Liste!#REF!,"AAAAAHWvq+w=")</f>
        <v>#REF!</v>
      </c>
      <c r="ID55" t="e">
        <f>AND(Liste!#REF!,"AAAAAHWvq+0=")</f>
        <v>#REF!</v>
      </c>
      <c r="IE55" t="e">
        <f>AND(Liste!#REF!,"AAAAAHWvq+4=")</f>
        <v>#REF!</v>
      </c>
      <c r="IF55" t="e">
        <f>AND(Liste!#REF!,"AAAAAHWvq+8=")</f>
        <v>#REF!</v>
      </c>
      <c r="IG55" t="e">
        <f>AND(Liste!#REF!,"AAAAAHWvq/A=")</f>
        <v>#REF!</v>
      </c>
      <c r="IH55" t="e">
        <f>AND(Liste!#REF!,"AAAAAHWvq/E=")</f>
        <v>#REF!</v>
      </c>
      <c r="II55" t="e">
        <f>AND(Liste!#REF!,"AAAAAHWvq/I=")</f>
        <v>#REF!</v>
      </c>
      <c r="IJ55" t="e">
        <f>AND(Liste!#REF!,"AAAAAHWvq/M=")</f>
        <v>#REF!</v>
      </c>
      <c r="IK55" t="e">
        <f>AND(Liste!#REF!,"AAAAAHWvq/Q=")</f>
        <v>#REF!</v>
      </c>
      <c r="IL55" t="e">
        <f>AND(Liste!#REF!,"AAAAAHWvq/U=")</f>
        <v>#REF!</v>
      </c>
      <c r="IM55" t="e">
        <f>AND(Liste!#REF!,"AAAAAHWvq/Y=")</f>
        <v>#REF!</v>
      </c>
      <c r="IN55" t="e">
        <f>AND(Liste!#REF!,"AAAAAHWvq/c=")</f>
        <v>#REF!</v>
      </c>
      <c r="IO55" t="e">
        <f>AND(Liste!#REF!,"AAAAAHWvq/g=")</f>
        <v>#REF!</v>
      </c>
      <c r="IP55" t="e">
        <f>AND(Liste!#REF!,"AAAAAHWvq/k=")</f>
        <v>#REF!</v>
      </c>
      <c r="IQ55">
        <f>IF(Liste!400:400,"AAAAAHWvq/o=",0)</f>
        <v>0</v>
      </c>
      <c r="IR55" t="b">
        <f>AND(Liste!A400,"AAAAAHWvq/s=")</f>
        <v>1</v>
      </c>
      <c r="IS55" t="e">
        <f>AND(Liste!#REF!,"AAAAAHWvq/w=")</f>
        <v>#REF!</v>
      </c>
      <c r="IT55" t="e">
        <f>AND(Liste!#REF!,"AAAAAHWvq/0=")</f>
        <v>#REF!</v>
      </c>
      <c r="IU55" t="e">
        <f>AND(Liste!#REF!,"AAAAAHWvq/4=")</f>
        <v>#REF!</v>
      </c>
      <c r="IV55" t="e">
        <f>AND(Liste!F400,"AAAAAHWvq/8=")</f>
        <v>#VALUE!</v>
      </c>
    </row>
    <row r="56" spans="1:256" x14ac:dyDescent="0.2">
      <c r="A56" t="e">
        <f>AND(Liste!G400,"AAAAAG73+wA=")</f>
        <v>#VALUE!</v>
      </c>
      <c r="B56" t="e">
        <f>AND(Liste!H400,"AAAAAG73+wE=")</f>
        <v>#VALUE!</v>
      </c>
      <c r="C56" t="e">
        <f>AND(Liste!I400,"AAAAAG73+wI=")</f>
        <v>#VALUE!</v>
      </c>
      <c r="D56" t="e">
        <f>AND(Liste!J400,"AAAAAG73+wM=")</f>
        <v>#VALUE!</v>
      </c>
      <c r="E56" t="e">
        <f>AND(Liste!#REF!,"AAAAAG73+wQ=")</f>
        <v>#REF!</v>
      </c>
      <c r="F56" t="e">
        <f>AND(Liste!#REF!,"AAAAAG73+wU=")</f>
        <v>#REF!</v>
      </c>
      <c r="G56" t="e">
        <f>AND(Liste!#REF!,"AAAAAG73+wY=")</f>
        <v>#REF!</v>
      </c>
      <c r="H56" t="e">
        <f>AND(Liste!#REF!,"AAAAAG73+wc=")</f>
        <v>#REF!</v>
      </c>
      <c r="I56" t="e">
        <f>AND(Liste!#REF!,"AAAAAG73+wg=")</f>
        <v>#REF!</v>
      </c>
      <c r="J56" t="e">
        <f>AND(Liste!#REF!,"AAAAAG73+wk=")</f>
        <v>#REF!</v>
      </c>
      <c r="K56" t="e">
        <f>AND(Liste!#REF!,"AAAAAG73+wo=")</f>
        <v>#REF!</v>
      </c>
      <c r="L56" t="e">
        <f>AND(Liste!#REF!,"AAAAAG73+ws=")</f>
        <v>#REF!</v>
      </c>
      <c r="M56" t="e">
        <f>AND(Liste!#REF!,"AAAAAG73+ww=")</f>
        <v>#REF!</v>
      </c>
      <c r="N56" t="e">
        <f>AND(Liste!#REF!,"AAAAAG73+w0=")</f>
        <v>#REF!</v>
      </c>
      <c r="O56" t="e">
        <f>AND(Liste!#REF!,"AAAAAG73+w4=")</f>
        <v>#REF!</v>
      </c>
      <c r="P56" t="e">
        <f>AND(Liste!#REF!,"AAAAAG73+w8=")</f>
        <v>#REF!</v>
      </c>
      <c r="Q56" t="e">
        <f>AND(Liste!#REF!,"AAAAAG73+xA=")</f>
        <v>#REF!</v>
      </c>
      <c r="R56" t="e">
        <f>AND(Liste!#REF!,"AAAAAG73+xE=")</f>
        <v>#REF!</v>
      </c>
      <c r="S56" t="e">
        <f>AND(Liste!#REF!,"AAAAAG73+xI=")</f>
        <v>#REF!</v>
      </c>
      <c r="T56" t="e">
        <f>AND(Liste!#REF!,"AAAAAG73+xM=")</f>
        <v>#REF!</v>
      </c>
      <c r="U56" t="e">
        <f>AND(Liste!#REF!,"AAAAAG73+xQ=")</f>
        <v>#REF!</v>
      </c>
      <c r="V56" t="e">
        <f>AND(Liste!#REF!,"AAAAAG73+xU=")</f>
        <v>#REF!</v>
      </c>
      <c r="W56" t="e">
        <f>AND(Liste!#REF!,"AAAAAG73+xY=")</f>
        <v>#REF!</v>
      </c>
      <c r="X56" t="e">
        <f>AND(Liste!#REF!,"AAAAAG73+xc=")</f>
        <v>#REF!</v>
      </c>
      <c r="Y56" t="e">
        <f>AND(Liste!#REF!,"AAAAAG73+xg=")</f>
        <v>#REF!</v>
      </c>
      <c r="Z56" t="e">
        <f>IF(Liste!#REF!,"AAAAAG73+xk=",0)</f>
        <v>#REF!</v>
      </c>
      <c r="AA56" t="e">
        <f>AND(Liste!#REF!,"AAAAAG73+xo=")</f>
        <v>#REF!</v>
      </c>
      <c r="AB56" t="e">
        <f>AND(Liste!#REF!,"AAAAAG73+xs=")</f>
        <v>#REF!</v>
      </c>
      <c r="AC56" t="e">
        <f>AND(Liste!#REF!,"AAAAAG73+xw=")</f>
        <v>#REF!</v>
      </c>
      <c r="AD56" t="e">
        <f>AND(Liste!#REF!,"AAAAAG73+x0=")</f>
        <v>#REF!</v>
      </c>
      <c r="AE56" t="e">
        <f>AND(Liste!#REF!,"AAAAAG73+x4=")</f>
        <v>#REF!</v>
      </c>
      <c r="AF56" t="e">
        <f>AND(Liste!#REF!,"AAAAAG73+x8=")</f>
        <v>#REF!</v>
      </c>
      <c r="AG56" t="e">
        <f>AND(Liste!#REF!,"AAAAAG73+yA=")</f>
        <v>#REF!</v>
      </c>
      <c r="AH56" t="e">
        <f>AND(Liste!#REF!,"AAAAAG73+yE=")</f>
        <v>#REF!</v>
      </c>
      <c r="AI56" t="e">
        <f>AND(Liste!#REF!,"AAAAAG73+yI=")</f>
        <v>#REF!</v>
      </c>
      <c r="AJ56" t="e">
        <f>AND(Liste!#REF!,"AAAAAG73+yM=")</f>
        <v>#REF!</v>
      </c>
      <c r="AK56" t="e">
        <f>AND(Liste!#REF!,"AAAAAG73+yQ=")</f>
        <v>#REF!</v>
      </c>
      <c r="AL56" t="e">
        <f>AND(Liste!#REF!,"AAAAAG73+yU=")</f>
        <v>#REF!</v>
      </c>
      <c r="AM56" t="e">
        <f>AND(Liste!#REF!,"AAAAAG73+yY=")</f>
        <v>#REF!</v>
      </c>
      <c r="AN56" t="e">
        <f>AND(Liste!#REF!,"AAAAAG73+yc=")</f>
        <v>#REF!</v>
      </c>
      <c r="AO56" t="e">
        <f>AND(Liste!#REF!,"AAAAAG73+yg=")</f>
        <v>#REF!</v>
      </c>
      <c r="AP56" t="e">
        <f>AND(Liste!#REF!,"AAAAAG73+yk=")</f>
        <v>#REF!</v>
      </c>
      <c r="AQ56" t="e">
        <f>AND(Liste!#REF!,"AAAAAG73+yo=")</f>
        <v>#REF!</v>
      </c>
      <c r="AR56" t="e">
        <f>AND(Liste!#REF!,"AAAAAG73+ys=")</f>
        <v>#REF!</v>
      </c>
      <c r="AS56" t="e">
        <f>AND(Liste!#REF!,"AAAAAG73+yw=")</f>
        <v>#REF!</v>
      </c>
      <c r="AT56" t="e">
        <f>AND(Liste!#REF!,"AAAAAG73+y0=")</f>
        <v>#REF!</v>
      </c>
      <c r="AU56" t="e">
        <f>AND(Liste!#REF!,"AAAAAG73+y4=")</f>
        <v>#REF!</v>
      </c>
      <c r="AV56" t="e">
        <f>AND(Liste!#REF!,"AAAAAG73+y8=")</f>
        <v>#REF!</v>
      </c>
      <c r="AW56" t="e">
        <f>AND(Liste!#REF!,"AAAAAG73+zA=")</f>
        <v>#REF!</v>
      </c>
      <c r="AX56" t="e">
        <f>AND(Liste!#REF!,"AAAAAG73+zE=")</f>
        <v>#REF!</v>
      </c>
      <c r="AY56" t="e">
        <f>AND(Liste!#REF!,"AAAAAG73+zI=")</f>
        <v>#REF!</v>
      </c>
      <c r="AZ56" t="e">
        <f>AND(Liste!#REF!,"AAAAAG73+zM=")</f>
        <v>#REF!</v>
      </c>
      <c r="BA56" t="e">
        <f>AND(Liste!#REF!,"AAAAAG73+zQ=")</f>
        <v>#REF!</v>
      </c>
      <c r="BB56" t="e">
        <f>AND(Liste!#REF!,"AAAAAG73+zU=")</f>
        <v>#REF!</v>
      </c>
      <c r="BC56" t="e">
        <f>AND(Liste!#REF!,"AAAAAG73+zY=")</f>
        <v>#REF!</v>
      </c>
      <c r="BD56" t="e">
        <f>AND(Liste!#REF!,"AAAAAG73+zc=")</f>
        <v>#REF!</v>
      </c>
      <c r="BE56" t="e">
        <f>IF(Liste!#REF!,"AAAAAG73+zg=",0)</f>
        <v>#REF!</v>
      </c>
      <c r="BF56" t="e">
        <f>AND(Liste!#REF!,"AAAAAG73+zk=")</f>
        <v>#REF!</v>
      </c>
      <c r="BG56" t="e">
        <f>AND(Liste!#REF!,"AAAAAG73+zo=")</f>
        <v>#REF!</v>
      </c>
      <c r="BH56" t="e">
        <f>AND(Liste!#REF!,"AAAAAG73+zs=")</f>
        <v>#REF!</v>
      </c>
      <c r="BI56" t="e">
        <f>AND(Liste!#REF!,"AAAAAG73+zw=")</f>
        <v>#REF!</v>
      </c>
      <c r="BJ56" t="e">
        <f>AND(Liste!#REF!,"AAAAAG73+z0=")</f>
        <v>#REF!</v>
      </c>
      <c r="BK56" t="e">
        <f>AND(Liste!#REF!,"AAAAAG73+z4=")</f>
        <v>#REF!</v>
      </c>
      <c r="BL56" t="e">
        <f>AND(Liste!#REF!,"AAAAAG73+z8=")</f>
        <v>#REF!</v>
      </c>
      <c r="BM56" t="e">
        <f>AND(Liste!#REF!,"AAAAAG73+0A=")</f>
        <v>#REF!</v>
      </c>
      <c r="BN56" t="e">
        <f>AND(Liste!#REF!,"AAAAAG73+0E=")</f>
        <v>#REF!</v>
      </c>
      <c r="BO56" t="e">
        <f>AND(Liste!#REF!,"AAAAAG73+0I=")</f>
        <v>#REF!</v>
      </c>
      <c r="BP56" t="e">
        <f>AND(Liste!#REF!,"AAAAAG73+0M=")</f>
        <v>#REF!</v>
      </c>
      <c r="BQ56" t="e">
        <f>AND(Liste!#REF!,"AAAAAG73+0Q=")</f>
        <v>#REF!</v>
      </c>
      <c r="BR56" t="e">
        <f>AND(Liste!#REF!,"AAAAAG73+0U=")</f>
        <v>#REF!</v>
      </c>
      <c r="BS56" t="e">
        <f>AND(Liste!#REF!,"AAAAAG73+0Y=")</f>
        <v>#REF!</v>
      </c>
      <c r="BT56" t="e">
        <f>AND(Liste!#REF!,"AAAAAG73+0c=")</f>
        <v>#REF!</v>
      </c>
      <c r="BU56" t="e">
        <f>AND(Liste!#REF!,"AAAAAG73+0g=")</f>
        <v>#REF!</v>
      </c>
      <c r="BV56" t="e">
        <f>AND(Liste!#REF!,"AAAAAG73+0k=")</f>
        <v>#REF!</v>
      </c>
      <c r="BW56" t="e">
        <f>AND(Liste!#REF!,"AAAAAG73+0o=")</f>
        <v>#REF!</v>
      </c>
      <c r="BX56" t="e">
        <f>AND(Liste!#REF!,"AAAAAG73+0s=")</f>
        <v>#REF!</v>
      </c>
      <c r="BY56" t="e">
        <f>AND(Liste!#REF!,"AAAAAG73+0w=")</f>
        <v>#REF!</v>
      </c>
      <c r="BZ56" t="e">
        <f>AND(Liste!#REF!,"AAAAAG73+00=")</f>
        <v>#REF!</v>
      </c>
      <c r="CA56" t="e">
        <f>AND(Liste!#REF!,"AAAAAG73+04=")</f>
        <v>#REF!</v>
      </c>
      <c r="CB56" t="e">
        <f>AND(Liste!#REF!,"AAAAAG73+08=")</f>
        <v>#REF!</v>
      </c>
      <c r="CC56" t="e">
        <f>AND(Liste!#REF!,"AAAAAG73+1A=")</f>
        <v>#REF!</v>
      </c>
      <c r="CD56" t="e">
        <f>AND(Liste!#REF!,"AAAAAG73+1E=")</f>
        <v>#REF!</v>
      </c>
      <c r="CE56" t="e">
        <f>AND(Liste!#REF!,"AAAAAG73+1I=")</f>
        <v>#REF!</v>
      </c>
      <c r="CF56" t="e">
        <f>AND(Liste!#REF!,"AAAAAG73+1M=")</f>
        <v>#REF!</v>
      </c>
      <c r="CG56" t="e">
        <f>AND(Liste!#REF!,"AAAAAG73+1Q=")</f>
        <v>#REF!</v>
      </c>
      <c r="CH56" t="e">
        <f>AND(Liste!#REF!,"AAAAAG73+1U=")</f>
        <v>#REF!</v>
      </c>
      <c r="CI56" t="e">
        <f>AND(Liste!#REF!,"AAAAAG73+1Y=")</f>
        <v>#REF!</v>
      </c>
      <c r="CJ56" t="e">
        <f>IF(Liste!#REF!,"AAAAAG73+1c=",0)</f>
        <v>#REF!</v>
      </c>
      <c r="CK56" t="e">
        <f>AND(Liste!#REF!,"AAAAAG73+1g=")</f>
        <v>#REF!</v>
      </c>
      <c r="CL56" t="e">
        <f>AND(Liste!#REF!,"AAAAAG73+1k=")</f>
        <v>#REF!</v>
      </c>
      <c r="CM56" t="e">
        <f>AND(Liste!#REF!,"AAAAAG73+1o=")</f>
        <v>#REF!</v>
      </c>
      <c r="CN56" t="e">
        <f>AND(Liste!#REF!,"AAAAAG73+1s=")</f>
        <v>#REF!</v>
      </c>
      <c r="CO56" t="e">
        <f>AND(Liste!#REF!,"AAAAAG73+1w=")</f>
        <v>#REF!</v>
      </c>
      <c r="CP56" t="e">
        <f>AND(Liste!#REF!,"AAAAAG73+10=")</f>
        <v>#REF!</v>
      </c>
      <c r="CQ56" t="e">
        <f>AND(Liste!#REF!,"AAAAAG73+14=")</f>
        <v>#REF!</v>
      </c>
      <c r="CR56" t="e">
        <f>AND(Liste!#REF!,"AAAAAG73+18=")</f>
        <v>#REF!</v>
      </c>
      <c r="CS56" t="e">
        <f>AND(Liste!#REF!,"AAAAAG73+2A=")</f>
        <v>#REF!</v>
      </c>
      <c r="CT56" t="e">
        <f>AND(Liste!#REF!,"AAAAAG73+2E=")</f>
        <v>#REF!</v>
      </c>
      <c r="CU56" t="e">
        <f>AND(Liste!#REF!,"AAAAAG73+2I=")</f>
        <v>#REF!</v>
      </c>
      <c r="CV56" t="e">
        <f>AND(Liste!#REF!,"AAAAAG73+2M=")</f>
        <v>#REF!</v>
      </c>
      <c r="CW56" t="e">
        <f>AND(Liste!#REF!,"AAAAAG73+2Q=")</f>
        <v>#REF!</v>
      </c>
      <c r="CX56" t="e">
        <f>AND(Liste!#REF!,"AAAAAG73+2U=")</f>
        <v>#REF!</v>
      </c>
      <c r="CY56" t="e">
        <f>AND(Liste!#REF!,"AAAAAG73+2Y=")</f>
        <v>#REF!</v>
      </c>
      <c r="CZ56" t="e">
        <f>AND(Liste!#REF!,"AAAAAG73+2c=")</f>
        <v>#REF!</v>
      </c>
      <c r="DA56" t="e">
        <f>AND(Liste!#REF!,"AAAAAG73+2g=")</f>
        <v>#REF!</v>
      </c>
      <c r="DB56" t="e">
        <f>AND(Liste!#REF!,"AAAAAG73+2k=")</f>
        <v>#REF!</v>
      </c>
      <c r="DC56" t="e">
        <f>AND(Liste!#REF!,"AAAAAG73+2o=")</f>
        <v>#REF!</v>
      </c>
      <c r="DD56" t="e">
        <f>AND(Liste!#REF!,"AAAAAG73+2s=")</f>
        <v>#REF!</v>
      </c>
      <c r="DE56" t="e">
        <f>AND(Liste!#REF!,"AAAAAG73+2w=")</f>
        <v>#REF!</v>
      </c>
      <c r="DF56" t="e">
        <f>AND(Liste!#REF!,"AAAAAG73+20=")</f>
        <v>#REF!</v>
      </c>
      <c r="DG56" t="e">
        <f>AND(Liste!#REF!,"AAAAAG73+24=")</f>
        <v>#REF!</v>
      </c>
      <c r="DH56" t="e">
        <f>AND(Liste!#REF!,"AAAAAG73+28=")</f>
        <v>#REF!</v>
      </c>
      <c r="DI56" t="e">
        <f>AND(Liste!#REF!,"AAAAAG73+3A=")</f>
        <v>#REF!</v>
      </c>
      <c r="DJ56" t="e">
        <f>AND(Liste!#REF!,"AAAAAG73+3E=")</f>
        <v>#REF!</v>
      </c>
      <c r="DK56" t="e">
        <f>AND(Liste!#REF!,"AAAAAG73+3I=")</f>
        <v>#REF!</v>
      </c>
      <c r="DL56" t="e">
        <f>AND(Liste!#REF!,"AAAAAG73+3M=")</f>
        <v>#REF!</v>
      </c>
      <c r="DM56" t="e">
        <f>AND(Liste!#REF!,"AAAAAG73+3Q=")</f>
        <v>#REF!</v>
      </c>
      <c r="DN56" t="e">
        <f>AND(Liste!#REF!,"AAAAAG73+3U=")</f>
        <v>#REF!</v>
      </c>
      <c r="DO56" t="e">
        <f>IF(Liste!#REF!,"AAAAAG73+3Y=",0)</f>
        <v>#REF!</v>
      </c>
      <c r="DP56" t="e">
        <f>AND(Liste!#REF!,"AAAAAG73+3c=")</f>
        <v>#REF!</v>
      </c>
      <c r="DQ56" t="e">
        <f>AND(Liste!#REF!,"AAAAAG73+3g=")</f>
        <v>#REF!</v>
      </c>
      <c r="DR56" t="e">
        <f>AND(Liste!#REF!,"AAAAAG73+3k=")</f>
        <v>#REF!</v>
      </c>
      <c r="DS56" t="e">
        <f>AND(Liste!#REF!,"AAAAAG73+3o=")</f>
        <v>#REF!</v>
      </c>
      <c r="DT56" t="e">
        <f>AND(Liste!#REF!,"AAAAAG73+3s=")</f>
        <v>#REF!</v>
      </c>
      <c r="DU56" t="e">
        <f>AND(Liste!#REF!,"AAAAAG73+3w=")</f>
        <v>#REF!</v>
      </c>
      <c r="DV56" t="e">
        <f>AND(Liste!#REF!,"AAAAAG73+30=")</f>
        <v>#REF!</v>
      </c>
      <c r="DW56" t="e">
        <f>AND(Liste!#REF!,"AAAAAG73+34=")</f>
        <v>#REF!</v>
      </c>
      <c r="DX56" t="e">
        <f>AND(Liste!#REF!,"AAAAAG73+38=")</f>
        <v>#REF!</v>
      </c>
      <c r="DY56" t="e">
        <f>AND(Liste!#REF!,"AAAAAG73+4A=")</f>
        <v>#REF!</v>
      </c>
      <c r="DZ56" t="e">
        <f>AND(Liste!#REF!,"AAAAAG73+4E=")</f>
        <v>#REF!</v>
      </c>
      <c r="EA56" t="e">
        <f>AND(Liste!#REF!,"AAAAAG73+4I=")</f>
        <v>#REF!</v>
      </c>
      <c r="EB56" t="e">
        <f>AND(Liste!#REF!,"AAAAAG73+4M=")</f>
        <v>#REF!</v>
      </c>
      <c r="EC56" t="e">
        <f>AND(Liste!#REF!,"AAAAAG73+4Q=")</f>
        <v>#REF!</v>
      </c>
      <c r="ED56" t="e">
        <f>AND(Liste!#REF!,"AAAAAG73+4U=")</f>
        <v>#REF!</v>
      </c>
      <c r="EE56" t="e">
        <f>AND(Liste!#REF!,"AAAAAG73+4Y=")</f>
        <v>#REF!</v>
      </c>
      <c r="EF56" t="e">
        <f>AND(Liste!#REF!,"AAAAAG73+4c=")</f>
        <v>#REF!</v>
      </c>
      <c r="EG56" t="e">
        <f>AND(Liste!#REF!,"AAAAAG73+4g=")</f>
        <v>#REF!</v>
      </c>
      <c r="EH56" t="e">
        <f>AND(Liste!#REF!,"AAAAAG73+4k=")</f>
        <v>#REF!</v>
      </c>
      <c r="EI56" t="e">
        <f>AND(Liste!#REF!,"AAAAAG73+4o=")</f>
        <v>#REF!</v>
      </c>
      <c r="EJ56" t="e">
        <f>AND(Liste!#REF!,"AAAAAG73+4s=")</f>
        <v>#REF!</v>
      </c>
      <c r="EK56" t="e">
        <f>AND(Liste!#REF!,"AAAAAG73+4w=")</f>
        <v>#REF!</v>
      </c>
      <c r="EL56" t="e">
        <f>AND(Liste!#REF!,"AAAAAG73+40=")</f>
        <v>#REF!</v>
      </c>
      <c r="EM56" t="e">
        <f>AND(Liste!#REF!,"AAAAAG73+44=")</f>
        <v>#REF!</v>
      </c>
      <c r="EN56" t="e">
        <f>AND(Liste!#REF!,"AAAAAG73+48=")</f>
        <v>#REF!</v>
      </c>
      <c r="EO56" t="e">
        <f>AND(Liste!#REF!,"AAAAAG73+5A=")</f>
        <v>#REF!</v>
      </c>
      <c r="EP56" t="e">
        <f>AND(Liste!#REF!,"AAAAAG73+5E=")</f>
        <v>#REF!</v>
      </c>
      <c r="EQ56" t="e">
        <f>AND(Liste!#REF!,"AAAAAG73+5I=")</f>
        <v>#REF!</v>
      </c>
      <c r="ER56" t="e">
        <f>AND(Liste!#REF!,"AAAAAG73+5M=")</f>
        <v>#REF!</v>
      </c>
      <c r="ES56" t="e">
        <f>AND(Liste!#REF!,"AAAAAG73+5Q=")</f>
        <v>#REF!</v>
      </c>
      <c r="ET56" t="e">
        <f>IF(Liste!#REF!,"AAAAAG73+5U=",0)</f>
        <v>#REF!</v>
      </c>
      <c r="EU56" t="e">
        <f>AND(Liste!#REF!,"AAAAAG73+5Y=")</f>
        <v>#REF!</v>
      </c>
      <c r="EV56" t="e">
        <f>AND(Liste!#REF!,"AAAAAG73+5c=")</f>
        <v>#REF!</v>
      </c>
      <c r="EW56" t="e">
        <f>AND(Liste!#REF!,"AAAAAG73+5g=")</f>
        <v>#REF!</v>
      </c>
      <c r="EX56" t="e">
        <f>AND(Liste!#REF!,"AAAAAG73+5k=")</f>
        <v>#REF!</v>
      </c>
      <c r="EY56" t="e">
        <f>AND(Liste!F454,"AAAAAG73+5o=")</f>
        <v>#VALUE!</v>
      </c>
      <c r="EZ56" t="e">
        <f>AND(Liste!G454,"AAAAAG73+5s=")</f>
        <v>#VALUE!</v>
      </c>
      <c r="FA56" t="e">
        <f>AND(Liste!H454,"AAAAAG73+5w=")</f>
        <v>#VALUE!</v>
      </c>
      <c r="FB56" t="e">
        <f>AND(Liste!#REF!,"AAAAAG73+50=")</f>
        <v>#REF!</v>
      </c>
      <c r="FC56" t="e">
        <f>AND(Liste!#REF!,"AAAAAG73+54=")</f>
        <v>#REF!</v>
      </c>
      <c r="FD56" t="e">
        <f>AND(Liste!#REF!,"AAAAAG73+58=")</f>
        <v>#REF!</v>
      </c>
      <c r="FE56" t="e">
        <f>AND(Liste!#REF!,"AAAAAG73+6A=")</f>
        <v>#REF!</v>
      </c>
      <c r="FF56" t="e">
        <f>AND(Liste!#REF!,"AAAAAG73+6E=")</f>
        <v>#REF!</v>
      </c>
      <c r="FG56" t="e">
        <f>AND(Liste!#REF!,"AAAAAG73+6I=")</f>
        <v>#REF!</v>
      </c>
      <c r="FH56" t="e">
        <f>AND(Liste!#REF!,"AAAAAG73+6M=")</f>
        <v>#REF!</v>
      </c>
      <c r="FI56" t="e">
        <f>AND(Liste!#REF!,"AAAAAG73+6Q=")</f>
        <v>#REF!</v>
      </c>
      <c r="FJ56" t="e">
        <f>AND(Liste!#REF!,"AAAAAG73+6U=")</f>
        <v>#REF!</v>
      </c>
      <c r="FK56" t="e">
        <f>AND(Liste!#REF!,"AAAAAG73+6Y=")</f>
        <v>#REF!</v>
      </c>
      <c r="FL56" t="e">
        <f>AND(Liste!#REF!,"AAAAAG73+6c=")</f>
        <v>#REF!</v>
      </c>
      <c r="FM56" t="e">
        <f>AND(Liste!#REF!,"AAAAAG73+6g=")</f>
        <v>#REF!</v>
      </c>
      <c r="FN56" t="e">
        <f>AND(Liste!#REF!,"AAAAAG73+6k=")</f>
        <v>#REF!</v>
      </c>
      <c r="FO56" t="e">
        <f>AND(Liste!#REF!,"AAAAAG73+6o=")</f>
        <v>#REF!</v>
      </c>
      <c r="FP56" t="e">
        <f>AND(Liste!#REF!,"AAAAAG73+6s=")</f>
        <v>#REF!</v>
      </c>
      <c r="FQ56" t="e">
        <f>AND(Liste!#REF!,"AAAAAG73+6w=")</f>
        <v>#REF!</v>
      </c>
      <c r="FR56" t="e">
        <f>AND(Liste!#REF!,"AAAAAG73+60=")</f>
        <v>#REF!</v>
      </c>
      <c r="FS56" t="e">
        <f>AND(Liste!#REF!,"AAAAAG73+64=")</f>
        <v>#REF!</v>
      </c>
      <c r="FT56" t="e">
        <f>AND(Liste!#REF!,"AAAAAG73+68=")</f>
        <v>#REF!</v>
      </c>
      <c r="FU56" t="e">
        <f>AND(Liste!#REF!,"AAAAAG73+7A=")</f>
        <v>#REF!</v>
      </c>
      <c r="FV56" t="e">
        <f>AND(Liste!#REF!,"AAAAAG73+7E=")</f>
        <v>#REF!</v>
      </c>
      <c r="FW56" t="e">
        <f>AND(Liste!#REF!,"AAAAAG73+7I=")</f>
        <v>#REF!</v>
      </c>
      <c r="FX56" t="e">
        <f>AND(Liste!#REF!,"AAAAAG73+7M=")</f>
        <v>#REF!</v>
      </c>
      <c r="FY56" t="e">
        <f>IF(Liste!#REF!,"AAAAAG73+7Q=",0)</f>
        <v>#REF!</v>
      </c>
      <c r="FZ56" t="e">
        <f>AND(Liste!#REF!,"AAAAAG73+7U=")</f>
        <v>#REF!</v>
      </c>
      <c r="GA56" t="e">
        <f>AND(Liste!#REF!,"AAAAAG73+7Y=")</f>
        <v>#REF!</v>
      </c>
      <c r="GB56" t="e">
        <f>AND(Liste!#REF!,"AAAAAG73+7c=")</f>
        <v>#REF!</v>
      </c>
      <c r="GC56" t="e">
        <f>AND(Liste!#REF!,"AAAAAG73+7g=")</f>
        <v>#REF!</v>
      </c>
      <c r="GD56" t="e">
        <f>AND(Liste!#REF!,"AAAAAG73+7k=")</f>
        <v>#REF!</v>
      </c>
      <c r="GE56" t="e">
        <f>AND(Liste!#REF!,"AAAAAG73+7o=")</f>
        <v>#REF!</v>
      </c>
      <c r="GF56" t="e">
        <f>AND(Liste!#REF!,"AAAAAG73+7s=")</f>
        <v>#REF!</v>
      </c>
      <c r="GG56" t="e">
        <f>AND(Liste!#REF!,"AAAAAG73+7w=")</f>
        <v>#REF!</v>
      </c>
      <c r="GH56" t="e">
        <f>AND(Liste!#REF!,"AAAAAG73+70=")</f>
        <v>#REF!</v>
      </c>
      <c r="GI56" t="e">
        <f>AND(Liste!#REF!,"AAAAAG73+74=")</f>
        <v>#REF!</v>
      </c>
      <c r="GJ56" t="e">
        <f>AND(Liste!#REF!,"AAAAAG73+78=")</f>
        <v>#REF!</v>
      </c>
      <c r="GK56" t="e">
        <f>AND(Liste!#REF!,"AAAAAG73+8A=")</f>
        <v>#REF!</v>
      </c>
      <c r="GL56" t="e">
        <f>AND(Liste!#REF!,"AAAAAG73+8E=")</f>
        <v>#REF!</v>
      </c>
      <c r="GM56" t="e">
        <f>AND(Liste!#REF!,"AAAAAG73+8I=")</f>
        <v>#REF!</v>
      </c>
      <c r="GN56" t="e">
        <f>AND(Liste!#REF!,"AAAAAG73+8M=")</f>
        <v>#REF!</v>
      </c>
      <c r="GO56" t="e">
        <f>AND(Liste!#REF!,"AAAAAG73+8Q=")</f>
        <v>#REF!</v>
      </c>
      <c r="GP56" t="e">
        <f>AND(Liste!#REF!,"AAAAAG73+8U=")</f>
        <v>#REF!</v>
      </c>
      <c r="GQ56" t="e">
        <f>AND(Liste!#REF!,"AAAAAG73+8Y=")</f>
        <v>#REF!</v>
      </c>
      <c r="GR56" t="e">
        <f>AND(Liste!#REF!,"AAAAAG73+8c=")</f>
        <v>#REF!</v>
      </c>
      <c r="GS56" t="e">
        <f>AND(Liste!#REF!,"AAAAAG73+8g=")</f>
        <v>#REF!</v>
      </c>
      <c r="GT56" t="e">
        <f>AND(Liste!#REF!,"AAAAAG73+8k=")</f>
        <v>#REF!</v>
      </c>
      <c r="GU56" t="e">
        <f>AND(Liste!#REF!,"AAAAAG73+8o=")</f>
        <v>#REF!</v>
      </c>
      <c r="GV56" t="e">
        <f>AND(Liste!#REF!,"AAAAAG73+8s=")</f>
        <v>#REF!</v>
      </c>
      <c r="GW56" t="e">
        <f>AND(Liste!#REF!,"AAAAAG73+8w=")</f>
        <v>#REF!</v>
      </c>
      <c r="GX56" t="e">
        <f>AND(Liste!#REF!,"AAAAAG73+80=")</f>
        <v>#REF!</v>
      </c>
      <c r="GY56" t="e">
        <f>AND(Liste!#REF!,"AAAAAG73+84=")</f>
        <v>#REF!</v>
      </c>
      <c r="GZ56" t="e">
        <f>AND(Liste!#REF!,"AAAAAG73+88=")</f>
        <v>#REF!</v>
      </c>
      <c r="HA56" t="e">
        <f>AND(Liste!#REF!,"AAAAAG73+9A=")</f>
        <v>#REF!</v>
      </c>
      <c r="HB56" t="e">
        <f>AND(Liste!#REF!,"AAAAAG73+9E=")</f>
        <v>#REF!</v>
      </c>
      <c r="HC56" t="e">
        <f>AND(Liste!#REF!,"AAAAAG73+9I=")</f>
        <v>#REF!</v>
      </c>
      <c r="HD56" t="e">
        <f>IF(Liste!#REF!,"AAAAAG73+9M=",0)</f>
        <v>#REF!</v>
      </c>
      <c r="HE56" t="e">
        <f>AND(Liste!#REF!,"AAAAAG73+9Q=")</f>
        <v>#REF!</v>
      </c>
      <c r="HF56" t="e">
        <f>AND(Liste!#REF!,"AAAAAG73+9U=")</f>
        <v>#REF!</v>
      </c>
      <c r="HG56" t="e">
        <f>AND(Liste!#REF!,"AAAAAG73+9Y=")</f>
        <v>#REF!</v>
      </c>
      <c r="HH56" t="e">
        <f>AND(Liste!#REF!,"AAAAAG73+9c=")</f>
        <v>#REF!</v>
      </c>
      <c r="HI56" t="e">
        <f>AND(Liste!#REF!,"AAAAAG73+9g=")</f>
        <v>#REF!</v>
      </c>
      <c r="HJ56" t="e">
        <f>AND(Liste!#REF!,"AAAAAG73+9k=")</f>
        <v>#REF!</v>
      </c>
      <c r="HK56" t="e">
        <f>AND(Liste!#REF!,"AAAAAG73+9o=")</f>
        <v>#REF!</v>
      </c>
      <c r="HL56" t="e">
        <f>AND(Liste!#REF!,"AAAAAG73+9s=")</f>
        <v>#REF!</v>
      </c>
      <c r="HM56" t="e">
        <f>AND(Liste!#REF!,"AAAAAG73+9w=")</f>
        <v>#REF!</v>
      </c>
      <c r="HN56" t="e">
        <f>AND(Liste!#REF!,"AAAAAG73+90=")</f>
        <v>#REF!</v>
      </c>
      <c r="HO56" t="e">
        <f>AND(Liste!#REF!,"AAAAAG73+94=")</f>
        <v>#REF!</v>
      </c>
      <c r="HP56" t="e">
        <f>AND(Liste!#REF!,"AAAAAG73+98=")</f>
        <v>#REF!</v>
      </c>
      <c r="HQ56" t="e">
        <f>AND(Liste!#REF!,"AAAAAG73++A=")</f>
        <v>#REF!</v>
      </c>
      <c r="HR56" t="e">
        <f>AND(Liste!#REF!,"AAAAAG73++E=")</f>
        <v>#REF!</v>
      </c>
      <c r="HS56" t="e">
        <f>AND(Liste!#REF!,"AAAAAG73++I=")</f>
        <v>#REF!</v>
      </c>
      <c r="HT56" t="e">
        <f>AND(Liste!#REF!,"AAAAAG73++M=")</f>
        <v>#REF!</v>
      </c>
      <c r="HU56" t="e">
        <f>AND(Liste!#REF!,"AAAAAG73++Q=")</f>
        <v>#REF!</v>
      </c>
      <c r="HV56" t="e">
        <f>AND(Liste!#REF!,"AAAAAG73++U=")</f>
        <v>#REF!</v>
      </c>
      <c r="HW56" t="e">
        <f>AND(Liste!#REF!,"AAAAAG73++Y=")</f>
        <v>#REF!</v>
      </c>
      <c r="HX56" t="e">
        <f>AND(Liste!#REF!,"AAAAAG73++c=")</f>
        <v>#REF!</v>
      </c>
      <c r="HY56" t="e">
        <f>AND(Liste!#REF!,"AAAAAG73++g=")</f>
        <v>#REF!</v>
      </c>
      <c r="HZ56" t="e">
        <f>AND(Liste!#REF!,"AAAAAG73++k=")</f>
        <v>#REF!</v>
      </c>
      <c r="IA56" t="e">
        <f>AND(Liste!#REF!,"AAAAAG73++o=")</f>
        <v>#REF!</v>
      </c>
      <c r="IB56" t="e">
        <f>AND(Liste!#REF!,"AAAAAG73++s=")</f>
        <v>#REF!</v>
      </c>
      <c r="IC56" t="e">
        <f>AND(Liste!#REF!,"AAAAAG73++w=")</f>
        <v>#REF!</v>
      </c>
      <c r="ID56" t="e">
        <f>AND(Liste!#REF!,"AAAAAG73++0=")</f>
        <v>#REF!</v>
      </c>
      <c r="IE56" t="e">
        <f>AND(Liste!#REF!,"AAAAAG73++4=")</f>
        <v>#REF!</v>
      </c>
      <c r="IF56" t="e">
        <f>AND(Liste!#REF!,"AAAAAG73++8=")</f>
        <v>#REF!</v>
      </c>
      <c r="IG56" t="e">
        <f>AND(Liste!#REF!,"AAAAAG73+/A=")</f>
        <v>#REF!</v>
      </c>
      <c r="IH56" t="e">
        <f>AND(Liste!#REF!,"AAAAAG73+/E=")</f>
        <v>#REF!</v>
      </c>
      <c r="II56" t="e">
        <f>IF(Liste!#REF!,"AAAAAG73+/I=",0)</f>
        <v>#REF!</v>
      </c>
      <c r="IJ56" t="e">
        <f>AND(Liste!#REF!,"AAAAAG73+/M=")</f>
        <v>#REF!</v>
      </c>
      <c r="IK56" t="e">
        <f>AND(Liste!#REF!,"AAAAAG73+/Q=")</f>
        <v>#REF!</v>
      </c>
      <c r="IL56" t="e">
        <f>AND(Liste!#REF!,"AAAAAG73+/U=")</f>
        <v>#REF!</v>
      </c>
      <c r="IM56" t="e">
        <f>AND(Liste!#REF!,"AAAAAG73+/Y=")</f>
        <v>#REF!</v>
      </c>
      <c r="IN56" t="e">
        <f>AND(Liste!#REF!,"AAAAAG73+/c=")</f>
        <v>#REF!</v>
      </c>
      <c r="IO56" t="e">
        <f>AND(Liste!#REF!,"AAAAAG73+/g=")</f>
        <v>#REF!</v>
      </c>
      <c r="IP56" t="e">
        <f>AND(Liste!#REF!,"AAAAAG73+/k=")</f>
        <v>#REF!</v>
      </c>
      <c r="IQ56" t="e">
        <f>AND(Liste!#REF!,"AAAAAG73+/o=")</f>
        <v>#REF!</v>
      </c>
      <c r="IR56" t="e">
        <f>AND(Liste!#REF!,"AAAAAG73+/s=")</f>
        <v>#REF!</v>
      </c>
      <c r="IS56" t="e">
        <f>AND(Liste!#REF!,"AAAAAG73+/w=")</f>
        <v>#REF!</v>
      </c>
      <c r="IT56" t="e">
        <f>AND(Liste!#REF!,"AAAAAG73+/0=")</f>
        <v>#REF!</v>
      </c>
      <c r="IU56" t="e">
        <f>AND(Liste!#REF!,"AAAAAG73+/4=")</f>
        <v>#REF!</v>
      </c>
      <c r="IV56" t="e">
        <f>AND(Liste!#REF!,"AAAAAG73+/8=")</f>
        <v>#REF!</v>
      </c>
    </row>
    <row r="57" spans="1:256" x14ac:dyDescent="0.2">
      <c r="A57" t="e">
        <f>AND(Liste!#REF!,"AAAAAH9f8AA=")</f>
        <v>#REF!</v>
      </c>
      <c r="B57" t="e">
        <f>AND(Liste!#REF!,"AAAAAH9f8AE=")</f>
        <v>#REF!</v>
      </c>
      <c r="C57" t="e">
        <f>AND(Liste!#REF!,"AAAAAH9f8AI=")</f>
        <v>#REF!</v>
      </c>
      <c r="D57" t="e">
        <f>AND(Liste!#REF!,"AAAAAH9f8AM=")</f>
        <v>#REF!</v>
      </c>
      <c r="E57" t="e">
        <f>AND(Liste!#REF!,"AAAAAH9f8AQ=")</f>
        <v>#REF!</v>
      </c>
      <c r="F57" t="e">
        <f>AND(Liste!#REF!,"AAAAAH9f8AU=")</f>
        <v>#REF!</v>
      </c>
      <c r="G57" t="e">
        <f>AND(Liste!#REF!,"AAAAAH9f8AY=")</f>
        <v>#REF!</v>
      </c>
      <c r="H57" t="e">
        <f>AND(Liste!#REF!,"AAAAAH9f8Ac=")</f>
        <v>#REF!</v>
      </c>
      <c r="I57" t="e">
        <f>AND(Liste!#REF!,"AAAAAH9f8Ag=")</f>
        <v>#REF!</v>
      </c>
      <c r="J57" t="e">
        <f>AND(Liste!#REF!,"AAAAAH9f8Ak=")</f>
        <v>#REF!</v>
      </c>
      <c r="K57" t="e">
        <f>AND(Liste!#REF!,"AAAAAH9f8Ao=")</f>
        <v>#REF!</v>
      </c>
      <c r="L57" t="e">
        <f>AND(Liste!#REF!,"AAAAAH9f8As=")</f>
        <v>#REF!</v>
      </c>
      <c r="M57" t="e">
        <f>AND(Liste!#REF!,"AAAAAH9f8Aw=")</f>
        <v>#REF!</v>
      </c>
      <c r="N57" t="e">
        <f>AND(Liste!#REF!,"AAAAAH9f8A0=")</f>
        <v>#REF!</v>
      </c>
      <c r="O57" t="e">
        <f>AND(Liste!#REF!,"AAAAAH9f8A4=")</f>
        <v>#REF!</v>
      </c>
      <c r="P57" t="e">
        <f>AND(Liste!#REF!,"AAAAAH9f8A8=")</f>
        <v>#REF!</v>
      </c>
      <c r="Q57" t="e">
        <f>AND(Liste!#REF!,"AAAAAH9f8BA=")</f>
        <v>#REF!</v>
      </c>
      <c r="R57" t="e">
        <f>IF(Liste!#REF!,"AAAAAH9f8BE=",0)</f>
        <v>#REF!</v>
      </c>
      <c r="S57" t="e">
        <f>AND(Liste!#REF!,"AAAAAH9f8BI=")</f>
        <v>#REF!</v>
      </c>
      <c r="T57" t="e">
        <f>AND(Liste!#REF!,"AAAAAH9f8BM=")</f>
        <v>#REF!</v>
      </c>
      <c r="U57" t="e">
        <f>AND(Liste!#REF!,"AAAAAH9f8BQ=")</f>
        <v>#REF!</v>
      </c>
      <c r="V57" t="e">
        <f>AND(Liste!#REF!,"AAAAAH9f8BU=")</f>
        <v>#REF!</v>
      </c>
      <c r="W57" t="e">
        <f>AND(Liste!#REF!,"AAAAAH9f8BY=")</f>
        <v>#REF!</v>
      </c>
      <c r="X57" t="e">
        <f>AND(Liste!#REF!,"AAAAAH9f8Bc=")</f>
        <v>#REF!</v>
      </c>
      <c r="Y57" t="e">
        <f>AND(Liste!#REF!,"AAAAAH9f8Bg=")</f>
        <v>#REF!</v>
      </c>
      <c r="Z57" t="e">
        <f>AND(Liste!#REF!,"AAAAAH9f8Bk=")</f>
        <v>#REF!</v>
      </c>
      <c r="AA57" t="e">
        <f>AND(Liste!#REF!,"AAAAAH9f8Bo=")</f>
        <v>#REF!</v>
      </c>
      <c r="AB57" t="e">
        <f>AND(Liste!#REF!,"AAAAAH9f8Bs=")</f>
        <v>#REF!</v>
      </c>
      <c r="AC57" t="e">
        <f>AND(Liste!#REF!,"AAAAAH9f8Bw=")</f>
        <v>#REF!</v>
      </c>
      <c r="AD57" t="e">
        <f>AND(Liste!#REF!,"AAAAAH9f8B0=")</f>
        <v>#REF!</v>
      </c>
      <c r="AE57" t="e">
        <f>AND(Liste!#REF!,"AAAAAH9f8B4=")</f>
        <v>#REF!</v>
      </c>
      <c r="AF57" t="e">
        <f>AND(Liste!#REF!,"AAAAAH9f8B8=")</f>
        <v>#REF!</v>
      </c>
      <c r="AG57" t="e">
        <f>AND(Liste!#REF!,"AAAAAH9f8CA=")</f>
        <v>#REF!</v>
      </c>
      <c r="AH57" t="e">
        <f>AND(Liste!#REF!,"AAAAAH9f8CE=")</f>
        <v>#REF!</v>
      </c>
      <c r="AI57" t="e">
        <f>AND(Liste!#REF!,"AAAAAH9f8CI=")</f>
        <v>#REF!</v>
      </c>
      <c r="AJ57" t="e">
        <f>AND(Liste!#REF!,"AAAAAH9f8CM=")</f>
        <v>#REF!</v>
      </c>
      <c r="AK57" t="e">
        <f>AND(Liste!#REF!,"AAAAAH9f8CQ=")</f>
        <v>#REF!</v>
      </c>
      <c r="AL57" t="e">
        <f>AND(Liste!#REF!,"AAAAAH9f8CU=")</f>
        <v>#REF!</v>
      </c>
      <c r="AM57" t="e">
        <f>AND(Liste!#REF!,"AAAAAH9f8CY=")</f>
        <v>#REF!</v>
      </c>
      <c r="AN57" t="e">
        <f>AND(Liste!#REF!,"AAAAAH9f8Cc=")</f>
        <v>#REF!</v>
      </c>
      <c r="AO57" t="e">
        <f>AND(Liste!#REF!,"AAAAAH9f8Cg=")</f>
        <v>#REF!</v>
      </c>
      <c r="AP57" t="e">
        <f>AND(Liste!#REF!,"AAAAAH9f8Ck=")</f>
        <v>#REF!</v>
      </c>
      <c r="AQ57" t="e">
        <f>AND(Liste!#REF!,"AAAAAH9f8Co=")</f>
        <v>#REF!</v>
      </c>
      <c r="AR57" t="e">
        <f>AND(Liste!#REF!,"AAAAAH9f8Cs=")</f>
        <v>#REF!</v>
      </c>
      <c r="AS57" t="e">
        <f>AND(Liste!#REF!,"AAAAAH9f8Cw=")</f>
        <v>#REF!</v>
      </c>
      <c r="AT57" t="e">
        <f>AND(Liste!#REF!,"AAAAAH9f8C0=")</f>
        <v>#REF!</v>
      </c>
      <c r="AU57" t="e">
        <f>AND(Liste!#REF!,"AAAAAH9f8C4=")</f>
        <v>#REF!</v>
      </c>
      <c r="AV57" t="e">
        <f>AND(Liste!#REF!,"AAAAAH9f8C8=")</f>
        <v>#REF!</v>
      </c>
      <c r="AW57" t="e">
        <f>IF(Liste!#REF!,"AAAAAH9f8DA=",0)</f>
        <v>#REF!</v>
      </c>
      <c r="AX57" t="e">
        <f>AND(Liste!#REF!,"AAAAAH9f8DE=")</f>
        <v>#REF!</v>
      </c>
      <c r="AY57" t="e">
        <f>AND(Liste!#REF!,"AAAAAH9f8DI=")</f>
        <v>#REF!</v>
      </c>
      <c r="AZ57" t="e">
        <f>AND(Liste!#REF!,"AAAAAH9f8DM=")</f>
        <v>#REF!</v>
      </c>
      <c r="BA57" t="e">
        <f>AND(Liste!#REF!,"AAAAAH9f8DQ=")</f>
        <v>#REF!</v>
      </c>
      <c r="BB57" t="e">
        <f>AND(Liste!#REF!,"AAAAAH9f8DU=")</f>
        <v>#REF!</v>
      </c>
      <c r="BC57" t="e">
        <f>AND(Liste!#REF!,"AAAAAH9f8DY=")</f>
        <v>#REF!</v>
      </c>
      <c r="BD57" t="e">
        <f>AND(Liste!#REF!,"AAAAAH9f8Dc=")</f>
        <v>#REF!</v>
      </c>
      <c r="BE57" t="e">
        <f>AND(Liste!#REF!,"AAAAAH9f8Dg=")</f>
        <v>#REF!</v>
      </c>
      <c r="BF57" t="e">
        <f>AND(Liste!#REF!,"AAAAAH9f8Dk=")</f>
        <v>#REF!</v>
      </c>
      <c r="BG57" t="e">
        <f>AND(Liste!#REF!,"AAAAAH9f8Do=")</f>
        <v>#REF!</v>
      </c>
      <c r="BH57" t="e">
        <f>AND(Liste!#REF!,"AAAAAH9f8Ds=")</f>
        <v>#REF!</v>
      </c>
      <c r="BI57" t="e">
        <f>AND(Liste!#REF!,"AAAAAH9f8Dw=")</f>
        <v>#REF!</v>
      </c>
      <c r="BJ57" t="e">
        <f>AND(Liste!#REF!,"AAAAAH9f8D0=")</f>
        <v>#REF!</v>
      </c>
      <c r="BK57" t="e">
        <f>AND(Liste!#REF!,"AAAAAH9f8D4=")</f>
        <v>#REF!</v>
      </c>
      <c r="BL57" t="e">
        <f>AND(Liste!#REF!,"AAAAAH9f8D8=")</f>
        <v>#REF!</v>
      </c>
      <c r="BM57" t="e">
        <f>AND(Liste!#REF!,"AAAAAH9f8EA=")</f>
        <v>#REF!</v>
      </c>
      <c r="BN57" t="e">
        <f>AND(Liste!#REF!,"AAAAAH9f8EE=")</f>
        <v>#REF!</v>
      </c>
      <c r="BO57" t="e">
        <f>AND(Liste!#REF!,"AAAAAH9f8EI=")</f>
        <v>#REF!</v>
      </c>
      <c r="BP57" t="e">
        <f>AND(Liste!#REF!,"AAAAAH9f8EM=")</f>
        <v>#REF!</v>
      </c>
      <c r="BQ57" t="e">
        <f>AND(Liste!#REF!,"AAAAAH9f8EQ=")</f>
        <v>#REF!</v>
      </c>
      <c r="BR57" t="e">
        <f>AND(Liste!#REF!,"AAAAAH9f8EU=")</f>
        <v>#REF!</v>
      </c>
      <c r="BS57" t="e">
        <f>AND(Liste!#REF!,"AAAAAH9f8EY=")</f>
        <v>#REF!</v>
      </c>
      <c r="BT57" t="e">
        <f>AND(Liste!#REF!,"AAAAAH9f8Ec=")</f>
        <v>#REF!</v>
      </c>
      <c r="BU57" t="e">
        <f>AND(Liste!#REF!,"AAAAAH9f8Eg=")</f>
        <v>#REF!</v>
      </c>
      <c r="BV57" t="e">
        <f>AND(Liste!#REF!,"AAAAAH9f8Ek=")</f>
        <v>#REF!</v>
      </c>
      <c r="BW57" t="e">
        <f>AND(Liste!#REF!,"AAAAAH9f8Eo=")</f>
        <v>#REF!</v>
      </c>
      <c r="BX57" t="e">
        <f>AND(Liste!#REF!,"AAAAAH9f8Es=")</f>
        <v>#REF!</v>
      </c>
      <c r="BY57" t="e">
        <f>AND(Liste!#REF!,"AAAAAH9f8Ew=")</f>
        <v>#REF!</v>
      </c>
      <c r="BZ57" t="e">
        <f>AND(Liste!#REF!,"AAAAAH9f8E0=")</f>
        <v>#REF!</v>
      </c>
      <c r="CA57" t="e">
        <f>AND(Liste!#REF!,"AAAAAH9f8E4=")</f>
        <v>#REF!</v>
      </c>
      <c r="CB57" t="e">
        <f>IF(Liste!#REF!,"AAAAAH9f8E8=",0)</f>
        <v>#REF!</v>
      </c>
      <c r="CC57" t="e">
        <f>AND(Liste!#REF!,"AAAAAH9f8FA=")</f>
        <v>#REF!</v>
      </c>
      <c r="CD57" t="e">
        <f>AND(Liste!#REF!,"AAAAAH9f8FE=")</f>
        <v>#REF!</v>
      </c>
      <c r="CE57" t="e">
        <f>AND(Liste!#REF!,"AAAAAH9f8FI=")</f>
        <v>#REF!</v>
      </c>
      <c r="CF57" t="e">
        <f>AND(Liste!#REF!,"AAAAAH9f8FM=")</f>
        <v>#REF!</v>
      </c>
      <c r="CG57" t="e">
        <f>AND(Liste!#REF!,"AAAAAH9f8FQ=")</f>
        <v>#REF!</v>
      </c>
      <c r="CH57" t="e">
        <f>AND(Liste!#REF!,"AAAAAH9f8FU=")</f>
        <v>#REF!</v>
      </c>
      <c r="CI57" t="e">
        <f>AND(Liste!#REF!,"AAAAAH9f8FY=")</f>
        <v>#REF!</v>
      </c>
      <c r="CJ57" t="e">
        <f>AND(Liste!#REF!,"AAAAAH9f8Fc=")</f>
        <v>#REF!</v>
      </c>
      <c r="CK57" t="e">
        <f>AND(Liste!#REF!,"AAAAAH9f8Fg=")</f>
        <v>#REF!</v>
      </c>
      <c r="CL57" t="e">
        <f>AND(Liste!#REF!,"AAAAAH9f8Fk=")</f>
        <v>#REF!</v>
      </c>
      <c r="CM57" t="e">
        <f>AND(Liste!#REF!,"AAAAAH9f8Fo=")</f>
        <v>#REF!</v>
      </c>
      <c r="CN57" t="e">
        <f>AND(Liste!#REF!,"AAAAAH9f8Fs=")</f>
        <v>#REF!</v>
      </c>
      <c r="CO57" t="e">
        <f>AND(Liste!#REF!,"AAAAAH9f8Fw=")</f>
        <v>#REF!</v>
      </c>
      <c r="CP57" t="e">
        <f>AND(Liste!#REF!,"AAAAAH9f8F0=")</f>
        <v>#REF!</v>
      </c>
      <c r="CQ57" t="e">
        <f>AND(Liste!#REF!,"AAAAAH9f8F4=")</f>
        <v>#REF!</v>
      </c>
      <c r="CR57" t="e">
        <f>AND(Liste!#REF!,"AAAAAH9f8F8=")</f>
        <v>#REF!</v>
      </c>
      <c r="CS57" t="e">
        <f>AND(Liste!#REF!,"AAAAAH9f8GA=")</f>
        <v>#REF!</v>
      </c>
      <c r="CT57" t="e">
        <f>AND(Liste!#REF!,"AAAAAH9f8GE=")</f>
        <v>#REF!</v>
      </c>
      <c r="CU57" t="e">
        <f>AND(Liste!#REF!,"AAAAAH9f8GI=")</f>
        <v>#REF!</v>
      </c>
      <c r="CV57" t="e">
        <f>AND(Liste!#REF!,"AAAAAH9f8GM=")</f>
        <v>#REF!</v>
      </c>
      <c r="CW57" t="e">
        <f>AND(Liste!#REF!,"AAAAAH9f8GQ=")</f>
        <v>#REF!</v>
      </c>
      <c r="CX57" t="e">
        <f>AND(Liste!#REF!,"AAAAAH9f8GU=")</f>
        <v>#REF!</v>
      </c>
      <c r="CY57" t="e">
        <f>AND(Liste!#REF!,"AAAAAH9f8GY=")</f>
        <v>#REF!</v>
      </c>
      <c r="CZ57" t="e">
        <f>AND(Liste!#REF!,"AAAAAH9f8Gc=")</f>
        <v>#REF!</v>
      </c>
      <c r="DA57" t="e">
        <f>AND(Liste!#REF!,"AAAAAH9f8Gg=")</f>
        <v>#REF!</v>
      </c>
      <c r="DB57" t="e">
        <f>AND(Liste!#REF!,"AAAAAH9f8Gk=")</f>
        <v>#REF!</v>
      </c>
      <c r="DC57" t="e">
        <f>AND(Liste!#REF!,"AAAAAH9f8Go=")</f>
        <v>#REF!</v>
      </c>
      <c r="DD57" t="e">
        <f>AND(Liste!#REF!,"AAAAAH9f8Gs=")</f>
        <v>#REF!</v>
      </c>
      <c r="DE57" t="e">
        <f>AND(Liste!#REF!,"AAAAAH9f8Gw=")</f>
        <v>#REF!</v>
      </c>
      <c r="DF57" t="e">
        <f>AND(Liste!#REF!,"AAAAAH9f8G0=")</f>
        <v>#REF!</v>
      </c>
      <c r="DG57" t="e">
        <f>IF(Liste!#REF!,"AAAAAH9f8G4=",0)</f>
        <v>#REF!</v>
      </c>
      <c r="DH57" t="e">
        <f>AND(Liste!#REF!,"AAAAAH9f8G8=")</f>
        <v>#REF!</v>
      </c>
      <c r="DI57" t="e">
        <f>AND(Liste!#REF!,"AAAAAH9f8HA=")</f>
        <v>#REF!</v>
      </c>
      <c r="DJ57" t="e">
        <f>AND(Liste!#REF!,"AAAAAH9f8HE=")</f>
        <v>#REF!</v>
      </c>
      <c r="DK57" t="e">
        <f>AND(Liste!#REF!,"AAAAAH9f8HI=")</f>
        <v>#REF!</v>
      </c>
      <c r="DL57" t="e">
        <f>AND(Liste!#REF!,"AAAAAH9f8HM=")</f>
        <v>#REF!</v>
      </c>
      <c r="DM57" t="e">
        <f>AND(Liste!#REF!,"AAAAAH9f8HQ=")</f>
        <v>#REF!</v>
      </c>
      <c r="DN57" t="e">
        <f>AND(Liste!#REF!,"AAAAAH9f8HU=")</f>
        <v>#REF!</v>
      </c>
      <c r="DO57" t="e">
        <f>AND(Liste!#REF!,"AAAAAH9f8HY=")</f>
        <v>#REF!</v>
      </c>
      <c r="DP57" t="e">
        <f>AND(Liste!#REF!,"AAAAAH9f8Hc=")</f>
        <v>#REF!</v>
      </c>
      <c r="DQ57" t="e">
        <f>AND(Liste!#REF!,"AAAAAH9f8Hg=")</f>
        <v>#REF!</v>
      </c>
      <c r="DR57" t="e">
        <f>AND(Liste!#REF!,"AAAAAH9f8Hk=")</f>
        <v>#REF!</v>
      </c>
      <c r="DS57" t="e">
        <f>AND(Liste!#REF!,"AAAAAH9f8Ho=")</f>
        <v>#REF!</v>
      </c>
      <c r="DT57" t="e">
        <f>AND(Liste!#REF!,"AAAAAH9f8Hs=")</f>
        <v>#REF!</v>
      </c>
      <c r="DU57" t="e">
        <f>AND(Liste!#REF!,"AAAAAH9f8Hw=")</f>
        <v>#REF!</v>
      </c>
      <c r="DV57" t="e">
        <f>AND(Liste!#REF!,"AAAAAH9f8H0=")</f>
        <v>#REF!</v>
      </c>
      <c r="DW57" t="e">
        <f>AND(Liste!#REF!,"AAAAAH9f8H4=")</f>
        <v>#REF!</v>
      </c>
      <c r="DX57" t="e">
        <f>AND(Liste!#REF!,"AAAAAH9f8H8=")</f>
        <v>#REF!</v>
      </c>
      <c r="DY57" t="e">
        <f>AND(Liste!#REF!,"AAAAAH9f8IA=")</f>
        <v>#REF!</v>
      </c>
      <c r="DZ57" t="e">
        <f>AND(Liste!#REF!,"AAAAAH9f8IE=")</f>
        <v>#REF!</v>
      </c>
      <c r="EA57" t="e">
        <f>AND(Liste!#REF!,"AAAAAH9f8II=")</f>
        <v>#REF!</v>
      </c>
      <c r="EB57" t="e">
        <f>AND(Liste!#REF!,"AAAAAH9f8IM=")</f>
        <v>#REF!</v>
      </c>
      <c r="EC57" t="e">
        <f>AND(Liste!#REF!,"AAAAAH9f8IQ=")</f>
        <v>#REF!</v>
      </c>
      <c r="ED57" t="e">
        <f>AND(Liste!#REF!,"AAAAAH9f8IU=")</f>
        <v>#REF!</v>
      </c>
      <c r="EE57" t="e">
        <f>AND(Liste!#REF!,"AAAAAH9f8IY=")</f>
        <v>#REF!</v>
      </c>
      <c r="EF57" t="e">
        <f>AND(Liste!#REF!,"AAAAAH9f8Ic=")</f>
        <v>#REF!</v>
      </c>
      <c r="EG57" t="e">
        <f>AND(Liste!#REF!,"AAAAAH9f8Ig=")</f>
        <v>#REF!</v>
      </c>
      <c r="EH57" t="e">
        <f>AND(Liste!#REF!,"AAAAAH9f8Ik=")</f>
        <v>#REF!</v>
      </c>
      <c r="EI57" t="e">
        <f>AND(Liste!#REF!,"AAAAAH9f8Io=")</f>
        <v>#REF!</v>
      </c>
      <c r="EJ57" t="e">
        <f>AND(Liste!#REF!,"AAAAAH9f8Is=")</f>
        <v>#REF!</v>
      </c>
      <c r="EK57" t="e">
        <f>AND(Liste!#REF!,"AAAAAH9f8Iw=")</f>
        <v>#REF!</v>
      </c>
      <c r="EL57" t="e">
        <f>IF(Liste!#REF!,"AAAAAH9f8I0=",0)</f>
        <v>#REF!</v>
      </c>
      <c r="EM57" t="e">
        <f>AND(Liste!#REF!,"AAAAAH9f8I4=")</f>
        <v>#REF!</v>
      </c>
      <c r="EN57" t="e">
        <f>AND(Liste!#REF!,"AAAAAH9f8I8=")</f>
        <v>#REF!</v>
      </c>
      <c r="EO57" t="e">
        <f>AND(Liste!#REF!,"AAAAAH9f8JA=")</f>
        <v>#REF!</v>
      </c>
      <c r="EP57" t="e">
        <f>AND(Liste!#REF!,"AAAAAH9f8JE=")</f>
        <v>#REF!</v>
      </c>
      <c r="EQ57" t="e">
        <f>AND(Liste!#REF!,"AAAAAH9f8JI=")</f>
        <v>#REF!</v>
      </c>
      <c r="ER57" t="e">
        <f>AND(Liste!#REF!,"AAAAAH9f8JM=")</f>
        <v>#REF!</v>
      </c>
      <c r="ES57" t="e">
        <f>AND(Liste!#REF!,"AAAAAH9f8JQ=")</f>
        <v>#REF!</v>
      </c>
      <c r="ET57" t="e">
        <f>AND(Liste!#REF!,"AAAAAH9f8JU=")</f>
        <v>#REF!</v>
      </c>
      <c r="EU57" t="e">
        <f>AND(Liste!#REF!,"AAAAAH9f8JY=")</f>
        <v>#REF!</v>
      </c>
      <c r="EV57" t="e">
        <f>AND(Liste!#REF!,"AAAAAH9f8Jc=")</f>
        <v>#REF!</v>
      </c>
      <c r="EW57" t="e">
        <f>AND(Liste!#REF!,"AAAAAH9f8Jg=")</f>
        <v>#REF!</v>
      </c>
      <c r="EX57" t="e">
        <f>AND(Liste!#REF!,"AAAAAH9f8Jk=")</f>
        <v>#REF!</v>
      </c>
      <c r="EY57" t="e">
        <f>AND(Liste!#REF!,"AAAAAH9f8Jo=")</f>
        <v>#REF!</v>
      </c>
      <c r="EZ57" t="e">
        <f>AND(Liste!#REF!,"AAAAAH9f8Js=")</f>
        <v>#REF!</v>
      </c>
      <c r="FA57" t="e">
        <f>AND(Liste!#REF!,"AAAAAH9f8Jw=")</f>
        <v>#REF!</v>
      </c>
      <c r="FB57" t="e">
        <f>AND(Liste!#REF!,"AAAAAH9f8J0=")</f>
        <v>#REF!</v>
      </c>
      <c r="FC57" t="e">
        <f>AND(Liste!#REF!,"AAAAAH9f8J4=")</f>
        <v>#REF!</v>
      </c>
      <c r="FD57" t="e">
        <f>AND(Liste!#REF!,"AAAAAH9f8J8=")</f>
        <v>#REF!</v>
      </c>
      <c r="FE57" t="e">
        <f>AND(Liste!#REF!,"AAAAAH9f8KA=")</f>
        <v>#REF!</v>
      </c>
      <c r="FF57" t="e">
        <f>AND(Liste!#REF!,"AAAAAH9f8KE=")</f>
        <v>#REF!</v>
      </c>
      <c r="FG57" t="e">
        <f>AND(Liste!#REF!,"AAAAAH9f8KI=")</f>
        <v>#REF!</v>
      </c>
      <c r="FH57" t="e">
        <f>AND(Liste!#REF!,"AAAAAH9f8KM=")</f>
        <v>#REF!</v>
      </c>
      <c r="FI57" t="e">
        <f>AND(Liste!#REF!,"AAAAAH9f8KQ=")</f>
        <v>#REF!</v>
      </c>
      <c r="FJ57" t="e">
        <f>AND(Liste!#REF!,"AAAAAH9f8KU=")</f>
        <v>#REF!</v>
      </c>
      <c r="FK57" t="e">
        <f>AND(Liste!#REF!,"AAAAAH9f8KY=")</f>
        <v>#REF!</v>
      </c>
      <c r="FL57" t="e">
        <f>AND(Liste!#REF!,"AAAAAH9f8Kc=")</f>
        <v>#REF!</v>
      </c>
      <c r="FM57" t="e">
        <f>AND(Liste!#REF!,"AAAAAH9f8Kg=")</f>
        <v>#REF!</v>
      </c>
      <c r="FN57" t="e">
        <f>AND(Liste!#REF!,"AAAAAH9f8Kk=")</f>
        <v>#REF!</v>
      </c>
      <c r="FO57" t="e">
        <f>AND(Liste!#REF!,"AAAAAH9f8Ko=")</f>
        <v>#REF!</v>
      </c>
      <c r="FP57" t="e">
        <f>AND(Liste!#REF!,"AAAAAH9f8Ks=")</f>
        <v>#REF!</v>
      </c>
      <c r="FQ57" t="e">
        <f>IF(Liste!#REF!,"AAAAAH9f8Kw=",0)</f>
        <v>#REF!</v>
      </c>
      <c r="FR57" t="e">
        <f>AND(Liste!#REF!,"AAAAAH9f8K0=")</f>
        <v>#REF!</v>
      </c>
      <c r="FS57" t="e">
        <f>AND(Liste!#REF!,"AAAAAH9f8K4=")</f>
        <v>#REF!</v>
      </c>
      <c r="FT57" t="e">
        <f>AND(Liste!#REF!,"AAAAAH9f8K8=")</f>
        <v>#REF!</v>
      </c>
      <c r="FU57" t="e">
        <f>AND(Liste!#REF!,"AAAAAH9f8LA=")</f>
        <v>#REF!</v>
      </c>
      <c r="FV57" t="e">
        <f>AND(Liste!#REF!,"AAAAAH9f8LE=")</f>
        <v>#REF!</v>
      </c>
      <c r="FW57" t="e">
        <f>AND(Liste!#REF!,"AAAAAH9f8LI=")</f>
        <v>#REF!</v>
      </c>
      <c r="FX57" t="e">
        <f>AND(Liste!#REF!,"AAAAAH9f8LM=")</f>
        <v>#REF!</v>
      </c>
      <c r="FY57" t="e">
        <f>AND(Liste!#REF!,"AAAAAH9f8LQ=")</f>
        <v>#REF!</v>
      </c>
      <c r="FZ57" t="e">
        <f>AND(Liste!#REF!,"AAAAAH9f8LU=")</f>
        <v>#REF!</v>
      </c>
      <c r="GA57" t="e">
        <f>AND(Liste!#REF!,"AAAAAH9f8LY=")</f>
        <v>#REF!</v>
      </c>
      <c r="GB57" t="e">
        <f>AND(Liste!#REF!,"AAAAAH9f8Lc=")</f>
        <v>#REF!</v>
      </c>
      <c r="GC57" t="e">
        <f>AND(Liste!#REF!,"AAAAAH9f8Lg=")</f>
        <v>#REF!</v>
      </c>
      <c r="GD57" t="e">
        <f>AND(Liste!#REF!,"AAAAAH9f8Lk=")</f>
        <v>#REF!</v>
      </c>
      <c r="GE57" t="e">
        <f>AND(Liste!#REF!,"AAAAAH9f8Lo=")</f>
        <v>#REF!</v>
      </c>
      <c r="GF57" t="e">
        <f>AND(Liste!#REF!,"AAAAAH9f8Ls=")</f>
        <v>#REF!</v>
      </c>
      <c r="GG57" t="e">
        <f>AND(Liste!#REF!,"AAAAAH9f8Lw=")</f>
        <v>#REF!</v>
      </c>
      <c r="GH57" t="e">
        <f>AND(Liste!#REF!,"AAAAAH9f8L0=")</f>
        <v>#REF!</v>
      </c>
      <c r="GI57" t="e">
        <f>AND(Liste!#REF!,"AAAAAH9f8L4=")</f>
        <v>#REF!</v>
      </c>
      <c r="GJ57" t="e">
        <f>AND(Liste!#REF!,"AAAAAH9f8L8=")</f>
        <v>#REF!</v>
      </c>
      <c r="GK57" t="e">
        <f>AND(Liste!#REF!,"AAAAAH9f8MA=")</f>
        <v>#REF!</v>
      </c>
      <c r="GL57" t="e">
        <f>AND(Liste!#REF!,"AAAAAH9f8ME=")</f>
        <v>#REF!</v>
      </c>
      <c r="GM57" t="e">
        <f>AND(Liste!#REF!,"AAAAAH9f8MI=")</f>
        <v>#REF!</v>
      </c>
      <c r="GN57" t="e">
        <f>AND(Liste!#REF!,"AAAAAH9f8MM=")</f>
        <v>#REF!</v>
      </c>
      <c r="GO57" t="e">
        <f>AND(Liste!#REF!,"AAAAAH9f8MQ=")</f>
        <v>#REF!</v>
      </c>
      <c r="GP57" t="e">
        <f>AND(Liste!#REF!,"AAAAAH9f8MU=")</f>
        <v>#REF!</v>
      </c>
      <c r="GQ57" t="e">
        <f>AND(Liste!#REF!,"AAAAAH9f8MY=")</f>
        <v>#REF!</v>
      </c>
      <c r="GR57" t="e">
        <f>AND(Liste!#REF!,"AAAAAH9f8Mc=")</f>
        <v>#REF!</v>
      </c>
      <c r="GS57" t="e">
        <f>AND(Liste!#REF!,"AAAAAH9f8Mg=")</f>
        <v>#REF!</v>
      </c>
      <c r="GT57" t="e">
        <f>AND(Liste!#REF!,"AAAAAH9f8Mk=")</f>
        <v>#REF!</v>
      </c>
      <c r="GU57" t="e">
        <f>AND(Liste!#REF!,"AAAAAH9f8Mo=")</f>
        <v>#REF!</v>
      </c>
      <c r="GV57">
        <f>IF(Liste!437:437,"AAAAAH9f8Ms=",0)</f>
        <v>0</v>
      </c>
      <c r="GW57" t="e">
        <f>AND(Liste!A437,"AAAAAH9f8Mw=")</f>
        <v>#VALUE!</v>
      </c>
      <c r="GX57" t="e">
        <f>AND(Liste!#REF!,"AAAAAH9f8M0=")</f>
        <v>#REF!</v>
      </c>
      <c r="GY57" t="e">
        <f>AND(Liste!#REF!,"AAAAAH9f8M4=")</f>
        <v>#REF!</v>
      </c>
      <c r="GZ57" t="e">
        <f>AND(Liste!#REF!,"AAAAAH9f8M8=")</f>
        <v>#REF!</v>
      </c>
      <c r="HA57" t="e">
        <f>AND(Liste!F437,"AAAAAH9f8NA=")</f>
        <v>#VALUE!</v>
      </c>
      <c r="HB57" t="e">
        <f>AND(Liste!G437,"AAAAAH9f8NE=")</f>
        <v>#VALUE!</v>
      </c>
      <c r="HC57" t="e">
        <f>AND(Liste!#REF!,"AAAAAH9f8NI=")</f>
        <v>#REF!</v>
      </c>
      <c r="HD57" t="e">
        <f>AND(Liste!#REF!,"AAAAAH9f8NM=")</f>
        <v>#REF!</v>
      </c>
      <c r="HE57" t="e">
        <f>AND(Liste!#REF!,"AAAAAH9f8NQ=")</f>
        <v>#REF!</v>
      </c>
      <c r="HF57" t="e">
        <f>AND(Liste!F445,"AAAAAH9f8NU=")</f>
        <v>#VALUE!</v>
      </c>
      <c r="HG57" t="e">
        <f>AND(Liste!#REF!,"AAAAAH9f8NY=")</f>
        <v>#REF!</v>
      </c>
      <c r="HH57" t="e">
        <f>AND(Liste!#REF!,"AAAAAH9f8Nc=")</f>
        <v>#REF!</v>
      </c>
      <c r="HI57" t="e">
        <f>AND(Liste!#REF!,"AAAAAH9f8Ng=")</f>
        <v>#REF!</v>
      </c>
      <c r="HJ57" t="e">
        <f>AND(Liste!#REF!,"AAAAAH9f8Nk=")</f>
        <v>#REF!</v>
      </c>
      <c r="HK57" t="e">
        <f>AND(Liste!#REF!,"AAAAAH9f8No=")</f>
        <v>#REF!</v>
      </c>
      <c r="HL57" t="e">
        <f>AND(Liste!#REF!,"AAAAAH9f8Ns=")</f>
        <v>#REF!</v>
      </c>
      <c r="HM57" t="e">
        <f>AND(Liste!#REF!,"AAAAAH9f8Nw=")</f>
        <v>#REF!</v>
      </c>
      <c r="HN57" t="e">
        <f>AND(Liste!#REF!,"AAAAAH9f8N0=")</f>
        <v>#REF!</v>
      </c>
      <c r="HO57" t="e">
        <f>AND(Liste!#REF!,"AAAAAH9f8N4=")</f>
        <v>#REF!</v>
      </c>
      <c r="HP57" t="e">
        <f>AND(Liste!#REF!,"AAAAAH9f8N8=")</f>
        <v>#REF!</v>
      </c>
      <c r="HQ57" t="e">
        <f>AND(Liste!#REF!,"AAAAAH9f8OA=")</f>
        <v>#REF!</v>
      </c>
      <c r="HR57" t="e">
        <f>AND(Liste!#REF!,"AAAAAH9f8OE=")</f>
        <v>#REF!</v>
      </c>
      <c r="HS57" t="e">
        <f>AND(Liste!#REF!,"AAAAAH9f8OI=")</f>
        <v>#REF!</v>
      </c>
      <c r="HT57" t="e">
        <f>AND(Liste!#REF!,"AAAAAH9f8OM=")</f>
        <v>#REF!</v>
      </c>
      <c r="HU57" t="e">
        <f>AND(Liste!#REF!,"AAAAAH9f8OQ=")</f>
        <v>#REF!</v>
      </c>
      <c r="HV57" t="e">
        <f>AND(Liste!#REF!,"AAAAAH9f8OU=")</f>
        <v>#REF!</v>
      </c>
      <c r="HW57" t="e">
        <f>AND(Liste!#REF!,"AAAAAH9f8OY=")</f>
        <v>#REF!</v>
      </c>
      <c r="HX57" t="e">
        <f>AND(Liste!#REF!,"AAAAAH9f8Oc=")</f>
        <v>#REF!</v>
      </c>
      <c r="HY57" t="e">
        <f>AND(Liste!#REF!,"AAAAAH9f8Og=")</f>
        <v>#REF!</v>
      </c>
      <c r="HZ57" t="e">
        <f>AND(Liste!#REF!,"AAAAAH9f8Ok=")</f>
        <v>#REF!</v>
      </c>
      <c r="IA57">
        <f>IF(Liste!438:438,"AAAAAH9f8Oo=",0)</f>
        <v>0</v>
      </c>
      <c r="IB57" t="e">
        <f>AND(Liste!A438,"AAAAAH9f8Os=")</f>
        <v>#VALUE!</v>
      </c>
      <c r="IC57" t="e">
        <f>AND(Liste!#REF!,"AAAAAH9f8Ow=")</f>
        <v>#REF!</v>
      </c>
      <c r="ID57" t="e">
        <f>AND(Liste!#REF!,"AAAAAH9f8O0=")</f>
        <v>#REF!</v>
      </c>
      <c r="IE57" t="e">
        <f>AND(Liste!#REF!,"AAAAAH9f8O4=")</f>
        <v>#REF!</v>
      </c>
      <c r="IF57" t="e">
        <f>AND(Liste!F438,"AAAAAH9f8O8=")</f>
        <v>#VALUE!</v>
      </c>
      <c r="IG57" t="e">
        <f>AND(Liste!G438,"AAAAAH9f8PA=")</f>
        <v>#VALUE!</v>
      </c>
      <c r="IH57" t="e">
        <f>AND(Liste!H438,"AAAAAH9f8PE=")</f>
        <v>#VALUE!</v>
      </c>
      <c r="II57" t="e">
        <f>AND(Liste!I438,"AAAAAH9f8PI=")</f>
        <v>#VALUE!</v>
      </c>
      <c r="IJ57" t="e">
        <f>AND(Liste!J438,"AAAAAH9f8PM=")</f>
        <v>#VALUE!</v>
      </c>
      <c r="IK57" t="e">
        <f>AND(Liste!#REF!,"AAAAAH9f8PQ=")</f>
        <v>#REF!</v>
      </c>
      <c r="IL57" t="e">
        <f>AND(Liste!#REF!,"AAAAAH9f8PU=")</f>
        <v>#REF!</v>
      </c>
      <c r="IM57" t="e">
        <f>AND(Liste!#REF!,"AAAAAH9f8PY=")</f>
        <v>#REF!</v>
      </c>
      <c r="IN57" t="e">
        <f>AND(Liste!#REF!,"AAAAAH9f8Pc=")</f>
        <v>#REF!</v>
      </c>
      <c r="IO57" t="e">
        <f>AND(Liste!#REF!,"AAAAAH9f8Pg=")</f>
        <v>#REF!</v>
      </c>
      <c r="IP57" t="e">
        <f>AND(Liste!#REF!,"AAAAAH9f8Pk=")</f>
        <v>#REF!</v>
      </c>
      <c r="IQ57" t="e">
        <f>AND(Liste!#REF!,"AAAAAH9f8Po=")</f>
        <v>#REF!</v>
      </c>
      <c r="IR57" t="e">
        <f>AND(Liste!#REF!,"AAAAAH9f8Ps=")</f>
        <v>#REF!</v>
      </c>
      <c r="IS57" t="e">
        <f>AND(Liste!#REF!,"AAAAAH9f8Pw=")</f>
        <v>#REF!</v>
      </c>
      <c r="IT57" t="e">
        <f>AND(Liste!#REF!,"AAAAAH9f8P0=")</f>
        <v>#REF!</v>
      </c>
      <c r="IU57" t="e">
        <f>AND(Liste!#REF!,"AAAAAH9f8P4=")</f>
        <v>#REF!</v>
      </c>
      <c r="IV57" t="e">
        <f>AND(Liste!#REF!,"AAAAAH9f8P8=")</f>
        <v>#REF!</v>
      </c>
    </row>
    <row r="58" spans="1:256" x14ac:dyDescent="0.2">
      <c r="A58" t="e">
        <f>AND(Liste!#REF!,"AAAAAD+tfgA=")</f>
        <v>#REF!</v>
      </c>
      <c r="B58" t="e">
        <f>AND(Liste!#REF!,"AAAAAD+tfgE=")</f>
        <v>#REF!</v>
      </c>
      <c r="C58" t="e">
        <f>AND(Liste!#REF!,"AAAAAD+tfgI=")</f>
        <v>#REF!</v>
      </c>
      <c r="D58" t="e">
        <f>AND(Liste!#REF!,"AAAAAD+tfgM=")</f>
        <v>#REF!</v>
      </c>
      <c r="E58" t="e">
        <f>AND(Liste!#REF!,"AAAAAD+tfgQ=")</f>
        <v>#REF!</v>
      </c>
      <c r="F58" t="e">
        <f>AND(Liste!#REF!,"AAAAAD+tfgU=")</f>
        <v>#REF!</v>
      </c>
      <c r="G58" t="e">
        <f>AND(Liste!#REF!,"AAAAAD+tfgY=")</f>
        <v>#REF!</v>
      </c>
      <c r="H58" t="e">
        <f>AND(Liste!#REF!,"AAAAAD+tfgc=")</f>
        <v>#REF!</v>
      </c>
      <c r="I58" t="e">
        <f>AND(Liste!#REF!,"AAAAAD+tfgg=")</f>
        <v>#REF!</v>
      </c>
      <c r="J58">
        <f>IF(Liste!439:439,"AAAAAD+tfgk=",0)</f>
        <v>0</v>
      </c>
      <c r="K58" t="b">
        <f>AND(Liste!A439,"AAAAAD+tfgo=")</f>
        <v>1</v>
      </c>
      <c r="L58" t="e">
        <f>AND(Liste!#REF!,"AAAAAD+tfgs=")</f>
        <v>#REF!</v>
      </c>
      <c r="M58" t="e">
        <f>AND(Liste!#REF!,"AAAAAD+tfgw=")</f>
        <v>#REF!</v>
      </c>
      <c r="N58" t="e">
        <f>AND(Liste!#REF!,"AAAAAD+tfg0=")</f>
        <v>#REF!</v>
      </c>
      <c r="O58" t="e">
        <f>AND(Liste!F439,"AAAAAD+tfg4=")</f>
        <v>#VALUE!</v>
      </c>
      <c r="P58" t="e">
        <f>AND(Liste!G439,"AAAAAD+tfg8=")</f>
        <v>#VALUE!</v>
      </c>
      <c r="Q58" t="e">
        <f>AND(Liste!H439,"AAAAAD+tfhA=")</f>
        <v>#VALUE!</v>
      </c>
      <c r="R58" t="e">
        <f>AND(Liste!I439,"AAAAAD+tfhE=")</f>
        <v>#VALUE!</v>
      </c>
      <c r="S58" t="e">
        <f>AND(Liste!J439,"AAAAAD+tfhI=")</f>
        <v>#VALUE!</v>
      </c>
      <c r="T58" t="e">
        <f>AND(Liste!#REF!,"AAAAAD+tfhM=")</f>
        <v>#REF!</v>
      </c>
      <c r="U58" t="e">
        <f>AND(Liste!#REF!,"AAAAAD+tfhQ=")</f>
        <v>#REF!</v>
      </c>
      <c r="V58" t="e">
        <f>AND(Liste!#REF!,"AAAAAD+tfhU=")</f>
        <v>#REF!</v>
      </c>
      <c r="W58" t="e">
        <f>AND(Liste!#REF!,"AAAAAD+tfhY=")</f>
        <v>#REF!</v>
      </c>
      <c r="X58" t="e">
        <f>AND(Liste!#REF!,"AAAAAD+tfhc=")</f>
        <v>#REF!</v>
      </c>
      <c r="Y58" t="e">
        <f>AND(Liste!#REF!,"AAAAAD+tfhg=")</f>
        <v>#REF!</v>
      </c>
      <c r="Z58" t="e">
        <f>AND(Liste!#REF!,"AAAAAD+tfhk=")</f>
        <v>#REF!</v>
      </c>
      <c r="AA58" t="e">
        <f>AND(Liste!#REF!,"AAAAAD+tfho=")</f>
        <v>#REF!</v>
      </c>
      <c r="AB58" t="e">
        <f>AND(Liste!#REF!,"AAAAAD+tfhs=")</f>
        <v>#REF!</v>
      </c>
      <c r="AC58" t="e">
        <f>AND(Liste!#REF!,"AAAAAD+tfhw=")</f>
        <v>#REF!</v>
      </c>
      <c r="AD58" t="e">
        <f>AND(Liste!#REF!,"AAAAAD+tfh0=")</f>
        <v>#REF!</v>
      </c>
      <c r="AE58" t="e">
        <f>AND(Liste!#REF!,"AAAAAD+tfh4=")</f>
        <v>#REF!</v>
      </c>
      <c r="AF58" t="e">
        <f>AND(Liste!#REF!,"AAAAAD+tfh8=")</f>
        <v>#REF!</v>
      </c>
      <c r="AG58" t="e">
        <f>AND(Liste!#REF!,"AAAAAD+tfiA=")</f>
        <v>#REF!</v>
      </c>
      <c r="AH58" t="e">
        <f>AND(Liste!#REF!,"AAAAAD+tfiE=")</f>
        <v>#REF!</v>
      </c>
      <c r="AI58" t="e">
        <f>AND(Liste!#REF!,"AAAAAD+tfiI=")</f>
        <v>#REF!</v>
      </c>
      <c r="AJ58" t="e">
        <f>AND(Liste!#REF!,"AAAAAD+tfiM=")</f>
        <v>#REF!</v>
      </c>
      <c r="AK58" t="e">
        <f>AND(Liste!#REF!,"AAAAAD+tfiQ=")</f>
        <v>#REF!</v>
      </c>
      <c r="AL58" t="e">
        <f>AND(Liste!#REF!,"AAAAAD+tfiU=")</f>
        <v>#REF!</v>
      </c>
      <c r="AM58" t="e">
        <f>AND(Liste!#REF!,"AAAAAD+tfiY=")</f>
        <v>#REF!</v>
      </c>
      <c r="AN58" t="e">
        <f>AND(Liste!#REF!,"AAAAAD+tfic=")</f>
        <v>#REF!</v>
      </c>
      <c r="AO58">
        <f>IF(Liste!440:440,"AAAAAD+tfig=",0)</f>
        <v>0</v>
      </c>
      <c r="AP58" t="b">
        <f>AND(Liste!A440,"AAAAAD+tfik=")</f>
        <v>1</v>
      </c>
      <c r="AQ58" t="e">
        <f>AND(Liste!#REF!,"AAAAAD+tfio=")</f>
        <v>#REF!</v>
      </c>
      <c r="AR58" t="e">
        <f>AND(Liste!#REF!,"AAAAAD+tfis=")</f>
        <v>#REF!</v>
      </c>
      <c r="AS58" t="e">
        <f>AND(Liste!#REF!,"AAAAAD+tfiw=")</f>
        <v>#REF!</v>
      </c>
      <c r="AT58" t="e">
        <f>AND(Liste!F440,"AAAAAD+tfi0=")</f>
        <v>#VALUE!</v>
      </c>
      <c r="AU58" t="e">
        <f>AND(Liste!G440,"AAAAAD+tfi4=")</f>
        <v>#VALUE!</v>
      </c>
      <c r="AV58" t="e">
        <f>AND(Liste!H440,"AAAAAD+tfi8=")</f>
        <v>#VALUE!</v>
      </c>
      <c r="AW58" t="e">
        <f>AND(Liste!I440,"AAAAAD+tfjA=")</f>
        <v>#VALUE!</v>
      </c>
      <c r="AX58" t="e">
        <f>AND(Liste!J440,"AAAAAD+tfjE=")</f>
        <v>#VALUE!</v>
      </c>
      <c r="AY58" t="e">
        <f>AND(Liste!#REF!,"AAAAAD+tfjI=")</f>
        <v>#REF!</v>
      </c>
      <c r="AZ58" t="e">
        <f>AND(Liste!#REF!,"AAAAAD+tfjM=")</f>
        <v>#REF!</v>
      </c>
      <c r="BA58" t="e">
        <f>AND(Liste!#REF!,"AAAAAD+tfjQ=")</f>
        <v>#REF!</v>
      </c>
      <c r="BB58" t="e">
        <f>AND(Liste!#REF!,"AAAAAD+tfjU=")</f>
        <v>#REF!</v>
      </c>
      <c r="BC58" t="e">
        <f>AND(Liste!#REF!,"AAAAAD+tfjY=")</f>
        <v>#REF!</v>
      </c>
      <c r="BD58" t="e">
        <f>AND(Liste!#REF!,"AAAAAD+tfjc=")</f>
        <v>#REF!</v>
      </c>
      <c r="BE58" t="e">
        <f>AND(Liste!#REF!,"AAAAAD+tfjg=")</f>
        <v>#REF!</v>
      </c>
      <c r="BF58" t="e">
        <f>AND(Liste!#REF!,"AAAAAD+tfjk=")</f>
        <v>#REF!</v>
      </c>
      <c r="BG58" t="e">
        <f>AND(Liste!#REF!,"AAAAAD+tfjo=")</f>
        <v>#REF!</v>
      </c>
      <c r="BH58" t="e">
        <f>AND(Liste!#REF!,"AAAAAD+tfjs=")</f>
        <v>#REF!</v>
      </c>
      <c r="BI58" t="e">
        <f>AND(Liste!#REF!,"AAAAAD+tfjw=")</f>
        <v>#REF!</v>
      </c>
      <c r="BJ58" t="e">
        <f>AND(Liste!#REF!,"AAAAAD+tfj0=")</f>
        <v>#REF!</v>
      </c>
      <c r="BK58" t="e">
        <f>AND(Liste!#REF!,"AAAAAD+tfj4=")</f>
        <v>#REF!</v>
      </c>
      <c r="BL58" t="e">
        <f>AND(Liste!#REF!,"AAAAAD+tfj8=")</f>
        <v>#REF!</v>
      </c>
      <c r="BM58" t="e">
        <f>AND(Liste!#REF!,"AAAAAD+tfkA=")</f>
        <v>#REF!</v>
      </c>
      <c r="BN58" t="e">
        <f>AND(Liste!#REF!,"AAAAAD+tfkE=")</f>
        <v>#REF!</v>
      </c>
      <c r="BO58" t="e">
        <f>AND(Liste!#REF!,"AAAAAD+tfkI=")</f>
        <v>#REF!</v>
      </c>
      <c r="BP58" t="e">
        <f>AND(Liste!#REF!,"AAAAAD+tfkM=")</f>
        <v>#REF!</v>
      </c>
      <c r="BQ58" t="e">
        <f>AND(Liste!#REF!,"AAAAAD+tfkQ=")</f>
        <v>#REF!</v>
      </c>
      <c r="BR58" t="e">
        <f>AND(Liste!#REF!,"AAAAAD+tfkU=")</f>
        <v>#REF!</v>
      </c>
      <c r="BS58" t="e">
        <f>AND(Liste!#REF!,"AAAAAD+tfkY=")</f>
        <v>#REF!</v>
      </c>
      <c r="BT58">
        <f>IF(Liste!441:441,"AAAAAD+tfkc=",0)</f>
        <v>0</v>
      </c>
      <c r="BU58" t="b">
        <f>AND(Liste!A441,"AAAAAD+tfkg=")</f>
        <v>1</v>
      </c>
      <c r="BV58" t="e">
        <f>AND(Liste!#REF!,"AAAAAD+tfkk=")</f>
        <v>#REF!</v>
      </c>
      <c r="BW58" t="e">
        <f>AND(Liste!#REF!,"AAAAAD+tfko=")</f>
        <v>#REF!</v>
      </c>
      <c r="BX58" t="e">
        <f>AND(Liste!#REF!,"AAAAAD+tfks=")</f>
        <v>#REF!</v>
      </c>
      <c r="BY58" t="e">
        <f>AND(Liste!F441,"AAAAAD+tfkw=")</f>
        <v>#VALUE!</v>
      </c>
      <c r="BZ58" t="e">
        <f>AND(Liste!G441,"AAAAAD+tfk0=")</f>
        <v>#VALUE!</v>
      </c>
      <c r="CA58" t="e">
        <f>AND(Liste!H441,"AAAAAD+tfk4=")</f>
        <v>#VALUE!</v>
      </c>
      <c r="CB58" t="e">
        <f>AND(Liste!I441,"AAAAAD+tfk8=")</f>
        <v>#VALUE!</v>
      </c>
      <c r="CC58" t="e">
        <f>AND(Liste!J441,"AAAAAD+tflA=")</f>
        <v>#VALUE!</v>
      </c>
      <c r="CD58" t="e">
        <f>AND(Liste!#REF!,"AAAAAD+tflE=")</f>
        <v>#REF!</v>
      </c>
      <c r="CE58" t="e">
        <f>AND(Liste!#REF!,"AAAAAD+tflI=")</f>
        <v>#REF!</v>
      </c>
      <c r="CF58" t="e">
        <f>AND(Liste!#REF!,"AAAAAD+tflM=")</f>
        <v>#REF!</v>
      </c>
      <c r="CG58" t="e">
        <f>AND(Liste!#REF!,"AAAAAD+tflQ=")</f>
        <v>#REF!</v>
      </c>
      <c r="CH58" t="e">
        <f>AND(Liste!#REF!,"AAAAAD+tflU=")</f>
        <v>#REF!</v>
      </c>
      <c r="CI58" t="e">
        <f>AND(Liste!#REF!,"AAAAAD+tflY=")</f>
        <v>#REF!</v>
      </c>
      <c r="CJ58" t="e">
        <f>AND(Liste!#REF!,"AAAAAD+tflc=")</f>
        <v>#REF!</v>
      </c>
      <c r="CK58" t="e">
        <f>AND(Liste!#REF!,"AAAAAD+tflg=")</f>
        <v>#REF!</v>
      </c>
      <c r="CL58" t="e">
        <f>AND(Liste!#REF!,"AAAAAD+tflk=")</f>
        <v>#REF!</v>
      </c>
      <c r="CM58" t="e">
        <f>AND(Liste!#REF!,"AAAAAD+tflo=")</f>
        <v>#REF!</v>
      </c>
      <c r="CN58" t="e">
        <f>AND(Liste!#REF!,"AAAAAD+tfls=")</f>
        <v>#REF!</v>
      </c>
      <c r="CO58" t="e">
        <f>AND(Liste!#REF!,"AAAAAD+tflw=")</f>
        <v>#REF!</v>
      </c>
      <c r="CP58" t="e">
        <f>AND(Liste!#REF!,"AAAAAD+tfl0=")</f>
        <v>#REF!</v>
      </c>
      <c r="CQ58" t="e">
        <f>AND(Liste!#REF!,"AAAAAD+tfl4=")</f>
        <v>#REF!</v>
      </c>
      <c r="CR58" t="e">
        <f>AND(Liste!#REF!,"AAAAAD+tfl8=")</f>
        <v>#REF!</v>
      </c>
      <c r="CS58" t="e">
        <f>AND(Liste!#REF!,"AAAAAD+tfmA=")</f>
        <v>#REF!</v>
      </c>
      <c r="CT58" t="e">
        <f>AND(Liste!#REF!,"AAAAAD+tfmE=")</f>
        <v>#REF!</v>
      </c>
      <c r="CU58" t="e">
        <f>AND(Liste!#REF!,"AAAAAD+tfmI=")</f>
        <v>#REF!</v>
      </c>
      <c r="CV58" t="e">
        <f>AND(Liste!#REF!,"AAAAAD+tfmM=")</f>
        <v>#REF!</v>
      </c>
      <c r="CW58" t="e">
        <f>AND(Liste!#REF!,"AAAAAD+tfmQ=")</f>
        <v>#REF!</v>
      </c>
      <c r="CX58" t="e">
        <f>AND(Liste!#REF!,"AAAAAD+tfmU=")</f>
        <v>#REF!</v>
      </c>
      <c r="CY58">
        <f>IF(Liste!442:442,"AAAAAD+tfmY=",0)</f>
        <v>0</v>
      </c>
      <c r="CZ58" t="b">
        <f>AND(Liste!A442,"AAAAAD+tfmc=")</f>
        <v>1</v>
      </c>
      <c r="DA58" t="e">
        <f>AND(Liste!#REF!,"AAAAAD+tfmg=")</f>
        <v>#REF!</v>
      </c>
      <c r="DB58" t="e">
        <f>AND(Liste!#REF!,"AAAAAD+tfmk=")</f>
        <v>#REF!</v>
      </c>
      <c r="DC58" t="e">
        <f>AND(Liste!#REF!,"AAAAAD+tfmo=")</f>
        <v>#REF!</v>
      </c>
      <c r="DD58" t="e">
        <f>AND(Liste!F442,"AAAAAD+tfms=")</f>
        <v>#VALUE!</v>
      </c>
      <c r="DE58" t="e">
        <f>AND(Liste!G442,"AAAAAD+tfmw=")</f>
        <v>#VALUE!</v>
      </c>
      <c r="DF58" t="e">
        <f>AND(Liste!H442,"AAAAAD+tfm0=")</f>
        <v>#VALUE!</v>
      </c>
      <c r="DG58" t="e">
        <f>AND(Liste!I442,"AAAAAD+tfm4=")</f>
        <v>#VALUE!</v>
      </c>
      <c r="DH58" t="e">
        <f>AND(Liste!J442,"AAAAAD+tfm8=")</f>
        <v>#VALUE!</v>
      </c>
      <c r="DI58" t="e">
        <f>AND(Liste!#REF!,"AAAAAD+tfnA=")</f>
        <v>#REF!</v>
      </c>
      <c r="DJ58" t="e">
        <f>AND(Liste!#REF!,"AAAAAD+tfnE=")</f>
        <v>#REF!</v>
      </c>
      <c r="DK58" t="e">
        <f>AND(Liste!#REF!,"AAAAAD+tfnI=")</f>
        <v>#REF!</v>
      </c>
      <c r="DL58" t="e">
        <f>AND(Liste!#REF!,"AAAAAD+tfnM=")</f>
        <v>#REF!</v>
      </c>
      <c r="DM58" t="e">
        <f>AND(Liste!#REF!,"AAAAAD+tfnQ=")</f>
        <v>#REF!</v>
      </c>
      <c r="DN58" t="e">
        <f>AND(Liste!#REF!,"AAAAAD+tfnU=")</f>
        <v>#REF!</v>
      </c>
      <c r="DO58" t="e">
        <f>AND(Liste!#REF!,"AAAAAD+tfnY=")</f>
        <v>#REF!</v>
      </c>
      <c r="DP58" t="e">
        <f>AND(Liste!#REF!,"AAAAAD+tfnc=")</f>
        <v>#REF!</v>
      </c>
      <c r="DQ58" t="e">
        <f>AND(Liste!#REF!,"AAAAAD+tfng=")</f>
        <v>#REF!</v>
      </c>
      <c r="DR58" t="e">
        <f>AND(Liste!#REF!,"AAAAAD+tfnk=")</f>
        <v>#REF!</v>
      </c>
      <c r="DS58" t="e">
        <f>AND(Liste!#REF!,"AAAAAD+tfno=")</f>
        <v>#REF!</v>
      </c>
      <c r="DT58" t="e">
        <f>AND(Liste!#REF!,"AAAAAD+tfns=")</f>
        <v>#REF!</v>
      </c>
      <c r="DU58" t="e">
        <f>AND(Liste!#REF!,"AAAAAD+tfnw=")</f>
        <v>#REF!</v>
      </c>
      <c r="DV58" t="e">
        <f>AND(Liste!#REF!,"AAAAAD+tfn0=")</f>
        <v>#REF!</v>
      </c>
      <c r="DW58" t="e">
        <f>AND(Liste!#REF!,"AAAAAD+tfn4=")</f>
        <v>#REF!</v>
      </c>
      <c r="DX58" t="e">
        <f>AND(Liste!#REF!,"AAAAAD+tfn8=")</f>
        <v>#REF!</v>
      </c>
      <c r="DY58" t="e">
        <f>AND(Liste!#REF!,"AAAAAD+tfoA=")</f>
        <v>#REF!</v>
      </c>
      <c r="DZ58" t="e">
        <f>AND(Liste!#REF!,"AAAAAD+tfoE=")</f>
        <v>#REF!</v>
      </c>
      <c r="EA58" t="e">
        <f>AND(Liste!#REF!,"AAAAAD+tfoI=")</f>
        <v>#REF!</v>
      </c>
      <c r="EB58" t="e">
        <f>AND(Liste!#REF!,"AAAAAD+tfoM=")</f>
        <v>#REF!</v>
      </c>
      <c r="EC58" t="e">
        <f>AND(Liste!#REF!,"AAAAAD+tfoQ=")</f>
        <v>#REF!</v>
      </c>
      <c r="ED58">
        <f>IF(Liste!443:443,"AAAAAD+tfoU=",0)</f>
        <v>0</v>
      </c>
      <c r="EE58" t="b">
        <f>AND(Liste!A443,"AAAAAD+tfoY=")</f>
        <v>1</v>
      </c>
      <c r="EF58" t="e">
        <f>AND(Liste!#REF!,"AAAAAD+tfoc=")</f>
        <v>#REF!</v>
      </c>
      <c r="EG58" t="e">
        <f>AND(Liste!#REF!,"AAAAAD+tfog=")</f>
        <v>#REF!</v>
      </c>
      <c r="EH58" t="e">
        <f>AND(Liste!#REF!,"AAAAAD+tfok=")</f>
        <v>#REF!</v>
      </c>
      <c r="EI58" t="e">
        <f>AND(Liste!F443,"AAAAAD+tfoo=")</f>
        <v>#VALUE!</v>
      </c>
      <c r="EJ58" t="e">
        <f>AND(Liste!G443,"AAAAAD+tfos=")</f>
        <v>#VALUE!</v>
      </c>
      <c r="EK58" t="e">
        <f>AND(Liste!H443,"AAAAAD+tfow=")</f>
        <v>#VALUE!</v>
      </c>
      <c r="EL58" t="e">
        <f>AND(Liste!I443,"AAAAAD+tfo0=")</f>
        <v>#VALUE!</v>
      </c>
      <c r="EM58" t="e">
        <f>AND(Liste!J443,"AAAAAD+tfo4=")</f>
        <v>#VALUE!</v>
      </c>
      <c r="EN58" t="e">
        <f>AND(Liste!#REF!,"AAAAAD+tfo8=")</f>
        <v>#REF!</v>
      </c>
      <c r="EO58" t="e">
        <f>AND(Liste!#REF!,"AAAAAD+tfpA=")</f>
        <v>#REF!</v>
      </c>
      <c r="EP58" t="e">
        <f>AND(Liste!#REF!,"AAAAAD+tfpE=")</f>
        <v>#REF!</v>
      </c>
      <c r="EQ58" t="e">
        <f>AND(Liste!#REF!,"AAAAAD+tfpI=")</f>
        <v>#REF!</v>
      </c>
      <c r="ER58" t="e">
        <f>AND(Liste!#REF!,"AAAAAD+tfpM=")</f>
        <v>#REF!</v>
      </c>
      <c r="ES58" t="e">
        <f>AND(Liste!#REF!,"AAAAAD+tfpQ=")</f>
        <v>#REF!</v>
      </c>
      <c r="ET58" t="e">
        <f>AND(Liste!#REF!,"AAAAAD+tfpU=")</f>
        <v>#REF!</v>
      </c>
      <c r="EU58" t="e">
        <f>AND(Liste!#REF!,"AAAAAD+tfpY=")</f>
        <v>#REF!</v>
      </c>
      <c r="EV58" t="e">
        <f>AND(Liste!#REF!,"AAAAAD+tfpc=")</f>
        <v>#REF!</v>
      </c>
      <c r="EW58" t="e">
        <f>AND(Liste!#REF!,"AAAAAD+tfpg=")</f>
        <v>#REF!</v>
      </c>
      <c r="EX58" t="e">
        <f>AND(Liste!#REF!,"AAAAAD+tfpk=")</f>
        <v>#REF!</v>
      </c>
      <c r="EY58" t="e">
        <f>AND(Liste!#REF!,"AAAAAD+tfpo=")</f>
        <v>#REF!</v>
      </c>
      <c r="EZ58" t="e">
        <f>AND(Liste!#REF!,"AAAAAD+tfps=")</f>
        <v>#REF!</v>
      </c>
      <c r="FA58" t="e">
        <f>AND(Liste!#REF!,"AAAAAD+tfpw=")</f>
        <v>#REF!</v>
      </c>
      <c r="FB58" t="e">
        <f>AND(Liste!#REF!,"AAAAAD+tfp0=")</f>
        <v>#REF!</v>
      </c>
      <c r="FC58" t="e">
        <f>AND(Liste!#REF!,"AAAAAD+tfp4=")</f>
        <v>#REF!</v>
      </c>
      <c r="FD58" t="e">
        <f>AND(Liste!#REF!,"AAAAAD+tfp8=")</f>
        <v>#REF!</v>
      </c>
      <c r="FE58" t="e">
        <f>AND(Liste!#REF!,"AAAAAD+tfqA=")</f>
        <v>#REF!</v>
      </c>
      <c r="FF58" t="e">
        <f>AND(Liste!#REF!,"AAAAAD+tfqE=")</f>
        <v>#REF!</v>
      </c>
      <c r="FG58" t="e">
        <f>AND(Liste!#REF!,"AAAAAD+tfqI=")</f>
        <v>#REF!</v>
      </c>
      <c r="FH58" t="e">
        <f>AND(Liste!#REF!,"AAAAAD+tfqM=")</f>
        <v>#REF!</v>
      </c>
      <c r="FI58">
        <f>IF(Liste!444:444,"AAAAAD+tfqQ=",0)</f>
        <v>0</v>
      </c>
      <c r="FJ58" t="b">
        <f>AND(Liste!A444,"AAAAAD+tfqU=")</f>
        <v>1</v>
      </c>
      <c r="FK58" t="e">
        <f>AND(Liste!#REF!,"AAAAAD+tfqY=")</f>
        <v>#REF!</v>
      </c>
      <c r="FL58" t="e">
        <f>AND(Liste!#REF!,"AAAAAD+tfqc=")</f>
        <v>#REF!</v>
      </c>
      <c r="FM58" t="e">
        <f>AND(Liste!#REF!,"AAAAAD+tfqg=")</f>
        <v>#REF!</v>
      </c>
      <c r="FN58" t="e">
        <f>AND(Liste!F444,"AAAAAD+tfqk=")</f>
        <v>#VALUE!</v>
      </c>
      <c r="FO58" t="e">
        <f>AND(Liste!G444,"AAAAAD+tfqo=")</f>
        <v>#VALUE!</v>
      </c>
      <c r="FP58" t="e">
        <f>AND(Liste!H444,"AAAAAD+tfqs=")</f>
        <v>#VALUE!</v>
      </c>
      <c r="FQ58" t="e">
        <f>AND(Liste!I444,"AAAAAD+tfqw=")</f>
        <v>#VALUE!</v>
      </c>
      <c r="FR58" t="e">
        <f>AND(Liste!J444,"AAAAAD+tfq0=")</f>
        <v>#VALUE!</v>
      </c>
      <c r="FS58" t="e">
        <f>AND(Liste!#REF!,"AAAAAD+tfq4=")</f>
        <v>#REF!</v>
      </c>
      <c r="FT58" t="e">
        <f>AND(Liste!#REF!,"AAAAAD+tfq8=")</f>
        <v>#REF!</v>
      </c>
      <c r="FU58" t="e">
        <f>AND(Liste!#REF!,"AAAAAD+tfrA=")</f>
        <v>#REF!</v>
      </c>
      <c r="FV58" t="e">
        <f>AND(Liste!#REF!,"AAAAAD+tfrE=")</f>
        <v>#REF!</v>
      </c>
      <c r="FW58" t="e">
        <f>AND(Liste!#REF!,"AAAAAD+tfrI=")</f>
        <v>#REF!</v>
      </c>
      <c r="FX58" t="e">
        <f>AND(Liste!#REF!,"AAAAAD+tfrM=")</f>
        <v>#REF!</v>
      </c>
      <c r="FY58" t="e">
        <f>AND(Liste!#REF!,"AAAAAD+tfrQ=")</f>
        <v>#REF!</v>
      </c>
      <c r="FZ58" t="e">
        <f>AND(Liste!#REF!,"AAAAAD+tfrU=")</f>
        <v>#REF!</v>
      </c>
      <c r="GA58" t="e">
        <f>AND(Liste!#REF!,"AAAAAD+tfrY=")</f>
        <v>#REF!</v>
      </c>
      <c r="GB58" t="e">
        <f>AND(Liste!#REF!,"AAAAAD+tfrc=")</f>
        <v>#REF!</v>
      </c>
      <c r="GC58" t="e">
        <f>AND(Liste!#REF!,"AAAAAD+tfrg=")</f>
        <v>#REF!</v>
      </c>
      <c r="GD58" t="e">
        <f>AND(Liste!#REF!,"AAAAAD+tfrk=")</f>
        <v>#REF!</v>
      </c>
      <c r="GE58" t="e">
        <f>AND(Liste!#REF!,"AAAAAD+tfro=")</f>
        <v>#REF!</v>
      </c>
      <c r="GF58" t="e">
        <f>AND(Liste!#REF!,"AAAAAD+tfrs=")</f>
        <v>#REF!</v>
      </c>
      <c r="GG58" t="e">
        <f>AND(Liste!#REF!,"AAAAAD+tfrw=")</f>
        <v>#REF!</v>
      </c>
      <c r="GH58" t="e">
        <f>AND(Liste!#REF!,"AAAAAD+tfr0=")</f>
        <v>#REF!</v>
      </c>
      <c r="GI58" t="e">
        <f>AND(Liste!#REF!,"AAAAAD+tfr4=")</f>
        <v>#REF!</v>
      </c>
      <c r="GJ58" t="e">
        <f>AND(Liste!#REF!,"AAAAAD+tfr8=")</f>
        <v>#REF!</v>
      </c>
      <c r="GK58" t="e">
        <f>AND(Liste!#REF!,"AAAAAD+tfsA=")</f>
        <v>#REF!</v>
      </c>
      <c r="GL58" t="e">
        <f>AND(Liste!#REF!,"AAAAAD+tfsE=")</f>
        <v>#REF!</v>
      </c>
      <c r="GM58" t="e">
        <f>AND(Liste!#REF!,"AAAAAD+tfsI=")</f>
        <v>#REF!</v>
      </c>
      <c r="GN58">
        <f>IF(Liste!445:445,"AAAAAD+tfsM=",0)</f>
        <v>0</v>
      </c>
      <c r="GO58" t="b">
        <f>AND(Liste!A445,"AAAAAD+tfsQ=")</f>
        <v>1</v>
      </c>
      <c r="GP58" t="e">
        <f>AND(Liste!#REF!,"AAAAAD+tfsU=")</f>
        <v>#REF!</v>
      </c>
      <c r="GQ58" t="e">
        <f>AND(Liste!#REF!,"AAAAAD+tfsY=")</f>
        <v>#REF!</v>
      </c>
      <c r="GR58" t="e">
        <f>AND(Liste!#REF!,"AAAAAD+tfsc=")</f>
        <v>#REF!</v>
      </c>
      <c r="GS58" t="e">
        <f>AND(Liste!#REF!,"AAAAAD+tfsg=")</f>
        <v>#REF!</v>
      </c>
      <c r="GT58" t="e">
        <f>AND(Liste!G445,"AAAAAD+tfsk=")</f>
        <v>#VALUE!</v>
      </c>
      <c r="GU58" t="e">
        <f>AND(Liste!H445,"AAAAAD+tfso=")</f>
        <v>#VALUE!</v>
      </c>
      <c r="GV58" t="e">
        <f>AND(Liste!I445,"AAAAAD+tfss=")</f>
        <v>#VALUE!</v>
      </c>
      <c r="GW58" t="e">
        <f>AND(Liste!J445,"AAAAAD+tfsw=")</f>
        <v>#VALUE!</v>
      </c>
      <c r="GX58" t="e">
        <f>AND(Liste!#REF!,"AAAAAD+tfs0=")</f>
        <v>#REF!</v>
      </c>
      <c r="GY58" t="e">
        <f>AND(Liste!#REF!,"AAAAAD+tfs4=")</f>
        <v>#REF!</v>
      </c>
      <c r="GZ58" t="e">
        <f>AND(Liste!#REF!,"AAAAAD+tfs8=")</f>
        <v>#REF!</v>
      </c>
      <c r="HA58" t="e">
        <f>AND(Liste!#REF!,"AAAAAD+tftA=")</f>
        <v>#REF!</v>
      </c>
      <c r="HB58" t="e">
        <f>AND(Liste!#REF!,"AAAAAD+tftE=")</f>
        <v>#REF!</v>
      </c>
      <c r="HC58" t="e">
        <f>AND(Liste!#REF!,"AAAAAD+tftI=")</f>
        <v>#REF!</v>
      </c>
      <c r="HD58" t="e">
        <f>AND(Liste!#REF!,"AAAAAD+tftM=")</f>
        <v>#REF!</v>
      </c>
      <c r="HE58" t="e">
        <f>AND(Liste!#REF!,"AAAAAD+tftQ=")</f>
        <v>#REF!</v>
      </c>
      <c r="HF58" t="e">
        <f>AND(Liste!#REF!,"AAAAAD+tftU=")</f>
        <v>#REF!</v>
      </c>
      <c r="HG58" t="e">
        <f>AND(Liste!#REF!,"AAAAAD+tftY=")</f>
        <v>#REF!</v>
      </c>
      <c r="HH58" t="e">
        <f>AND(Liste!#REF!,"AAAAAD+tftc=")</f>
        <v>#REF!</v>
      </c>
      <c r="HI58" t="e">
        <f>AND(Liste!#REF!,"AAAAAD+tftg=")</f>
        <v>#REF!</v>
      </c>
      <c r="HJ58" t="e">
        <f>AND(Liste!#REF!,"AAAAAD+tftk=")</f>
        <v>#REF!</v>
      </c>
      <c r="HK58" t="e">
        <f>AND(Liste!#REF!,"AAAAAD+tfto=")</f>
        <v>#REF!</v>
      </c>
      <c r="HL58" t="e">
        <f>AND(Liste!#REF!,"AAAAAD+tfts=")</f>
        <v>#REF!</v>
      </c>
      <c r="HM58" t="e">
        <f>AND(Liste!#REF!,"AAAAAD+tftw=")</f>
        <v>#REF!</v>
      </c>
      <c r="HN58" t="e">
        <f>AND(Liste!#REF!,"AAAAAD+tft0=")</f>
        <v>#REF!</v>
      </c>
      <c r="HO58" t="e">
        <f>AND(Liste!#REF!,"AAAAAD+tft4=")</f>
        <v>#REF!</v>
      </c>
      <c r="HP58" t="e">
        <f>AND(Liste!#REF!,"AAAAAD+tft8=")</f>
        <v>#REF!</v>
      </c>
      <c r="HQ58" t="e">
        <f>AND(Liste!#REF!,"AAAAAD+tfuA=")</f>
        <v>#REF!</v>
      </c>
      <c r="HR58" t="e">
        <f>AND(Liste!#REF!,"AAAAAD+tfuE=")</f>
        <v>#REF!</v>
      </c>
      <c r="HS58">
        <f>IF(Liste!446:446,"AAAAAD+tfuI=",0)</f>
        <v>0</v>
      </c>
      <c r="HT58" t="b">
        <f>AND(Liste!A446,"AAAAAD+tfuM=")</f>
        <v>1</v>
      </c>
      <c r="HU58" t="e">
        <f>AND(Liste!#REF!,"AAAAAD+tfuQ=")</f>
        <v>#REF!</v>
      </c>
      <c r="HV58" t="e">
        <f>AND(Liste!#REF!,"AAAAAD+tfuU=")</f>
        <v>#REF!</v>
      </c>
      <c r="HW58" t="e">
        <f>AND(Liste!#REF!,"AAAAAD+tfuY=")</f>
        <v>#REF!</v>
      </c>
      <c r="HX58" t="e">
        <f>AND(Liste!F446,"AAAAAD+tfuc=")</f>
        <v>#VALUE!</v>
      </c>
      <c r="HY58" t="e">
        <f>AND(Liste!G446,"AAAAAD+tfug=")</f>
        <v>#VALUE!</v>
      </c>
      <c r="HZ58" t="e">
        <f>AND(Liste!H446,"AAAAAD+tfuk=")</f>
        <v>#VALUE!</v>
      </c>
      <c r="IA58" t="e">
        <f>AND(Liste!I446,"AAAAAD+tfuo=")</f>
        <v>#VALUE!</v>
      </c>
      <c r="IB58" t="e">
        <f>AND(Liste!J446,"AAAAAD+tfus=")</f>
        <v>#VALUE!</v>
      </c>
      <c r="IC58" t="e">
        <f>AND(Liste!#REF!,"AAAAAD+tfuw=")</f>
        <v>#REF!</v>
      </c>
      <c r="ID58" t="e">
        <f>AND(Liste!#REF!,"AAAAAD+tfu0=")</f>
        <v>#REF!</v>
      </c>
      <c r="IE58" t="e">
        <f>AND(Liste!#REF!,"AAAAAD+tfu4=")</f>
        <v>#REF!</v>
      </c>
      <c r="IF58" t="e">
        <f>AND(Liste!#REF!,"AAAAAD+tfu8=")</f>
        <v>#REF!</v>
      </c>
      <c r="IG58" t="e">
        <f>AND(Liste!#REF!,"AAAAAD+tfvA=")</f>
        <v>#REF!</v>
      </c>
      <c r="IH58" t="e">
        <f>AND(Liste!#REF!,"AAAAAD+tfvE=")</f>
        <v>#REF!</v>
      </c>
      <c r="II58" t="e">
        <f>AND(Liste!#REF!,"AAAAAD+tfvI=")</f>
        <v>#REF!</v>
      </c>
      <c r="IJ58" t="e">
        <f>AND(Liste!#REF!,"AAAAAD+tfvM=")</f>
        <v>#REF!</v>
      </c>
      <c r="IK58" t="e">
        <f>AND(Liste!#REF!,"AAAAAD+tfvQ=")</f>
        <v>#REF!</v>
      </c>
      <c r="IL58" t="e">
        <f>AND(Liste!#REF!,"AAAAAD+tfvU=")</f>
        <v>#REF!</v>
      </c>
      <c r="IM58" t="e">
        <f>AND(Liste!#REF!,"AAAAAD+tfvY=")</f>
        <v>#REF!</v>
      </c>
      <c r="IN58" t="e">
        <f>AND(Liste!#REF!,"AAAAAD+tfvc=")</f>
        <v>#REF!</v>
      </c>
      <c r="IO58" t="e">
        <f>AND(Liste!#REF!,"AAAAAD+tfvg=")</f>
        <v>#REF!</v>
      </c>
      <c r="IP58" t="e">
        <f>AND(Liste!#REF!,"AAAAAD+tfvk=")</f>
        <v>#REF!</v>
      </c>
      <c r="IQ58" t="e">
        <f>AND(Liste!#REF!,"AAAAAD+tfvo=")</f>
        <v>#REF!</v>
      </c>
      <c r="IR58" t="e">
        <f>AND(Liste!#REF!,"AAAAAD+tfvs=")</f>
        <v>#REF!</v>
      </c>
      <c r="IS58" t="e">
        <f>AND(Liste!#REF!,"AAAAAD+tfvw=")</f>
        <v>#REF!</v>
      </c>
      <c r="IT58" t="e">
        <f>AND(Liste!#REF!,"AAAAAD+tfv0=")</f>
        <v>#REF!</v>
      </c>
      <c r="IU58" t="e">
        <f>AND(Liste!#REF!,"AAAAAD+tfv4=")</f>
        <v>#REF!</v>
      </c>
      <c r="IV58" t="e">
        <f>AND(Liste!#REF!,"AAAAAD+tfv8=")</f>
        <v>#REF!</v>
      </c>
    </row>
    <row r="59" spans="1:256" x14ac:dyDescent="0.2">
      <c r="A59" t="e">
        <f>AND(Liste!#REF!,"AAAAAEX/0gA=")</f>
        <v>#REF!</v>
      </c>
      <c r="B59">
        <f>IF(Liste!447:447,"AAAAAEX/0gE=",0)</f>
        <v>0</v>
      </c>
      <c r="C59" t="b">
        <f>AND(Liste!A447,"AAAAAEX/0gI=")</f>
        <v>1</v>
      </c>
      <c r="D59" t="e">
        <f>AND(Liste!#REF!,"AAAAAEX/0gM=")</f>
        <v>#REF!</v>
      </c>
      <c r="E59" t="e">
        <f>AND(Liste!#REF!,"AAAAAEX/0gQ=")</f>
        <v>#REF!</v>
      </c>
      <c r="F59" t="e">
        <f>AND(Liste!#REF!,"AAAAAEX/0gU=")</f>
        <v>#REF!</v>
      </c>
      <c r="G59" t="e">
        <f>AND(Liste!F447,"AAAAAEX/0gY=")</f>
        <v>#VALUE!</v>
      </c>
      <c r="H59" t="e">
        <f>AND(Liste!G447,"AAAAAEX/0gc=")</f>
        <v>#VALUE!</v>
      </c>
      <c r="I59" t="e">
        <f>AND(Liste!H447,"AAAAAEX/0gg=")</f>
        <v>#VALUE!</v>
      </c>
      <c r="J59" t="e">
        <f>AND(Liste!I447,"AAAAAEX/0gk=")</f>
        <v>#VALUE!</v>
      </c>
      <c r="K59" t="e">
        <f>AND(Liste!J447,"AAAAAEX/0go=")</f>
        <v>#VALUE!</v>
      </c>
      <c r="L59" t="e">
        <f>AND(Liste!#REF!,"AAAAAEX/0gs=")</f>
        <v>#REF!</v>
      </c>
      <c r="M59" t="e">
        <f>AND(Liste!#REF!,"AAAAAEX/0gw=")</f>
        <v>#REF!</v>
      </c>
      <c r="N59" t="e">
        <f>AND(Liste!#REF!,"AAAAAEX/0g0=")</f>
        <v>#REF!</v>
      </c>
      <c r="O59" t="e">
        <f>AND(Liste!#REF!,"AAAAAEX/0g4=")</f>
        <v>#REF!</v>
      </c>
      <c r="P59" t="e">
        <f>AND(Liste!#REF!,"AAAAAEX/0g8=")</f>
        <v>#REF!</v>
      </c>
      <c r="Q59" t="e">
        <f>AND(Liste!#REF!,"AAAAAEX/0hA=")</f>
        <v>#REF!</v>
      </c>
      <c r="R59" t="e">
        <f>AND(Liste!#REF!,"AAAAAEX/0hE=")</f>
        <v>#REF!</v>
      </c>
      <c r="S59" t="e">
        <f>AND(Liste!#REF!,"AAAAAEX/0hI=")</f>
        <v>#REF!</v>
      </c>
      <c r="T59" t="e">
        <f>AND(Liste!#REF!,"AAAAAEX/0hM=")</f>
        <v>#REF!</v>
      </c>
      <c r="U59" t="e">
        <f>AND(Liste!#REF!,"AAAAAEX/0hQ=")</f>
        <v>#REF!</v>
      </c>
      <c r="V59" t="e">
        <f>AND(Liste!#REF!,"AAAAAEX/0hU=")</f>
        <v>#REF!</v>
      </c>
      <c r="W59" t="e">
        <f>AND(Liste!#REF!,"AAAAAEX/0hY=")</f>
        <v>#REF!</v>
      </c>
      <c r="X59" t="e">
        <f>AND(Liste!#REF!,"AAAAAEX/0hc=")</f>
        <v>#REF!</v>
      </c>
      <c r="Y59" t="e">
        <f>AND(Liste!#REF!,"AAAAAEX/0hg=")</f>
        <v>#REF!</v>
      </c>
      <c r="Z59" t="e">
        <f>AND(Liste!#REF!,"AAAAAEX/0hk=")</f>
        <v>#REF!</v>
      </c>
      <c r="AA59" t="e">
        <f>AND(Liste!#REF!,"AAAAAEX/0ho=")</f>
        <v>#REF!</v>
      </c>
      <c r="AB59" t="e">
        <f>AND(Liste!#REF!,"AAAAAEX/0hs=")</f>
        <v>#REF!</v>
      </c>
      <c r="AC59" t="e">
        <f>AND(Liste!#REF!,"AAAAAEX/0hw=")</f>
        <v>#REF!</v>
      </c>
      <c r="AD59" t="e">
        <f>AND(Liste!#REF!,"AAAAAEX/0h0=")</f>
        <v>#REF!</v>
      </c>
      <c r="AE59" t="e">
        <f>AND(Liste!#REF!,"AAAAAEX/0h4=")</f>
        <v>#REF!</v>
      </c>
      <c r="AF59" t="e">
        <f>AND(Liste!#REF!,"AAAAAEX/0h8=")</f>
        <v>#REF!</v>
      </c>
      <c r="AG59">
        <f>IF(Liste!448:448,"AAAAAEX/0iA=",0)</f>
        <v>0</v>
      </c>
      <c r="AH59" t="b">
        <f>AND(Liste!A448,"AAAAAEX/0iE=")</f>
        <v>1</v>
      </c>
      <c r="AI59" t="e">
        <f>AND(Liste!#REF!,"AAAAAEX/0iI=")</f>
        <v>#REF!</v>
      </c>
      <c r="AJ59" t="e">
        <f>AND(Liste!#REF!,"AAAAAEX/0iM=")</f>
        <v>#REF!</v>
      </c>
      <c r="AK59" t="e">
        <f>AND(Liste!#REF!,"AAAAAEX/0iQ=")</f>
        <v>#REF!</v>
      </c>
      <c r="AL59" t="e">
        <f>AND(Liste!F448,"AAAAAEX/0iU=")</f>
        <v>#VALUE!</v>
      </c>
      <c r="AM59" t="e">
        <f>AND(Liste!G448,"AAAAAEX/0iY=")</f>
        <v>#VALUE!</v>
      </c>
      <c r="AN59" t="e">
        <f>AND(Liste!H448,"AAAAAEX/0ic=")</f>
        <v>#VALUE!</v>
      </c>
      <c r="AO59" t="e">
        <f>AND(Liste!I448,"AAAAAEX/0ig=")</f>
        <v>#VALUE!</v>
      </c>
      <c r="AP59" t="e">
        <f>AND(Liste!J448,"AAAAAEX/0ik=")</f>
        <v>#VALUE!</v>
      </c>
      <c r="AQ59" t="e">
        <f>AND(Liste!#REF!,"AAAAAEX/0io=")</f>
        <v>#REF!</v>
      </c>
      <c r="AR59" t="e">
        <f>AND(Liste!#REF!,"AAAAAEX/0is=")</f>
        <v>#REF!</v>
      </c>
      <c r="AS59" t="e">
        <f>AND(Liste!#REF!,"AAAAAEX/0iw=")</f>
        <v>#REF!</v>
      </c>
      <c r="AT59" t="e">
        <f>AND(Liste!#REF!,"AAAAAEX/0i0=")</f>
        <v>#REF!</v>
      </c>
      <c r="AU59" t="e">
        <f>AND(Liste!#REF!,"AAAAAEX/0i4=")</f>
        <v>#REF!</v>
      </c>
      <c r="AV59" t="e">
        <f>AND(Liste!#REF!,"AAAAAEX/0i8=")</f>
        <v>#REF!</v>
      </c>
      <c r="AW59" t="e">
        <f>AND(Liste!#REF!,"AAAAAEX/0jA=")</f>
        <v>#REF!</v>
      </c>
      <c r="AX59" t="e">
        <f>AND(Liste!#REF!,"AAAAAEX/0jE=")</f>
        <v>#REF!</v>
      </c>
      <c r="AY59" t="e">
        <f>AND(Liste!#REF!,"AAAAAEX/0jI=")</f>
        <v>#REF!</v>
      </c>
      <c r="AZ59" t="e">
        <f>AND(Liste!#REF!,"AAAAAEX/0jM=")</f>
        <v>#REF!</v>
      </c>
      <c r="BA59" t="e">
        <f>AND(Liste!#REF!,"AAAAAEX/0jQ=")</f>
        <v>#REF!</v>
      </c>
      <c r="BB59" t="e">
        <f>AND(Liste!#REF!,"AAAAAEX/0jU=")</f>
        <v>#REF!</v>
      </c>
      <c r="BC59" t="e">
        <f>AND(Liste!#REF!,"AAAAAEX/0jY=")</f>
        <v>#REF!</v>
      </c>
      <c r="BD59" t="e">
        <f>AND(Liste!#REF!,"AAAAAEX/0jc=")</f>
        <v>#REF!</v>
      </c>
      <c r="BE59" t="e">
        <f>AND(Liste!#REF!,"AAAAAEX/0jg=")</f>
        <v>#REF!</v>
      </c>
      <c r="BF59" t="e">
        <f>AND(Liste!#REF!,"AAAAAEX/0jk=")</f>
        <v>#REF!</v>
      </c>
      <c r="BG59" t="e">
        <f>AND(Liste!#REF!,"AAAAAEX/0jo=")</f>
        <v>#REF!</v>
      </c>
      <c r="BH59" t="e">
        <f>AND(Liste!#REF!,"AAAAAEX/0js=")</f>
        <v>#REF!</v>
      </c>
      <c r="BI59" t="e">
        <f>AND(Liste!#REF!,"AAAAAEX/0jw=")</f>
        <v>#REF!</v>
      </c>
      <c r="BJ59" t="e">
        <f>AND(Liste!#REF!,"AAAAAEX/0j0=")</f>
        <v>#REF!</v>
      </c>
      <c r="BK59" t="e">
        <f>AND(Liste!#REF!,"AAAAAEX/0j4=")</f>
        <v>#REF!</v>
      </c>
      <c r="BL59">
        <f>IF(Liste!449:449,"AAAAAEX/0j8=",0)</f>
        <v>0</v>
      </c>
      <c r="BM59" t="b">
        <f>AND(Liste!A449,"AAAAAEX/0kA=")</f>
        <v>1</v>
      </c>
      <c r="BN59" t="e">
        <f>AND(Liste!#REF!,"AAAAAEX/0kE=")</f>
        <v>#REF!</v>
      </c>
      <c r="BO59" t="e">
        <f>AND(Liste!#REF!,"AAAAAEX/0kI=")</f>
        <v>#REF!</v>
      </c>
      <c r="BP59" t="e">
        <f>AND(Liste!#REF!,"AAAAAEX/0kM=")</f>
        <v>#REF!</v>
      </c>
      <c r="BQ59" t="e">
        <f>AND(Liste!F449,"AAAAAEX/0kQ=")</f>
        <v>#VALUE!</v>
      </c>
      <c r="BR59" t="e">
        <f>AND(Liste!G449,"AAAAAEX/0kU=")</f>
        <v>#VALUE!</v>
      </c>
      <c r="BS59" t="e">
        <f>AND(Liste!H449,"AAAAAEX/0kY=")</f>
        <v>#VALUE!</v>
      </c>
      <c r="BT59" t="e">
        <f>AND(Liste!I449,"AAAAAEX/0kc=")</f>
        <v>#VALUE!</v>
      </c>
      <c r="BU59" t="e">
        <f>AND(Liste!J449,"AAAAAEX/0kg=")</f>
        <v>#VALUE!</v>
      </c>
      <c r="BV59" t="e">
        <f>AND(Liste!#REF!,"AAAAAEX/0kk=")</f>
        <v>#REF!</v>
      </c>
      <c r="BW59" t="e">
        <f>AND(Liste!#REF!,"AAAAAEX/0ko=")</f>
        <v>#REF!</v>
      </c>
      <c r="BX59" t="e">
        <f>AND(Liste!#REF!,"AAAAAEX/0ks=")</f>
        <v>#REF!</v>
      </c>
      <c r="BY59" t="e">
        <f>AND(Liste!#REF!,"AAAAAEX/0kw=")</f>
        <v>#REF!</v>
      </c>
      <c r="BZ59" t="e">
        <f>AND(Liste!#REF!,"AAAAAEX/0k0=")</f>
        <v>#REF!</v>
      </c>
      <c r="CA59" t="e">
        <f>AND(Liste!#REF!,"AAAAAEX/0k4=")</f>
        <v>#REF!</v>
      </c>
      <c r="CB59" t="e">
        <f>AND(Liste!#REF!,"AAAAAEX/0k8=")</f>
        <v>#REF!</v>
      </c>
      <c r="CC59" t="e">
        <f>AND(Liste!#REF!,"AAAAAEX/0lA=")</f>
        <v>#REF!</v>
      </c>
      <c r="CD59" t="e">
        <f>AND(Liste!#REF!,"AAAAAEX/0lE=")</f>
        <v>#REF!</v>
      </c>
      <c r="CE59" t="e">
        <f>AND(Liste!#REF!,"AAAAAEX/0lI=")</f>
        <v>#REF!</v>
      </c>
      <c r="CF59" t="e">
        <f>AND(Liste!#REF!,"AAAAAEX/0lM=")</f>
        <v>#REF!</v>
      </c>
      <c r="CG59" t="e">
        <f>AND(Liste!#REF!,"AAAAAEX/0lQ=")</f>
        <v>#REF!</v>
      </c>
      <c r="CH59" t="e">
        <f>AND(Liste!#REF!,"AAAAAEX/0lU=")</f>
        <v>#REF!</v>
      </c>
      <c r="CI59" t="e">
        <f>AND(Liste!#REF!,"AAAAAEX/0lY=")</f>
        <v>#REF!</v>
      </c>
      <c r="CJ59" t="e">
        <f>AND(Liste!#REF!,"AAAAAEX/0lc=")</f>
        <v>#REF!</v>
      </c>
      <c r="CK59" t="e">
        <f>AND(Liste!#REF!,"AAAAAEX/0lg=")</f>
        <v>#REF!</v>
      </c>
      <c r="CL59" t="e">
        <f>AND(Liste!#REF!,"AAAAAEX/0lk=")</f>
        <v>#REF!</v>
      </c>
      <c r="CM59" t="e">
        <f>AND(Liste!#REF!,"AAAAAEX/0lo=")</f>
        <v>#REF!</v>
      </c>
      <c r="CN59" t="e">
        <f>AND(Liste!#REF!,"AAAAAEX/0ls=")</f>
        <v>#REF!</v>
      </c>
      <c r="CO59" t="e">
        <f>AND(Liste!#REF!,"AAAAAEX/0lw=")</f>
        <v>#REF!</v>
      </c>
      <c r="CP59" t="e">
        <f>AND(Liste!#REF!,"AAAAAEX/0l0=")</f>
        <v>#REF!</v>
      </c>
      <c r="CQ59">
        <f>IF(Liste!450:450,"AAAAAEX/0l4=",0)</f>
        <v>0</v>
      </c>
      <c r="CR59" t="b">
        <f>AND(Liste!A450,"AAAAAEX/0l8=")</f>
        <v>1</v>
      </c>
      <c r="CS59" t="e">
        <f>AND(Liste!#REF!,"AAAAAEX/0mA=")</f>
        <v>#REF!</v>
      </c>
      <c r="CT59" t="e">
        <f>AND(Liste!#REF!,"AAAAAEX/0mE=")</f>
        <v>#REF!</v>
      </c>
      <c r="CU59" t="e">
        <f>AND(Liste!#REF!,"AAAAAEX/0mI=")</f>
        <v>#REF!</v>
      </c>
      <c r="CV59" t="e">
        <f>AND(Liste!F450,"AAAAAEX/0mM=")</f>
        <v>#VALUE!</v>
      </c>
      <c r="CW59" t="e">
        <f>AND(Liste!G450,"AAAAAEX/0mQ=")</f>
        <v>#VALUE!</v>
      </c>
      <c r="CX59" t="e">
        <f>AND(Liste!H450,"AAAAAEX/0mU=")</f>
        <v>#VALUE!</v>
      </c>
      <c r="CY59" t="e">
        <f>AND(Liste!I450,"AAAAAEX/0mY=")</f>
        <v>#VALUE!</v>
      </c>
      <c r="CZ59" t="e">
        <f>AND(Liste!J450,"AAAAAEX/0mc=")</f>
        <v>#VALUE!</v>
      </c>
      <c r="DA59" t="e">
        <f>AND(Liste!#REF!,"AAAAAEX/0mg=")</f>
        <v>#REF!</v>
      </c>
      <c r="DB59" t="e">
        <f>AND(Liste!#REF!,"AAAAAEX/0mk=")</f>
        <v>#REF!</v>
      </c>
      <c r="DC59" t="e">
        <f>AND(Liste!#REF!,"AAAAAEX/0mo=")</f>
        <v>#REF!</v>
      </c>
      <c r="DD59" t="e">
        <f>AND(Liste!#REF!,"AAAAAEX/0ms=")</f>
        <v>#REF!</v>
      </c>
      <c r="DE59" t="e">
        <f>AND(Liste!#REF!,"AAAAAEX/0mw=")</f>
        <v>#REF!</v>
      </c>
      <c r="DF59" t="e">
        <f>AND(Liste!#REF!,"AAAAAEX/0m0=")</f>
        <v>#REF!</v>
      </c>
      <c r="DG59" t="e">
        <f>AND(Liste!#REF!,"AAAAAEX/0m4=")</f>
        <v>#REF!</v>
      </c>
      <c r="DH59" t="e">
        <f>AND(Liste!#REF!,"AAAAAEX/0m8=")</f>
        <v>#REF!</v>
      </c>
      <c r="DI59" t="e">
        <f>AND(Liste!#REF!,"AAAAAEX/0nA=")</f>
        <v>#REF!</v>
      </c>
      <c r="DJ59" t="e">
        <f>AND(Liste!#REF!,"AAAAAEX/0nE=")</f>
        <v>#REF!</v>
      </c>
      <c r="DK59" t="e">
        <f>AND(Liste!#REF!,"AAAAAEX/0nI=")</f>
        <v>#REF!</v>
      </c>
      <c r="DL59" t="e">
        <f>AND(Liste!#REF!,"AAAAAEX/0nM=")</f>
        <v>#REF!</v>
      </c>
      <c r="DM59" t="e">
        <f>AND(Liste!#REF!,"AAAAAEX/0nQ=")</f>
        <v>#REF!</v>
      </c>
      <c r="DN59" t="e">
        <f>AND(Liste!#REF!,"AAAAAEX/0nU=")</f>
        <v>#REF!</v>
      </c>
      <c r="DO59" t="e">
        <f>AND(Liste!#REF!,"AAAAAEX/0nY=")</f>
        <v>#REF!</v>
      </c>
      <c r="DP59" t="e">
        <f>AND(Liste!#REF!,"AAAAAEX/0nc=")</f>
        <v>#REF!</v>
      </c>
      <c r="DQ59" t="e">
        <f>AND(Liste!#REF!,"AAAAAEX/0ng=")</f>
        <v>#REF!</v>
      </c>
      <c r="DR59" t="e">
        <f>AND(Liste!#REF!,"AAAAAEX/0nk=")</f>
        <v>#REF!</v>
      </c>
      <c r="DS59" t="e">
        <f>AND(Liste!#REF!,"AAAAAEX/0no=")</f>
        <v>#REF!</v>
      </c>
      <c r="DT59" t="e">
        <f>AND(Liste!#REF!,"AAAAAEX/0ns=")</f>
        <v>#REF!</v>
      </c>
      <c r="DU59" t="e">
        <f>AND(Liste!#REF!,"AAAAAEX/0nw=")</f>
        <v>#REF!</v>
      </c>
      <c r="DV59">
        <f>IF(Liste!451:451,"AAAAAEX/0n0=",0)</f>
        <v>0</v>
      </c>
      <c r="DW59" t="b">
        <f>AND(Liste!A451,"AAAAAEX/0n4=")</f>
        <v>1</v>
      </c>
      <c r="DX59" t="e">
        <f>AND(Liste!#REF!,"AAAAAEX/0n8=")</f>
        <v>#REF!</v>
      </c>
      <c r="DY59" t="e">
        <f>AND(Liste!#REF!,"AAAAAEX/0oA=")</f>
        <v>#REF!</v>
      </c>
      <c r="DZ59" t="e">
        <f>AND(Liste!#REF!,"AAAAAEX/0oE=")</f>
        <v>#REF!</v>
      </c>
      <c r="EA59" t="e">
        <f>AND(Liste!F451,"AAAAAEX/0oI=")</f>
        <v>#VALUE!</v>
      </c>
      <c r="EB59" t="e">
        <f>AND(Liste!G451,"AAAAAEX/0oM=")</f>
        <v>#VALUE!</v>
      </c>
      <c r="EC59" t="e">
        <f>AND(Liste!H451,"AAAAAEX/0oQ=")</f>
        <v>#VALUE!</v>
      </c>
      <c r="ED59" t="e">
        <f>AND(Liste!I451,"AAAAAEX/0oU=")</f>
        <v>#VALUE!</v>
      </c>
      <c r="EE59" t="e">
        <f>AND(Liste!J451,"AAAAAEX/0oY=")</f>
        <v>#VALUE!</v>
      </c>
      <c r="EF59" t="e">
        <f>AND(Liste!#REF!,"AAAAAEX/0oc=")</f>
        <v>#REF!</v>
      </c>
      <c r="EG59" t="e">
        <f>AND(Liste!#REF!,"AAAAAEX/0og=")</f>
        <v>#REF!</v>
      </c>
      <c r="EH59" t="e">
        <f>AND(Liste!#REF!,"AAAAAEX/0ok=")</f>
        <v>#REF!</v>
      </c>
      <c r="EI59" t="e">
        <f>AND(Liste!#REF!,"AAAAAEX/0oo=")</f>
        <v>#REF!</v>
      </c>
      <c r="EJ59" t="e">
        <f>AND(Liste!#REF!,"AAAAAEX/0os=")</f>
        <v>#REF!</v>
      </c>
      <c r="EK59" t="e">
        <f>AND(Liste!#REF!,"AAAAAEX/0ow=")</f>
        <v>#REF!</v>
      </c>
      <c r="EL59" t="e">
        <f>AND(Liste!#REF!,"AAAAAEX/0o0=")</f>
        <v>#REF!</v>
      </c>
      <c r="EM59" t="e">
        <f>AND(Liste!#REF!,"AAAAAEX/0o4=")</f>
        <v>#REF!</v>
      </c>
      <c r="EN59" t="e">
        <f>AND(Liste!#REF!,"AAAAAEX/0o8=")</f>
        <v>#REF!</v>
      </c>
      <c r="EO59" t="e">
        <f>AND(Liste!#REF!,"AAAAAEX/0pA=")</f>
        <v>#REF!</v>
      </c>
      <c r="EP59" t="e">
        <f>AND(Liste!#REF!,"AAAAAEX/0pE=")</f>
        <v>#REF!</v>
      </c>
      <c r="EQ59" t="e">
        <f>AND(Liste!#REF!,"AAAAAEX/0pI=")</f>
        <v>#REF!</v>
      </c>
      <c r="ER59" t="e">
        <f>AND(Liste!#REF!,"AAAAAEX/0pM=")</f>
        <v>#REF!</v>
      </c>
      <c r="ES59" t="e">
        <f>AND(Liste!#REF!,"AAAAAEX/0pQ=")</f>
        <v>#REF!</v>
      </c>
      <c r="ET59" t="e">
        <f>AND(Liste!#REF!,"AAAAAEX/0pU=")</f>
        <v>#REF!</v>
      </c>
      <c r="EU59" t="e">
        <f>AND(Liste!#REF!,"AAAAAEX/0pY=")</f>
        <v>#REF!</v>
      </c>
      <c r="EV59" t="e">
        <f>AND(Liste!#REF!,"AAAAAEX/0pc=")</f>
        <v>#REF!</v>
      </c>
      <c r="EW59" t="e">
        <f>AND(Liste!#REF!,"AAAAAEX/0pg=")</f>
        <v>#REF!</v>
      </c>
      <c r="EX59" t="e">
        <f>AND(Liste!#REF!,"AAAAAEX/0pk=")</f>
        <v>#REF!</v>
      </c>
      <c r="EY59" t="e">
        <f>AND(Liste!#REF!,"AAAAAEX/0po=")</f>
        <v>#REF!</v>
      </c>
      <c r="EZ59" t="e">
        <f>AND(Liste!#REF!,"AAAAAEX/0ps=")</f>
        <v>#REF!</v>
      </c>
      <c r="FA59">
        <f>IF(Liste!452:452,"AAAAAEX/0pw=",0)</f>
        <v>0</v>
      </c>
      <c r="FB59" t="b">
        <f>AND(Liste!A452,"AAAAAEX/0p0=")</f>
        <v>1</v>
      </c>
      <c r="FC59" t="e">
        <f>AND(Liste!#REF!,"AAAAAEX/0p4=")</f>
        <v>#REF!</v>
      </c>
      <c r="FD59" t="e">
        <f>AND(Liste!#REF!,"AAAAAEX/0p8=")</f>
        <v>#REF!</v>
      </c>
      <c r="FE59" t="e">
        <f>AND(Liste!#REF!,"AAAAAEX/0qA=")</f>
        <v>#REF!</v>
      </c>
      <c r="FF59" t="e">
        <f>AND(Liste!F452,"AAAAAEX/0qE=")</f>
        <v>#VALUE!</v>
      </c>
      <c r="FG59" t="e">
        <f>AND(Liste!G452,"AAAAAEX/0qI=")</f>
        <v>#VALUE!</v>
      </c>
      <c r="FH59" t="e">
        <f>AND(Liste!H452,"AAAAAEX/0qM=")</f>
        <v>#VALUE!</v>
      </c>
      <c r="FI59" t="e">
        <f>AND(Liste!I452,"AAAAAEX/0qQ=")</f>
        <v>#VALUE!</v>
      </c>
      <c r="FJ59" t="e">
        <f>AND(Liste!J452,"AAAAAEX/0qU=")</f>
        <v>#VALUE!</v>
      </c>
      <c r="FK59" t="e">
        <f>AND(Liste!#REF!,"AAAAAEX/0qY=")</f>
        <v>#REF!</v>
      </c>
      <c r="FL59" t="e">
        <f>AND(Liste!#REF!,"AAAAAEX/0qc=")</f>
        <v>#REF!</v>
      </c>
      <c r="FM59" t="e">
        <f>AND(Liste!#REF!,"AAAAAEX/0qg=")</f>
        <v>#REF!</v>
      </c>
      <c r="FN59" t="e">
        <f>AND(Liste!#REF!,"AAAAAEX/0qk=")</f>
        <v>#REF!</v>
      </c>
      <c r="FO59" t="e">
        <f>AND(Liste!#REF!,"AAAAAEX/0qo=")</f>
        <v>#REF!</v>
      </c>
      <c r="FP59" t="e">
        <f>AND(Liste!#REF!,"AAAAAEX/0qs=")</f>
        <v>#REF!</v>
      </c>
      <c r="FQ59" t="e">
        <f>AND(Liste!#REF!,"AAAAAEX/0qw=")</f>
        <v>#REF!</v>
      </c>
      <c r="FR59" t="e">
        <f>AND(Liste!#REF!,"AAAAAEX/0q0=")</f>
        <v>#REF!</v>
      </c>
      <c r="FS59" t="e">
        <f>AND(Liste!#REF!,"AAAAAEX/0q4=")</f>
        <v>#REF!</v>
      </c>
      <c r="FT59" t="e">
        <f>AND(Liste!#REF!,"AAAAAEX/0q8=")</f>
        <v>#REF!</v>
      </c>
      <c r="FU59" t="e">
        <f>AND(Liste!#REF!,"AAAAAEX/0rA=")</f>
        <v>#REF!</v>
      </c>
      <c r="FV59" t="e">
        <f>AND(Liste!#REF!,"AAAAAEX/0rE=")</f>
        <v>#REF!</v>
      </c>
      <c r="FW59" t="e">
        <f>AND(Liste!#REF!,"AAAAAEX/0rI=")</f>
        <v>#REF!</v>
      </c>
      <c r="FX59" t="e">
        <f>AND(Liste!#REF!,"AAAAAEX/0rM=")</f>
        <v>#REF!</v>
      </c>
      <c r="FY59" t="e">
        <f>AND(Liste!#REF!,"AAAAAEX/0rQ=")</f>
        <v>#REF!</v>
      </c>
      <c r="FZ59" t="e">
        <f>AND(Liste!#REF!,"AAAAAEX/0rU=")</f>
        <v>#REF!</v>
      </c>
      <c r="GA59" t="e">
        <f>AND(Liste!#REF!,"AAAAAEX/0rY=")</f>
        <v>#REF!</v>
      </c>
      <c r="GB59" t="e">
        <f>AND(Liste!#REF!,"AAAAAEX/0rc=")</f>
        <v>#REF!</v>
      </c>
      <c r="GC59" t="e">
        <f>AND(Liste!#REF!,"AAAAAEX/0rg=")</f>
        <v>#REF!</v>
      </c>
      <c r="GD59" t="e">
        <f>AND(Liste!#REF!,"AAAAAEX/0rk=")</f>
        <v>#REF!</v>
      </c>
      <c r="GE59" t="e">
        <f>AND(Liste!#REF!,"AAAAAEX/0ro=")</f>
        <v>#REF!</v>
      </c>
      <c r="GF59">
        <f>IF(Liste!453:453,"AAAAAEX/0rs=",0)</f>
        <v>0</v>
      </c>
      <c r="GG59" t="b">
        <f>AND(Liste!A453,"AAAAAEX/0rw=")</f>
        <v>1</v>
      </c>
      <c r="GH59" t="e">
        <f>AND(Liste!#REF!,"AAAAAEX/0r0=")</f>
        <v>#REF!</v>
      </c>
      <c r="GI59" t="e">
        <f>AND(Liste!#REF!,"AAAAAEX/0r4=")</f>
        <v>#REF!</v>
      </c>
      <c r="GJ59" t="e">
        <f>AND(Liste!#REF!,"AAAAAEX/0r8=")</f>
        <v>#REF!</v>
      </c>
      <c r="GK59" t="e">
        <f>AND(Liste!F453,"AAAAAEX/0sA=")</f>
        <v>#VALUE!</v>
      </c>
      <c r="GL59" t="e">
        <f>AND(Liste!G453,"AAAAAEX/0sE=")</f>
        <v>#VALUE!</v>
      </c>
      <c r="GM59" t="e">
        <f>AND(Liste!H453,"AAAAAEX/0sI=")</f>
        <v>#VALUE!</v>
      </c>
      <c r="GN59" t="e">
        <f>AND(Liste!I453,"AAAAAEX/0sM=")</f>
        <v>#VALUE!</v>
      </c>
      <c r="GO59" t="e">
        <f>AND(Liste!J453,"AAAAAEX/0sQ=")</f>
        <v>#VALUE!</v>
      </c>
      <c r="GP59" t="e">
        <f>AND(Liste!#REF!,"AAAAAEX/0sU=")</f>
        <v>#REF!</v>
      </c>
      <c r="GQ59" t="e">
        <f>AND(Liste!#REF!,"AAAAAEX/0sY=")</f>
        <v>#REF!</v>
      </c>
      <c r="GR59" t="e">
        <f>AND(Liste!#REF!,"AAAAAEX/0sc=")</f>
        <v>#REF!</v>
      </c>
      <c r="GS59" t="e">
        <f>AND(Liste!#REF!,"AAAAAEX/0sg=")</f>
        <v>#REF!</v>
      </c>
      <c r="GT59" t="e">
        <f>AND(Liste!#REF!,"AAAAAEX/0sk=")</f>
        <v>#REF!</v>
      </c>
      <c r="GU59" t="e">
        <f>AND(Liste!#REF!,"AAAAAEX/0so=")</f>
        <v>#REF!</v>
      </c>
      <c r="GV59" t="e">
        <f>AND(Liste!#REF!,"AAAAAEX/0ss=")</f>
        <v>#REF!</v>
      </c>
      <c r="GW59" t="e">
        <f>AND(Liste!#REF!,"AAAAAEX/0sw=")</f>
        <v>#REF!</v>
      </c>
      <c r="GX59" t="e">
        <f>AND(Liste!#REF!,"AAAAAEX/0s0=")</f>
        <v>#REF!</v>
      </c>
      <c r="GY59" t="e">
        <f>AND(Liste!#REF!,"AAAAAEX/0s4=")</f>
        <v>#REF!</v>
      </c>
      <c r="GZ59" t="e">
        <f>AND(Liste!#REF!,"AAAAAEX/0s8=")</f>
        <v>#REF!</v>
      </c>
      <c r="HA59" t="e">
        <f>AND(Liste!#REF!,"AAAAAEX/0tA=")</f>
        <v>#REF!</v>
      </c>
      <c r="HB59" t="e">
        <f>AND(Liste!#REF!,"AAAAAEX/0tE=")</f>
        <v>#REF!</v>
      </c>
      <c r="HC59" t="e">
        <f>AND(Liste!#REF!,"AAAAAEX/0tI=")</f>
        <v>#REF!</v>
      </c>
      <c r="HD59" t="e">
        <f>AND(Liste!#REF!,"AAAAAEX/0tM=")</f>
        <v>#REF!</v>
      </c>
      <c r="HE59" t="e">
        <f>AND(Liste!#REF!,"AAAAAEX/0tQ=")</f>
        <v>#REF!</v>
      </c>
      <c r="HF59" t="e">
        <f>AND(Liste!#REF!,"AAAAAEX/0tU=")</f>
        <v>#REF!</v>
      </c>
      <c r="HG59" t="e">
        <f>AND(Liste!#REF!,"AAAAAEX/0tY=")</f>
        <v>#REF!</v>
      </c>
      <c r="HH59" t="e">
        <f>AND(Liste!#REF!,"AAAAAEX/0tc=")</f>
        <v>#REF!</v>
      </c>
      <c r="HI59" t="e">
        <f>AND(Liste!#REF!,"AAAAAEX/0tg=")</f>
        <v>#REF!</v>
      </c>
      <c r="HJ59" t="e">
        <f>AND(Liste!#REF!,"AAAAAEX/0tk=")</f>
        <v>#REF!</v>
      </c>
      <c r="HK59">
        <f>IF(Liste!454:454,"AAAAAEX/0to=",0)</f>
        <v>0</v>
      </c>
      <c r="HL59" t="e">
        <f>AND(Liste!#REF!,"AAAAAEX/0ts=")</f>
        <v>#REF!</v>
      </c>
      <c r="HM59" t="e">
        <f>AND(Liste!#REF!,"AAAAAEX/0tw=")</f>
        <v>#REF!</v>
      </c>
      <c r="HN59" t="e">
        <f>AND(Liste!#REF!,"AAAAAEX/0t0=")</f>
        <v>#REF!</v>
      </c>
      <c r="HO59" t="e">
        <f>AND(Liste!#REF!,"AAAAAEX/0t4=")</f>
        <v>#REF!</v>
      </c>
      <c r="HP59" t="e">
        <f>AND(Liste!#REF!,"AAAAAEX/0t8=")</f>
        <v>#REF!</v>
      </c>
      <c r="HQ59" t="e">
        <f>AND(Liste!#REF!,"AAAAAEX/0uA=")</f>
        <v>#REF!</v>
      </c>
      <c r="HR59" t="e">
        <f>AND(Liste!#REF!,"AAAAAEX/0uE=")</f>
        <v>#REF!</v>
      </c>
      <c r="HS59" t="e">
        <f>AND(Liste!#REF!,"AAAAAEX/0uI=")</f>
        <v>#REF!</v>
      </c>
      <c r="HT59" t="e">
        <f>AND(Liste!#REF!,"AAAAAEX/0uM=")</f>
        <v>#REF!</v>
      </c>
      <c r="HU59" t="e">
        <f>AND(Liste!#REF!,"AAAAAEX/0uQ=")</f>
        <v>#REF!</v>
      </c>
      <c r="HV59" t="e">
        <f>AND(Liste!#REF!,"AAAAAEX/0uU=")</f>
        <v>#REF!</v>
      </c>
      <c r="HW59" t="e">
        <f>AND(Liste!#REF!,"AAAAAEX/0uY=")</f>
        <v>#REF!</v>
      </c>
      <c r="HX59" t="e">
        <f>AND(Liste!#REF!,"AAAAAEX/0uc=")</f>
        <v>#REF!</v>
      </c>
      <c r="HY59" t="e">
        <f>AND(Liste!#REF!,"AAAAAEX/0ug=")</f>
        <v>#REF!</v>
      </c>
      <c r="HZ59" t="e">
        <f>AND(Liste!#REF!,"AAAAAEX/0uk=")</f>
        <v>#REF!</v>
      </c>
      <c r="IA59" t="e">
        <f>AND(Liste!#REF!,"AAAAAEX/0uo=")</f>
        <v>#REF!</v>
      </c>
      <c r="IB59" t="e">
        <f>AND(Liste!#REF!,"AAAAAEX/0us=")</f>
        <v>#REF!</v>
      </c>
      <c r="IC59" t="e">
        <f>AND(Liste!#REF!,"AAAAAEX/0uw=")</f>
        <v>#REF!</v>
      </c>
      <c r="ID59" t="e">
        <f>AND(Liste!#REF!,"AAAAAEX/0u0=")</f>
        <v>#REF!</v>
      </c>
      <c r="IE59" t="e">
        <f>AND(Liste!#REF!,"AAAAAEX/0u4=")</f>
        <v>#REF!</v>
      </c>
      <c r="IF59" t="e">
        <f>AND(Liste!#REF!,"AAAAAEX/0u8=")</f>
        <v>#REF!</v>
      </c>
      <c r="IG59" t="e">
        <f>AND(Liste!#REF!,"AAAAAEX/0vA=")</f>
        <v>#REF!</v>
      </c>
      <c r="IH59" t="e">
        <f>AND(Liste!#REF!,"AAAAAEX/0vE=")</f>
        <v>#REF!</v>
      </c>
      <c r="II59" t="e">
        <f>AND(Liste!#REF!,"AAAAAEX/0vI=")</f>
        <v>#REF!</v>
      </c>
      <c r="IJ59" t="e">
        <f>AND(Liste!#REF!,"AAAAAEX/0vM=")</f>
        <v>#REF!</v>
      </c>
      <c r="IK59" t="e">
        <f>AND(Liste!#REF!,"AAAAAEX/0vQ=")</f>
        <v>#REF!</v>
      </c>
      <c r="IL59" t="e">
        <f>AND(Liste!#REF!,"AAAAAEX/0vU=")</f>
        <v>#REF!</v>
      </c>
      <c r="IM59" t="e">
        <f>AND(Liste!#REF!,"AAAAAEX/0vY=")</f>
        <v>#REF!</v>
      </c>
      <c r="IN59" t="e">
        <f>AND(Liste!#REF!,"AAAAAEX/0vc=")</f>
        <v>#REF!</v>
      </c>
      <c r="IO59" t="e">
        <f>AND(Liste!#REF!,"AAAAAEX/0vg=")</f>
        <v>#REF!</v>
      </c>
      <c r="IP59" t="e">
        <f>IF(Liste!#REF!,"AAAAAEX/0vk=",0)</f>
        <v>#REF!</v>
      </c>
      <c r="IQ59" t="e">
        <f>AND(Liste!#REF!,"AAAAAEX/0vo=")</f>
        <v>#REF!</v>
      </c>
      <c r="IR59" t="e">
        <f>AND(Liste!#REF!,"AAAAAEX/0vs=")</f>
        <v>#REF!</v>
      </c>
      <c r="IS59" t="e">
        <f>AND(Liste!#REF!,"AAAAAEX/0vw=")</f>
        <v>#REF!</v>
      </c>
      <c r="IT59" t="e">
        <f>AND(Liste!#REF!,"AAAAAEX/0v0=")</f>
        <v>#REF!</v>
      </c>
      <c r="IU59" t="e">
        <f>AND(Liste!#REF!,"AAAAAEX/0v4=")</f>
        <v>#REF!</v>
      </c>
      <c r="IV59" t="e">
        <f>AND(Liste!#REF!,"AAAAAEX/0v8=")</f>
        <v>#REF!</v>
      </c>
    </row>
    <row r="60" spans="1:256" x14ac:dyDescent="0.2">
      <c r="A60" t="e">
        <f>AND(Liste!#REF!,"AAAAAG+m+wA=")</f>
        <v>#REF!</v>
      </c>
      <c r="B60" t="e">
        <f>AND(Liste!#REF!,"AAAAAG+m+wE=")</f>
        <v>#REF!</v>
      </c>
      <c r="C60" t="e">
        <f>AND(Liste!#REF!,"AAAAAG+m+wI=")</f>
        <v>#REF!</v>
      </c>
      <c r="D60" t="e">
        <f>AND(Liste!#REF!,"AAAAAG+m+wM=")</f>
        <v>#REF!</v>
      </c>
      <c r="E60" t="e">
        <f>AND(Liste!#REF!,"AAAAAG+m+wQ=")</f>
        <v>#REF!</v>
      </c>
      <c r="F60" t="e">
        <f>AND(Liste!#REF!,"AAAAAG+m+wU=")</f>
        <v>#REF!</v>
      </c>
      <c r="G60" t="e">
        <f>AND(Liste!#REF!,"AAAAAG+m+wY=")</f>
        <v>#REF!</v>
      </c>
      <c r="H60" t="e">
        <f>AND(Liste!#REF!,"AAAAAG+m+wc=")</f>
        <v>#REF!</v>
      </c>
      <c r="I60" t="e">
        <f>AND(Liste!#REF!,"AAAAAG+m+wg=")</f>
        <v>#REF!</v>
      </c>
      <c r="J60" t="e">
        <f>AND(Liste!#REF!,"AAAAAG+m+wk=")</f>
        <v>#REF!</v>
      </c>
      <c r="K60" t="e">
        <f>AND(Liste!#REF!,"AAAAAG+m+wo=")</f>
        <v>#REF!</v>
      </c>
      <c r="L60" t="e">
        <f>AND(Liste!#REF!,"AAAAAG+m+ws=")</f>
        <v>#REF!</v>
      </c>
      <c r="M60" t="e">
        <f>AND(Liste!#REF!,"AAAAAG+m+ww=")</f>
        <v>#REF!</v>
      </c>
      <c r="N60" t="e">
        <f>AND(Liste!#REF!,"AAAAAG+m+w0=")</f>
        <v>#REF!</v>
      </c>
      <c r="O60" t="e">
        <f>AND(Liste!#REF!,"AAAAAG+m+w4=")</f>
        <v>#REF!</v>
      </c>
      <c r="P60" t="e">
        <f>AND(Liste!#REF!,"AAAAAG+m+w8=")</f>
        <v>#REF!</v>
      </c>
      <c r="Q60" t="e">
        <f>AND(Liste!#REF!,"AAAAAG+m+xA=")</f>
        <v>#REF!</v>
      </c>
      <c r="R60" t="e">
        <f>AND(Liste!#REF!,"AAAAAG+m+xE=")</f>
        <v>#REF!</v>
      </c>
      <c r="S60" t="e">
        <f>AND(Liste!#REF!,"AAAAAG+m+xI=")</f>
        <v>#REF!</v>
      </c>
      <c r="T60" t="e">
        <f>AND(Liste!#REF!,"AAAAAG+m+xM=")</f>
        <v>#REF!</v>
      </c>
      <c r="U60" t="e">
        <f>AND(Liste!#REF!,"AAAAAG+m+xQ=")</f>
        <v>#REF!</v>
      </c>
      <c r="V60" t="e">
        <f>AND(Liste!#REF!,"AAAAAG+m+xU=")</f>
        <v>#REF!</v>
      </c>
      <c r="W60" t="e">
        <f>AND(Liste!#REF!,"AAAAAG+m+xY=")</f>
        <v>#REF!</v>
      </c>
      <c r="X60" t="e">
        <f>AND(Liste!#REF!,"AAAAAG+m+xc=")</f>
        <v>#REF!</v>
      </c>
      <c r="Y60" t="e">
        <f>IF(Liste!#REF!,"AAAAAG+m+xg=",0)</f>
        <v>#REF!</v>
      </c>
      <c r="Z60" t="e">
        <f>AND(Liste!#REF!,"AAAAAG+m+xk=")</f>
        <v>#REF!</v>
      </c>
      <c r="AA60" t="e">
        <f>AND(Liste!#REF!,"AAAAAG+m+xo=")</f>
        <v>#REF!</v>
      </c>
      <c r="AB60" t="e">
        <f>AND(Liste!#REF!,"AAAAAG+m+xs=")</f>
        <v>#REF!</v>
      </c>
      <c r="AC60" t="e">
        <f>AND(Liste!#REF!,"AAAAAG+m+xw=")</f>
        <v>#REF!</v>
      </c>
      <c r="AD60" t="e">
        <f>AND(Liste!#REF!,"AAAAAG+m+x0=")</f>
        <v>#REF!</v>
      </c>
      <c r="AE60" t="e">
        <f>AND(Liste!#REF!,"AAAAAG+m+x4=")</f>
        <v>#REF!</v>
      </c>
      <c r="AF60" t="e">
        <f>AND(Liste!#REF!,"AAAAAG+m+x8=")</f>
        <v>#REF!</v>
      </c>
      <c r="AG60" t="e">
        <f>AND(Liste!#REF!,"AAAAAG+m+yA=")</f>
        <v>#REF!</v>
      </c>
      <c r="AH60" t="e">
        <f>AND(Liste!#REF!,"AAAAAG+m+yE=")</f>
        <v>#REF!</v>
      </c>
      <c r="AI60" t="e">
        <f>AND(Liste!#REF!,"AAAAAG+m+yI=")</f>
        <v>#REF!</v>
      </c>
      <c r="AJ60" t="e">
        <f>AND(Liste!#REF!,"AAAAAG+m+yM=")</f>
        <v>#REF!</v>
      </c>
      <c r="AK60" t="e">
        <f>AND(Liste!#REF!,"AAAAAG+m+yQ=")</f>
        <v>#REF!</v>
      </c>
      <c r="AL60" t="e">
        <f>AND(Liste!#REF!,"AAAAAG+m+yU=")</f>
        <v>#REF!</v>
      </c>
      <c r="AM60" t="e">
        <f>AND(Liste!#REF!,"AAAAAG+m+yY=")</f>
        <v>#REF!</v>
      </c>
      <c r="AN60" t="e">
        <f>AND(Liste!#REF!,"AAAAAG+m+yc=")</f>
        <v>#REF!</v>
      </c>
      <c r="AO60" t="e">
        <f>AND(Liste!#REF!,"AAAAAG+m+yg=")</f>
        <v>#REF!</v>
      </c>
      <c r="AP60" t="e">
        <f>AND(Liste!#REF!,"AAAAAG+m+yk=")</f>
        <v>#REF!</v>
      </c>
      <c r="AQ60" t="e">
        <f>AND(Liste!#REF!,"AAAAAG+m+yo=")</f>
        <v>#REF!</v>
      </c>
      <c r="AR60" t="e">
        <f>AND(Liste!#REF!,"AAAAAG+m+ys=")</f>
        <v>#REF!</v>
      </c>
      <c r="AS60" t="e">
        <f>AND(Liste!#REF!,"AAAAAG+m+yw=")</f>
        <v>#REF!</v>
      </c>
      <c r="AT60" t="e">
        <f>AND(Liste!#REF!,"AAAAAG+m+y0=")</f>
        <v>#REF!</v>
      </c>
      <c r="AU60" t="e">
        <f>AND(Liste!#REF!,"AAAAAG+m+y4=")</f>
        <v>#REF!</v>
      </c>
      <c r="AV60" t="e">
        <f>AND(Liste!#REF!,"AAAAAG+m+y8=")</f>
        <v>#REF!</v>
      </c>
      <c r="AW60" t="e">
        <f>AND(Liste!#REF!,"AAAAAG+m+zA=")</f>
        <v>#REF!</v>
      </c>
      <c r="AX60" t="e">
        <f>AND(Liste!#REF!,"AAAAAG+m+zE=")</f>
        <v>#REF!</v>
      </c>
      <c r="AY60" t="e">
        <f>AND(Liste!#REF!,"AAAAAG+m+zI=")</f>
        <v>#REF!</v>
      </c>
      <c r="AZ60" t="e">
        <f>AND(Liste!#REF!,"AAAAAG+m+zM=")</f>
        <v>#REF!</v>
      </c>
      <c r="BA60" t="e">
        <f>AND(Liste!#REF!,"AAAAAG+m+zQ=")</f>
        <v>#REF!</v>
      </c>
      <c r="BB60" t="e">
        <f>AND(Liste!#REF!,"AAAAAG+m+zU=")</f>
        <v>#REF!</v>
      </c>
      <c r="BC60" t="e">
        <f>AND(Liste!#REF!,"AAAAAG+m+zY=")</f>
        <v>#REF!</v>
      </c>
      <c r="BD60" t="e">
        <f>IF(Liste!#REF!,"AAAAAG+m+zc=",0)</f>
        <v>#REF!</v>
      </c>
      <c r="BE60" t="e">
        <f>AND(Liste!#REF!,"AAAAAG+m+zg=")</f>
        <v>#REF!</v>
      </c>
      <c r="BF60" t="e">
        <f>AND(Liste!#REF!,"AAAAAG+m+zk=")</f>
        <v>#REF!</v>
      </c>
      <c r="BG60" t="e">
        <f>AND(Liste!#REF!,"AAAAAG+m+zo=")</f>
        <v>#REF!</v>
      </c>
      <c r="BH60" t="e">
        <f>AND(Liste!#REF!,"AAAAAG+m+zs=")</f>
        <v>#REF!</v>
      </c>
      <c r="BI60" t="e">
        <f>AND(Liste!#REF!,"AAAAAG+m+zw=")</f>
        <v>#REF!</v>
      </c>
      <c r="BJ60" t="e">
        <f>AND(Liste!#REF!,"AAAAAG+m+z0=")</f>
        <v>#REF!</v>
      </c>
      <c r="BK60" t="e">
        <f>AND(Liste!#REF!,"AAAAAG+m+z4=")</f>
        <v>#REF!</v>
      </c>
      <c r="BL60" t="e">
        <f>AND(Liste!#REF!,"AAAAAG+m+z8=")</f>
        <v>#REF!</v>
      </c>
      <c r="BM60" t="e">
        <f>AND(Liste!#REF!,"AAAAAG+m+0A=")</f>
        <v>#REF!</v>
      </c>
      <c r="BN60" t="e">
        <f>AND(Liste!#REF!,"AAAAAG+m+0E=")</f>
        <v>#REF!</v>
      </c>
      <c r="BO60" t="e">
        <f>AND(Liste!#REF!,"AAAAAG+m+0I=")</f>
        <v>#REF!</v>
      </c>
      <c r="BP60" t="e">
        <f>AND(Liste!#REF!,"AAAAAG+m+0M=")</f>
        <v>#REF!</v>
      </c>
      <c r="BQ60" t="e">
        <f>AND(Liste!#REF!,"AAAAAG+m+0Q=")</f>
        <v>#REF!</v>
      </c>
      <c r="BR60" t="e">
        <f>AND(Liste!#REF!,"AAAAAG+m+0U=")</f>
        <v>#REF!</v>
      </c>
      <c r="BS60" t="e">
        <f>AND(Liste!#REF!,"AAAAAG+m+0Y=")</f>
        <v>#REF!</v>
      </c>
      <c r="BT60" t="e">
        <f>AND(Liste!#REF!,"AAAAAG+m+0c=")</f>
        <v>#REF!</v>
      </c>
      <c r="BU60" t="e">
        <f>AND(Liste!#REF!,"AAAAAG+m+0g=")</f>
        <v>#REF!</v>
      </c>
      <c r="BV60" t="e">
        <f>AND(Liste!#REF!,"AAAAAG+m+0k=")</f>
        <v>#REF!</v>
      </c>
      <c r="BW60" t="e">
        <f>AND(Liste!#REF!,"AAAAAG+m+0o=")</f>
        <v>#REF!</v>
      </c>
      <c r="BX60" t="e">
        <f>AND(Liste!#REF!,"AAAAAG+m+0s=")</f>
        <v>#REF!</v>
      </c>
      <c r="BY60" t="e">
        <f>AND(Liste!#REF!,"AAAAAG+m+0w=")</f>
        <v>#REF!</v>
      </c>
      <c r="BZ60" t="e">
        <f>AND(Liste!#REF!,"AAAAAG+m+00=")</f>
        <v>#REF!</v>
      </c>
      <c r="CA60" t="e">
        <f>AND(Liste!#REF!,"AAAAAG+m+04=")</f>
        <v>#REF!</v>
      </c>
      <c r="CB60" t="e">
        <f>AND(Liste!#REF!,"AAAAAG+m+08=")</f>
        <v>#REF!</v>
      </c>
      <c r="CC60" t="e">
        <f>AND(Liste!#REF!,"AAAAAG+m+1A=")</f>
        <v>#REF!</v>
      </c>
      <c r="CD60" t="e">
        <f>AND(Liste!#REF!,"AAAAAG+m+1E=")</f>
        <v>#REF!</v>
      </c>
      <c r="CE60" t="e">
        <f>AND(Liste!#REF!,"AAAAAG+m+1I=")</f>
        <v>#REF!</v>
      </c>
      <c r="CF60" t="e">
        <f>AND(Liste!#REF!,"AAAAAG+m+1M=")</f>
        <v>#REF!</v>
      </c>
      <c r="CG60" t="e">
        <f>AND(Liste!#REF!,"AAAAAG+m+1Q=")</f>
        <v>#REF!</v>
      </c>
      <c r="CH60" t="e">
        <f>AND(Liste!#REF!,"AAAAAG+m+1U=")</f>
        <v>#REF!</v>
      </c>
      <c r="CI60" t="e">
        <f>IF(Liste!#REF!,"AAAAAG+m+1Y=",0)</f>
        <v>#REF!</v>
      </c>
      <c r="CJ60" t="e">
        <f>AND(Liste!#REF!,"AAAAAG+m+1c=")</f>
        <v>#REF!</v>
      </c>
      <c r="CK60" t="e">
        <f>AND(Liste!#REF!,"AAAAAG+m+1g=")</f>
        <v>#REF!</v>
      </c>
      <c r="CL60" t="e">
        <f>AND(Liste!#REF!,"AAAAAG+m+1k=")</f>
        <v>#REF!</v>
      </c>
      <c r="CM60" t="e">
        <f>AND(Liste!#REF!,"AAAAAG+m+1o=")</f>
        <v>#REF!</v>
      </c>
      <c r="CN60" t="e">
        <f>AND(Liste!#REF!,"AAAAAG+m+1s=")</f>
        <v>#REF!</v>
      </c>
      <c r="CO60" t="e">
        <f>AND(Liste!#REF!,"AAAAAG+m+1w=")</f>
        <v>#REF!</v>
      </c>
      <c r="CP60" t="e">
        <f>AND(Liste!#REF!,"AAAAAG+m+10=")</f>
        <v>#REF!</v>
      </c>
      <c r="CQ60" t="e">
        <f>AND(Liste!#REF!,"AAAAAG+m+14=")</f>
        <v>#REF!</v>
      </c>
      <c r="CR60" t="e">
        <f>AND(Liste!#REF!,"AAAAAG+m+18=")</f>
        <v>#REF!</v>
      </c>
      <c r="CS60" t="e">
        <f>AND(Liste!#REF!,"AAAAAG+m+2A=")</f>
        <v>#REF!</v>
      </c>
      <c r="CT60" t="e">
        <f>AND(Liste!#REF!,"AAAAAG+m+2E=")</f>
        <v>#REF!</v>
      </c>
      <c r="CU60" t="e">
        <f>AND(Liste!#REF!,"AAAAAG+m+2I=")</f>
        <v>#REF!</v>
      </c>
      <c r="CV60" t="e">
        <f>AND(Liste!#REF!,"AAAAAG+m+2M=")</f>
        <v>#REF!</v>
      </c>
      <c r="CW60" t="e">
        <f>AND(Liste!#REF!,"AAAAAG+m+2Q=")</f>
        <v>#REF!</v>
      </c>
      <c r="CX60" t="e">
        <f>AND(Liste!#REF!,"AAAAAG+m+2U=")</f>
        <v>#REF!</v>
      </c>
      <c r="CY60" t="e">
        <f>AND(Liste!#REF!,"AAAAAG+m+2Y=")</f>
        <v>#REF!</v>
      </c>
      <c r="CZ60" t="e">
        <f>AND(Liste!#REF!,"AAAAAG+m+2c=")</f>
        <v>#REF!</v>
      </c>
      <c r="DA60" t="e">
        <f>AND(Liste!#REF!,"AAAAAG+m+2g=")</f>
        <v>#REF!</v>
      </c>
      <c r="DB60" t="e">
        <f>AND(Liste!#REF!,"AAAAAG+m+2k=")</f>
        <v>#REF!</v>
      </c>
      <c r="DC60" t="e">
        <f>AND(Liste!#REF!,"AAAAAG+m+2o=")</f>
        <v>#REF!</v>
      </c>
      <c r="DD60" t="e">
        <f>AND(Liste!#REF!,"AAAAAG+m+2s=")</f>
        <v>#REF!</v>
      </c>
      <c r="DE60" t="e">
        <f>AND(Liste!#REF!,"AAAAAG+m+2w=")</f>
        <v>#REF!</v>
      </c>
      <c r="DF60" t="e">
        <f>AND(Liste!#REF!,"AAAAAG+m+20=")</f>
        <v>#REF!</v>
      </c>
      <c r="DG60" t="e">
        <f>AND(Liste!#REF!,"AAAAAG+m+24=")</f>
        <v>#REF!</v>
      </c>
      <c r="DH60" t="e">
        <f>AND(Liste!#REF!,"AAAAAG+m+28=")</f>
        <v>#REF!</v>
      </c>
      <c r="DI60" t="e">
        <f>AND(Liste!#REF!,"AAAAAG+m+3A=")</f>
        <v>#REF!</v>
      </c>
      <c r="DJ60" t="e">
        <f>AND(Liste!#REF!,"AAAAAG+m+3E=")</f>
        <v>#REF!</v>
      </c>
      <c r="DK60" t="e">
        <f>AND(Liste!#REF!,"AAAAAG+m+3I=")</f>
        <v>#REF!</v>
      </c>
      <c r="DL60" t="e">
        <f>AND(Liste!#REF!,"AAAAAG+m+3M=")</f>
        <v>#REF!</v>
      </c>
      <c r="DM60" t="e">
        <f>AND(Liste!#REF!,"AAAAAG+m+3Q=")</f>
        <v>#REF!</v>
      </c>
      <c r="DN60" t="e">
        <f>IF(Liste!#REF!,"AAAAAG+m+3U=",0)</f>
        <v>#REF!</v>
      </c>
      <c r="DO60" t="e">
        <f>AND(Liste!#REF!,"AAAAAG+m+3Y=")</f>
        <v>#REF!</v>
      </c>
      <c r="DP60" t="e">
        <f>AND(Liste!#REF!,"AAAAAG+m+3c=")</f>
        <v>#REF!</v>
      </c>
      <c r="DQ60" t="e">
        <f>AND(Liste!#REF!,"AAAAAG+m+3g=")</f>
        <v>#REF!</v>
      </c>
      <c r="DR60" t="e">
        <f>AND(Liste!#REF!,"AAAAAG+m+3k=")</f>
        <v>#REF!</v>
      </c>
      <c r="DS60" t="e">
        <f>AND(Liste!#REF!,"AAAAAG+m+3o=")</f>
        <v>#REF!</v>
      </c>
      <c r="DT60" t="e">
        <f>AND(Liste!#REF!,"AAAAAG+m+3s=")</f>
        <v>#REF!</v>
      </c>
      <c r="DU60" t="e">
        <f>AND(Liste!#REF!,"AAAAAG+m+3w=")</f>
        <v>#REF!</v>
      </c>
      <c r="DV60" t="e">
        <f>AND(Liste!#REF!,"AAAAAG+m+30=")</f>
        <v>#REF!</v>
      </c>
      <c r="DW60" t="e">
        <f>AND(Liste!#REF!,"AAAAAG+m+34=")</f>
        <v>#REF!</v>
      </c>
      <c r="DX60" t="e">
        <f>AND(Liste!#REF!,"AAAAAG+m+38=")</f>
        <v>#REF!</v>
      </c>
      <c r="DY60" t="e">
        <f>AND(Liste!#REF!,"AAAAAG+m+4A=")</f>
        <v>#REF!</v>
      </c>
      <c r="DZ60" t="e">
        <f>AND(Liste!#REF!,"AAAAAG+m+4E=")</f>
        <v>#REF!</v>
      </c>
      <c r="EA60" t="e">
        <f>AND(Liste!#REF!,"AAAAAG+m+4I=")</f>
        <v>#REF!</v>
      </c>
      <c r="EB60" t="e">
        <f>AND(Liste!#REF!,"AAAAAG+m+4M=")</f>
        <v>#REF!</v>
      </c>
      <c r="EC60" t="e">
        <f>AND(Liste!#REF!,"AAAAAG+m+4Q=")</f>
        <v>#REF!</v>
      </c>
      <c r="ED60" t="e">
        <f>AND(Liste!#REF!,"AAAAAG+m+4U=")</f>
        <v>#REF!</v>
      </c>
      <c r="EE60" t="e">
        <f>AND(Liste!#REF!,"AAAAAG+m+4Y=")</f>
        <v>#REF!</v>
      </c>
      <c r="EF60" t="e">
        <f>AND(Liste!#REF!,"AAAAAG+m+4c=")</f>
        <v>#REF!</v>
      </c>
      <c r="EG60" t="e">
        <f>AND(Liste!#REF!,"AAAAAG+m+4g=")</f>
        <v>#REF!</v>
      </c>
      <c r="EH60" t="e">
        <f>AND(Liste!#REF!,"AAAAAG+m+4k=")</f>
        <v>#REF!</v>
      </c>
      <c r="EI60" t="e">
        <f>AND(Liste!#REF!,"AAAAAG+m+4o=")</f>
        <v>#REF!</v>
      </c>
      <c r="EJ60" t="e">
        <f>AND(Liste!#REF!,"AAAAAG+m+4s=")</f>
        <v>#REF!</v>
      </c>
      <c r="EK60" t="e">
        <f>AND(Liste!#REF!,"AAAAAG+m+4w=")</f>
        <v>#REF!</v>
      </c>
      <c r="EL60" t="e">
        <f>AND(Liste!#REF!,"AAAAAG+m+40=")</f>
        <v>#REF!</v>
      </c>
      <c r="EM60" t="e">
        <f>AND(Liste!#REF!,"AAAAAG+m+44=")</f>
        <v>#REF!</v>
      </c>
      <c r="EN60" t="e">
        <f>AND(Liste!#REF!,"AAAAAG+m+48=")</f>
        <v>#REF!</v>
      </c>
      <c r="EO60" t="e">
        <f>AND(Liste!#REF!,"AAAAAG+m+5A=")</f>
        <v>#REF!</v>
      </c>
      <c r="EP60" t="e">
        <f>AND(Liste!#REF!,"AAAAAG+m+5E=")</f>
        <v>#REF!</v>
      </c>
      <c r="EQ60" t="e">
        <f>AND(Liste!#REF!,"AAAAAG+m+5I=")</f>
        <v>#REF!</v>
      </c>
      <c r="ER60" t="e">
        <f>AND(Liste!#REF!,"AAAAAG+m+5M=")</f>
        <v>#REF!</v>
      </c>
      <c r="ES60" t="e">
        <f>IF(Liste!#REF!,"AAAAAG+m+5Q=",0)</f>
        <v>#REF!</v>
      </c>
      <c r="ET60" t="e">
        <f>AND(Liste!#REF!,"AAAAAG+m+5U=")</f>
        <v>#REF!</v>
      </c>
      <c r="EU60" t="e">
        <f>AND(Liste!#REF!,"AAAAAG+m+5Y=")</f>
        <v>#REF!</v>
      </c>
      <c r="EV60" t="e">
        <f>AND(Liste!#REF!,"AAAAAG+m+5c=")</f>
        <v>#REF!</v>
      </c>
      <c r="EW60" t="e">
        <f>AND(Liste!#REF!,"AAAAAG+m+5g=")</f>
        <v>#REF!</v>
      </c>
      <c r="EX60" t="e">
        <f>AND(Liste!#REF!,"AAAAAG+m+5k=")</f>
        <v>#REF!</v>
      </c>
      <c r="EY60" t="e">
        <f>AND(Liste!#REF!,"AAAAAG+m+5o=")</f>
        <v>#REF!</v>
      </c>
      <c r="EZ60" t="e">
        <f>AND(Liste!#REF!,"AAAAAG+m+5s=")</f>
        <v>#REF!</v>
      </c>
      <c r="FA60" t="e">
        <f>AND(Liste!#REF!,"AAAAAG+m+5w=")</f>
        <v>#REF!</v>
      </c>
      <c r="FB60" t="e">
        <f>AND(Liste!#REF!,"AAAAAG+m+50=")</f>
        <v>#REF!</v>
      </c>
      <c r="FC60" t="e">
        <f>AND(Liste!#REF!,"AAAAAG+m+54=")</f>
        <v>#REF!</v>
      </c>
      <c r="FD60" t="e">
        <f>AND(Liste!#REF!,"AAAAAG+m+58=")</f>
        <v>#REF!</v>
      </c>
      <c r="FE60" t="e">
        <f>AND(Liste!#REF!,"AAAAAG+m+6A=")</f>
        <v>#REF!</v>
      </c>
      <c r="FF60" t="e">
        <f>AND(Liste!#REF!,"AAAAAG+m+6E=")</f>
        <v>#REF!</v>
      </c>
      <c r="FG60" t="e">
        <f>AND(Liste!#REF!,"AAAAAG+m+6I=")</f>
        <v>#REF!</v>
      </c>
      <c r="FH60" t="e">
        <f>AND(Liste!#REF!,"AAAAAG+m+6M=")</f>
        <v>#REF!</v>
      </c>
      <c r="FI60" t="e">
        <f>AND(Liste!#REF!,"AAAAAG+m+6Q=")</f>
        <v>#REF!</v>
      </c>
      <c r="FJ60" t="e">
        <f>AND(Liste!#REF!,"AAAAAG+m+6U=")</f>
        <v>#REF!</v>
      </c>
      <c r="FK60" t="e">
        <f>AND(Liste!#REF!,"AAAAAG+m+6Y=")</f>
        <v>#REF!</v>
      </c>
      <c r="FL60" t="e">
        <f>AND(Liste!#REF!,"AAAAAG+m+6c=")</f>
        <v>#REF!</v>
      </c>
      <c r="FM60" t="e">
        <f>AND(Liste!#REF!,"AAAAAG+m+6g=")</f>
        <v>#REF!</v>
      </c>
      <c r="FN60" t="e">
        <f>AND(Liste!#REF!,"AAAAAG+m+6k=")</f>
        <v>#REF!</v>
      </c>
      <c r="FO60" t="e">
        <f>AND(Liste!#REF!,"AAAAAG+m+6o=")</f>
        <v>#REF!</v>
      </c>
      <c r="FP60" t="e">
        <f>AND(Liste!#REF!,"AAAAAG+m+6s=")</f>
        <v>#REF!</v>
      </c>
      <c r="FQ60" t="e">
        <f>AND(Liste!#REF!,"AAAAAG+m+6w=")</f>
        <v>#REF!</v>
      </c>
      <c r="FR60" t="e">
        <f>AND(Liste!#REF!,"AAAAAG+m+60=")</f>
        <v>#REF!</v>
      </c>
      <c r="FS60" t="e">
        <f>AND(Liste!#REF!,"AAAAAG+m+64=")</f>
        <v>#REF!</v>
      </c>
      <c r="FT60" t="e">
        <f>AND(Liste!#REF!,"AAAAAG+m+68=")</f>
        <v>#REF!</v>
      </c>
      <c r="FU60" t="e">
        <f>AND(Liste!#REF!,"AAAAAG+m+7A=")</f>
        <v>#REF!</v>
      </c>
      <c r="FV60" t="e">
        <f>AND(Liste!#REF!,"AAAAAG+m+7E=")</f>
        <v>#REF!</v>
      </c>
      <c r="FW60" t="e">
        <f>AND(Liste!#REF!,"AAAAAG+m+7I=")</f>
        <v>#REF!</v>
      </c>
      <c r="FX60" t="e">
        <f>IF(Liste!#REF!,"AAAAAG+m+7M=",0)</f>
        <v>#REF!</v>
      </c>
      <c r="FY60" t="e">
        <f>AND(Liste!#REF!,"AAAAAG+m+7Q=")</f>
        <v>#REF!</v>
      </c>
      <c r="FZ60" t="e">
        <f>AND(Liste!#REF!,"AAAAAG+m+7U=")</f>
        <v>#REF!</v>
      </c>
      <c r="GA60" t="e">
        <f>AND(Liste!#REF!,"AAAAAG+m+7Y=")</f>
        <v>#REF!</v>
      </c>
      <c r="GB60" t="e">
        <f>AND(Liste!#REF!,"AAAAAG+m+7c=")</f>
        <v>#REF!</v>
      </c>
      <c r="GC60" t="e">
        <f>AND(Liste!#REF!,"AAAAAG+m+7g=")</f>
        <v>#REF!</v>
      </c>
      <c r="GD60" t="e">
        <f>AND(Liste!#REF!,"AAAAAG+m+7k=")</f>
        <v>#REF!</v>
      </c>
      <c r="GE60" t="e">
        <f>AND(Liste!#REF!,"AAAAAG+m+7o=")</f>
        <v>#REF!</v>
      </c>
      <c r="GF60" t="e">
        <f>AND(Liste!#REF!,"AAAAAG+m+7s=")</f>
        <v>#REF!</v>
      </c>
      <c r="GG60" t="e">
        <f>AND(Liste!#REF!,"AAAAAG+m+7w=")</f>
        <v>#REF!</v>
      </c>
      <c r="GH60" t="e">
        <f>AND(Liste!#REF!,"AAAAAG+m+70=")</f>
        <v>#REF!</v>
      </c>
      <c r="GI60" t="e">
        <f>AND(Liste!#REF!,"AAAAAG+m+74=")</f>
        <v>#REF!</v>
      </c>
      <c r="GJ60" t="e">
        <f>AND(Liste!#REF!,"AAAAAG+m+78=")</f>
        <v>#REF!</v>
      </c>
      <c r="GK60" t="e">
        <f>AND(Liste!#REF!,"AAAAAG+m+8A=")</f>
        <v>#REF!</v>
      </c>
      <c r="GL60" t="e">
        <f>AND(Liste!#REF!,"AAAAAG+m+8E=")</f>
        <v>#REF!</v>
      </c>
      <c r="GM60" t="e">
        <f>AND(Liste!#REF!,"AAAAAG+m+8I=")</f>
        <v>#REF!</v>
      </c>
      <c r="GN60" t="e">
        <f>AND(Liste!#REF!,"AAAAAG+m+8M=")</f>
        <v>#REF!</v>
      </c>
      <c r="GO60" t="e">
        <f>AND(Liste!#REF!,"AAAAAG+m+8Q=")</f>
        <v>#REF!</v>
      </c>
      <c r="GP60" t="e">
        <f>AND(Liste!#REF!,"AAAAAG+m+8U=")</f>
        <v>#REF!</v>
      </c>
      <c r="GQ60" t="e">
        <f>AND(Liste!#REF!,"AAAAAG+m+8Y=")</f>
        <v>#REF!</v>
      </c>
      <c r="GR60" t="e">
        <f>AND(Liste!#REF!,"AAAAAG+m+8c=")</f>
        <v>#REF!</v>
      </c>
      <c r="GS60" t="e">
        <f>AND(Liste!#REF!,"AAAAAG+m+8g=")</f>
        <v>#REF!</v>
      </c>
      <c r="GT60" t="e">
        <f>AND(Liste!#REF!,"AAAAAG+m+8k=")</f>
        <v>#REF!</v>
      </c>
      <c r="GU60" t="e">
        <f>AND(Liste!#REF!,"AAAAAG+m+8o=")</f>
        <v>#REF!</v>
      </c>
      <c r="GV60" t="e">
        <f>AND(Liste!#REF!,"AAAAAG+m+8s=")</f>
        <v>#REF!</v>
      </c>
      <c r="GW60" t="e">
        <f>AND(Liste!#REF!,"AAAAAG+m+8w=")</f>
        <v>#REF!</v>
      </c>
      <c r="GX60" t="e">
        <f>AND(Liste!#REF!,"AAAAAG+m+80=")</f>
        <v>#REF!</v>
      </c>
      <c r="GY60" t="e">
        <f>AND(Liste!#REF!,"AAAAAG+m+84=")</f>
        <v>#REF!</v>
      </c>
      <c r="GZ60" t="e">
        <f>AND(Liste!#REF!,"AAAAAG+m+88=")</f>
        <v>#REF!</v>
      </c>
      <c r="HA60" t="e">
        <f>AND(Liste!#REF!,"AAAAAG+m+9A=")</f>
        <v>#REF!</v>
      </c>
      <c r="HB60" t="e">
        <f>AND(Liste!#REF!,"AAAAAG+m+9E=")</f>
        <v>#REF!</v>
      </c>
      <c r="HC60" t="e">
        <f>IF(Liste!#REF!,"AAAAAG+m+9I=",0)</f>
        <v>#REF!</v>
      </c>
      <c r="HD60" t="e">
        <f>AND(Liste!#REF!,"AAAAAG+m+9M=")</f>
        <v>#REF!</v>
      </c>
      <c r="HE60" t="e">
        <f>AND(Liste!#REF!,"AAAAAG+m+9Q=")</f>
        <v>#REF!</v>
      </c>
      <c r="HF60" t="e">
        <f>AND(Liste!#REF!,"AAAAAG+m+9U=")</f>
        <v>#REF!</v>
      </c>
      <c r="HG60" t="e">
        <f>AND(Liste!#REF!,"AAAAAG+m+9Y=")</f>
        <v>#REF!</v>
      </c>
      <c r="HH60" t="e">
        <f>AND(Liste!#REF!,"AAAAAG+m+9c=")</f>
        <v>#REF!</v>
      </c>
      <c r="HI60" t="e">
        <f>AND(Liste!#REF!,"AAAAAG+m+9g=")</f>
        <v>#REF!</v>
      </c>
      <c r="HJ60" t="e">
        <f>AND(Liste!#REF!,"AAAAAG+m+9k=")</f>
        <v>#REF!</v>
      </c>
      <c r="HK60" t="e">
        <f>AND(Liste!#REF!,"AAAAAG+m+9o=")</f>
        <v>#REF!</v>
      </c>
      <c r="HL60" t="e">
        <f>AND(Liste!#REF!,"AAAAAG+m+9s=")</f>
        <v>#REF!</v>
      </c>
      <c r="HM60" t="e">
        <f>AND(Liste!#REF!,"AAAAAG+m+9w=")</f>
        <v>#REF!</v>
      </c>
      <c r="HN60" t="e">
        <f>AND(Liste!#REF!,"AAAAAG+m+90=")</f>
        <v>#REF!</v>
      </c>
      <c r="HO60" t="e">
        <f>AND(Liste!#REF!,"AAAAAG+m+94=")</f>
        <v>#REF!</v>
      </c>
      <c r="HP60" t="e">
        <f>AND(Liste!#REF!,"AAAAAG+m+98=")</f>
        <v>#REF!</v>
      </c>
      <c r="HQ60" t="e">
        <f>AND(Liste!#REF!,"AAAAAG+m++A=")</f>
        <v>#REF!</v>
      </c>
      <c r="HR60" t="e">
        <f>AND(Liste!#REF!,"AAAAAG+m++E=")</f>
        <v>#REF!</v>
      </c>
      <c r="HS60" t="e">
        <f>AND(Liste!#REF!,"AAAAAG+m++I=")</f>
        <v>#REF!</v>
      </c>
      <c r="HT60" t="e">
        <f>AND(Liste!#REF!,"AAAAAG+m++M=")</f>
        <v>#REF!</v>
      </c>
      <c r="HU60" t="e">
        <f>AND(Liste!#REF!,"AAAAAG+m++Q=")</f>
        <v>#REF!</v>
      </c>
      <c r="HV60" t="e">
        <f>AND(Liste!#REF!,"AAAAAG+m++U=")</f>
        <v>#REF!</v>
      </c>
      <c r="HW60" t="e">
        <f>AND(Liste!#REF!,"AAAAAG+m++Y=")</f>
        <v>#REF!</v>
      </c>
      <c r="HX60" t="e">
        <f>AND(Liste!#REF!,"AAAAAG+m++c=")</f>
        <v>#REF!</v>
      </c>
      <c r="HY60" t="e">
        <f>AND(Liste!#REF!,"AAAAAG+m++g=")</f>
        <v>#REF!</v>
      </c>
      <c r="HZ60" t="e">
        <f>AND(Liste!#REF!,"AAAAAG+m++k=")</f>
        <v>#REF!</v>
      </c>
      <c r="IA60" t="e">
        <f>AND(Liste!#REF!,"AAAAAG+m++o=")</f>
        <v>#REF!</v>
      </c>
      <c r="IB60" t="e">
        <f>AND(Liste!#REF!,"AAAAAG+m++s=")</f>
        <v>#REF!</v>
      </c>
      <c r="IC60" t="e">
        <f>AND(Liste!#REF!,"AAAAAG+m++w=")</f>
        <v>#REF!</v>
      </c>
      <c r="ID60" t="e">
        <f>AND(Liste!#REF!,"AAAAAG+m++0=")</f>
        <v>#REF!</v>
      </c>
      <c r="IE60" t="e">
        <f>AND(Liste!#REF!,"AAAAAG+m++4=")</f>
        <v>#REF!</v>
      </c>
      <c r="IF60" t="e">
        <f>AND(Liste!#REF!,"AAAAAG+m++8=")</f>
        <v>#REF!</v>
      </c>
      <c r="IG60" t="e">
        <f>AND(Liste!#REF!,"AAAAAG+m+/A=")</f>
        <v>#REF!</v>
      </c>
      <c r="IH60" t="e">
        <f>IF(Liste!#REF!,"AAAAAG+m+/E=",0)</f>
        <v>#REF!</v>
      </c>
      <c r="II60" t="e">
        <f>AND(Liste!#REF!,"AAAAAG+m+/I=")</f>
        <v>#REF!</v>
      </c>
      <c r="IJ60" t="e">
        <f>AND(Liste!#REF!,"AAAAAG+m+/M=")</f>
        <v>#REF!</v>
      </c>
      <c r="IK60" t="e">
        <f>AND(Liste!#REF!,"AAAAAG+m+/Q=")</f>
        <v>#REF!</v>
      </c>
      <c r="IL60" t="e">
        <f>AND(Liste!#REF!,"AAAAAG+m+/U=")</f>
        <v>#REF!</v>
      </c>
      <c r="IM60" t="e">
        <f>AND(Liste!#REF!,"AAAAAG+m+/Y=")</f>
        <v>#REF!</v>
      </c>
      <c r="IN60" t="e">
        <f>AND(Liste!#REF!,"AAAAAG+m+/c=")</f>
        <v>#REF!</v>
      </c>
      <c r="IO60" t="e">
        <f>AND(Liste!#REF!,"AAAAAG+m+/g=")</f>
        <v>#REF!</v>
      </c>
      <c r="IP60" t="e">
        <f>AND(Liste!#REF!,"AAAAAG+m+/k=")</f>
        <v>#REF!</v>
      </c>
      <c r="IQ60" t="e">
        <f>AND(Liste!#REF!,"AAAAAG+m+/o=")</f>
        <v>#REF!</v>
      </c>
      <c r="IR60" t="e">
        <f>AND(Liste!#REF!,"AAAAAG+m+/s=")</f>
        <v>#REF!</v>
      </c>
      <c r="IS60" t="e">
        <f>AND(Liste!#REF!,"AAAAAG+m+/w=")</f>
        <v>#REF!</v>
      </c>
      <c r="IT60" t="e">
        <f>AND(Liste!#REF!,"AAAAAG+m+/0=")</f>
        <v>#REF!</v>
      </c>
      <c r="IU60" t="e">
        <f>AND(Liste!#REF!,"AAAAAG+m+/4=")</f>
        <v>#REF!</v>
      </c>
      <c r="IV60" t="e">
        <f>AND(Liste!#REF!,"AAAAAG+m+/8=")</f>
        <v>#REF!</v>
      </c>
    </row>
    <row r="61" spans="1:256" x14ac:dyDescent="0.2">
      <c r="A61" t="e">
        <f>AND(Liste!#REF!,"AAAAAGu1/QA=")</f>
        <v>#REF!</v>
      </c>
      <c r="B61" t="e">
        <f>AND(Liste!#REF!,"AAAAAGu1/QE=")</f>
        <v>#REF!</v>
      </c>
      <c r="C61" t="e">
        <f>AND(Liste!#REF!,"AAAAAGu1/QI=")</f>
        <v>#REF!</v>
      </c>
      <c r="D61" t="e">
        <f>AND(Liste!#REF!,"AAAAAGu1/QM=")</f>
        <v>#REF!</v>
      </c>
      <c r="E61" t="e">
        <f>AND(Liste!#REF!,"AAAAAGu1/QQ=")</f>
        <v>#REF!</v>
      </c>
      <c r="F61" t="e">
        <f>AND(Liste!#REF!,"AAAAAGu1/QU=")</f>
        <v>#REF!</v>
      </c>
      <c r="G61" t="e">
        <f>AND(Liste!#REF!,"AAAAAGu1/QY=")</f>
        <v>#REF!</v>
      </c>
      <c r="H61" t="e">
        <f>AND(Liste!#REF!,"AAAAAGu1/Qc=")</f>
        <v>#REF!</v>
      </c>
      <c r="I61" t="e">
        <f>AND(Liste!#REF!,"AAAAAGu1/Qg=")</f>
        <v>#REF!</v>
      </c>
      <c r="J61" t="e">
        <f>AND(Liste!#REF!,"AAAAAGu1/Qk=")</f>
        <v>#REF!</v>
      </c>
      <c r="K61" t="e">
        <f>AND(Liste!#REF!,"AAAAAGu1/Qo=")</f>
        <v>#REF!</v>
      </c>
      <c r="L61" t="e">
        <f>AND(Liste!#REF!,"AAAAAGu1/Qs=")</f>
        <v>#REF!</v>
      </c>
      <c r="M61" t="e">
        <f>AND(Liste!#REF!,"AAAAAGu1/Qw=")</f>
        <v>#REF!</v>
      </c>
      <c r="N61" t="e">
        <f>AND(Liste!#REF!,"AAAAAGu1/Q0=")</f>
        <v>#REF!</v>
      </c>
      <c r="O61" t="e">
        <f>AND(Liste!#REF!,"AAAAAGu1/Q4=")</f>
        <v>#REF!</v>
      </c>
      <c r="P61" t="e">
        <f>AND(Liste!#REF!,"AAAAAGu1/Q8=")</f>
        <v>#REF!</v>
      </c>
      <c r="Q61" t="e">
        <f>IF(Liste!#REF!,"AAAAAGu1/RA=",0)</f>
        <v>#REF!</v>
      </c>
      <c r="R61" t="e">
        <f>AND(Liste!#REF!,"AAAAAGu1/RE=")</f>
        <v>#REF!</v>
      </c>
      <c r="S61" t="e">
        <f>AND(Liste!#REF!,"AAAAAGu1/RI=")</f>
        <v>#REF!</v>
      </c>
      <c r="T61" t="e">
        <f>AND(Liste!#REF!,"AAAAAGu1/RM=")</f>
        <v>#REF!</v>
      </c>
      <c r="U61" t="e">
        <f>AND(Liste!#REF!,"AAAAAGu1/RQ=")</f>
        <v>#REF!</v>
      </c>
      <c r="V61" t="e">
        <f>AND(Liste!#REF!,"AAAAAGu1/RU=")</f>
        <v>#REF!</v>
      </c>
      <c r="W61" t="e">
        <f>AND(Liste!#REF!,"AAAAAGu1/RY=")</f>
        <v>#REF!</v>
      </c>
      <c r="X61" t="e">
        <f>AND(Liste!#REF!,"AAAAAGu1/Rc=")</f>
        <v>#REF!</v>
      </c>
      <c r="Y61" t="e">
        <f>AND(Liste!#REF!,"AAAAAGu1/Rg=")</f>
        <v>#REF!</v>
      </c>
      <c r="Z61" t="e">
        <f>AND(Liste!#REF!,"AAAAAGu1/Rk=")</f>
        <v>#REF!</v>
      </c>
      <c r="AA61" t="e">
        <f>AND(Liste!#REF!,"AAAAAGu1/Ro=")</f>
        <v>#REF!</v>
      </c>
      <c r="AB61" t="e">
        <f>AND(Liste!#REF!,"AAAAAGu1/Rs=")</f>
        <v>#REF!</v>
      </c>
      <c r="AC61" t="e">
        <f>AND(Liste!#REF!,"AAAAAGu1/Rw=")</f>
        <v>#REF!</v>
      </c>
      <c r="AD61" t="e">
        <f>AND(Liste!#REF!,"AAAAAGu1/R0=")</f>
        <v>#REF!</v>
      </c>
      <c r="AE61" t="e">
        <f>AND(Liste!#REF!,"AAAAAGu1/R4=")</f>
        <v>#REF!</v>
      </c>
      <c r="AF61" t="e">
        <f>AND(Liste!#REF!,"AAAAAGu1/R8=")</f>
        <v>#REF!</v>
      </c>
      <c r="AG61" t="e">
        <f>AND(Liste!#REF!,"AAAAAGu1/SA=")</f>
        <v>#REF!</v>
      </c>
      <c r="AH61" t="e">
        <f>AND(Liste!#REF!,"AAAAAGu1/SE=")</f>
        <v>#REF!</v>
      </c>
      <c r="AI61" t="e">
        <f>AND(Liste!#REF!,"AAAAAGu1/SI=")</f>
        <v>#REF!</v>
      </c>
      <c r="AJ61" t="e">
        <f>AND(Liste!#REF!,"AAAAAGu1/SM=")</f>
        <v>#REF!</v>
      </c>
      <c r="AK61" t="e">
        <f>AND(Liste!#REF!,"AAAAAGu1/SQ=")</f>
        <v>#REF!</v>
      </c>
      <c r="AL61" t="e">
        <f>AND(Liste!#REF!,"AAAAAGu1/SU=")</f>
        <v>#REF!</v>
      </c>
      <c r="AM61" t="e">
        <f>AND(Liste!#REF!,"AAAAAGu1/SY=")</f>
        <v>#REF!</v>
      </c>
      <c r="AN61" t="e">
        <f>AND(Liste!#REF!,"AAAAAGu1/Sc=")</f>
        <v>#REF!</v>
      </c>
      <c r="AO61" t="e">
        <f>AND(Liste!#REF!,"AAAAAGu1/Sg=")</f>
        <v>#REF!</v>
      </c>
      <c r="AP61" t="e">
        <f>AND(Liste!#REF!,"AAAAAGu1/Sk=")</f>
        <v>#REF!</v>
      </c>
      <c r="AQ61" t="e">
        <f>AND(Liste!#REF!,"AAAAAGu1/So=")</f>
        <v>#REF!</v>
      </c>
      <c r="AR61" t="e">
        <f>AND(Liste!#REF!,"AAAAAGu1/Ss=")</f>
        <v>#REF!</v>
      </c>
      <c r="AS61" t="e">
        <f>AND(Liste!#REF!,"AAAAAGu1/Sw=")</f>
        <v>#REF!</v>
      </c>
      <c r="AT61" t="e">
        <f>AND(Liste!#REF!,"AAAAAGu1/S0=")</f>
        <v>#REF!</v>
      </c>
      <c r="AU61" t="e">
        <f>AND(Liste!#REF!,"AAAAAGu1/S4=")</f>
        <v>#REF!</v>
      </c>
      <c r="AV61" t="e">
        <f>IF(Liste!#REF!,"AAAAAGu1/S8=",0)</f>
        <v>#REF!</v>
      </c>
      <c r="AW61" t="e">
        <f>AND(Liste!#REF!,"AAAAAGu1/TA=")</f>
        <v>#REF!</v>
      </c>
      <c r="AX61" t="e">
        <f>AND(Liste!#REF!,"AAAAAGu1/TE=")</f>
        <v>#REF!</v>
      </c>
      <c r="AY61" t="e">
        <f>AND(Liste!#REF!,"AAAAAGu1/TI=")</f>
        <v>#REF!</v>
      </c>
      <c r="AZ61" t="e">
        <f>AND(Liste!#REF!,"AAAAAGu1/TM=")</f>
        <v>#REF!</v>
      </c>
      <c r="BA61" t="e">
        <f>AND(Liste!#REF!,"AAAAAGu1/TQ=")</f>
        <v>#REF!</v>
      </c>
      <c r="BB61" t="e">
        <f>AND(Liste!#REF!,"AAAAAGu1/TU=")</f>
        <v>#REF!</v>
      </c>
      <c r="BC61" t="e">
        <f>AND(Liste!#REF!,"AAAAAGu1/TY=")</f>
        <v>#REF!</v>
      </c>
      <c r="BD61" t="e">
        <f>AND(Liste!#REF!,"AAAAAGu1/Tc=")</f>
        <v>#REF!</v>
      </c>
      <c r="BE61" t="e">
        <f>AND(Liste!#REF!,"AAAAAGu1/Tg=")</f>
        <v>#REF!</v>
      </c>
      <c r="BF61" t="e">
        <f>AND(Liste!#REF!,"AAAAAGu1/Tk=")</f>
        <v>#REF!</v>
      </c>
      <c r="BG61" t="e">
        <f>AND(Liste!#REF!,"AAAAAGu1/To=")</f>
        <v>#REF!</v>
      </c>
      <c r="BH61" t="e">
        <f>AND(Liste!#REF!,"AAAAAGu1/Ts=")</f>
        <v>#REF!</v>
      </c>
      <c r="BI61" t="e">
        <f>AND(Liste!#REF!,"AAAAAGu1/Tw=")</f>
        <v>#REF!</v>
      </c>
      <c r="BJ61" t="e">
        <f>AND(Liste!#REF!,"AAAAAGu1/T0=")</f>
        <v>#REF!</v>
      </c>
      <c r="BK61" t="e">
        <f>AND(Liste!#REF!,"AAAAAGu1/T4=")</f>
        <v>#REF!</v>
      </c>
      <c r="BL61" t="e">
        <f>AND(Liste!#REF!,"AAAAAGu1/T8=")</f>
        <v>#REF!</v>
      </c>
      <c r="BM61" t="e">
        <f>AND(Liste!#REF!,"AAAAAGu1/UA=")</f>
        <v>#REF!</v>
      </c>
      <c r="BN61" t="e">
        <f>AND(Liste!#REF!,"AAAAAGu1/UE=")</f>
        <v>#REF!</v>
      </c>
      <c r="BO61" t="e">
        <f>AND(Liste!#REF!,"AAAAAGu1/UI=")</f>
        <v>#REF!</v>
      </c>
      <c r="BP61" t="e">
        <f>AND(Liste!#REF!,"AAAAAGu1/UM=")</f>
        <v>#REF!</v>
      </c>
      <c r="BQ61" t="e">
        <f>AND(Liste!#REF!,"AAAAAGu1/UQ=")</f>
        <v>#REF!</v>
      </c>
      <c r="BR61" t="e">
        <f>AND(Liste!#REF!,"AAAAAGu1/UU=")</f>
        <v>#REF!</v>
      </c>
      <c r="BS61" t="e">
        <f>AND(Liste!#REF!,"AAAAAGu1/UY=")</f>
        <v>#REF!</v>
      </c>
      <c r="BT61" t="e">
        <f>AND(Liste!#REF!,"AAAAAGu1/Uc=")</f>
        <v>#REF!</v>
      </c>
      <c r="BU61" t="e">
        <f>AND(Liste!#REF!,"AAAAAGu1/Ug=")</f>
        <v>#REF!</v>
      </c>
      <c r="BV61" t="e">
        <f>AND(Liste!#REF!,"AAAAAGu1/Uk=")</f>
        <v>#REF!</v>
      </c>
      <c r="BW61" t="e">
        <f>AND(Liste!#REF!,"AAAAAGu1/Uo=")</f>
        <v>#REF!</v>
      </c>
      <c r="BX61" t="e">
        <f>AND(Liste!#REF!,"AAAAAGu1/Us=")</f>
        <v>#REF!</v>
      </c>
      <c r="BY61" t="e">
        <f>AND(Liste!#REF!,"AAAAAGu1/Uw=")</f>
        <v>#REF!</v>
      </c>
      <c r="BZ61" t="e">
        <f>AND(Liste!#REF!,"AAAAAGu1/U0=")</f>
        <v>#REF!</v>
      </c>
      <c r="CA61" t="e">
        <f>IF(Liste!#REF!,"AAAAAGu1/U4=",0)</f>
        <v>#REF!</v>
      </c>
      <c r="CB61" t="e">
        <f>AND(Liste!#REF!,"AAAAAGu1/U8=")</f>
        <v>#REF!</v>
      </c>
      <c r="CC61" t="e">
        <f>AND(Liste!#REF!,"AAAAAGu1/VA=")</f>
        <v>#REF!</v>
      </c>
      <c r="CD61" t="e">
        <f>AND(Liste!#REF!,"AAAAAGu1/VE=")</f>
        <v>#REF!</v>
      </c>
      <c r="CE61" t="e">
        <f>AND(Liste!#REF!,"AAAAAGu1/VI=")</f>
        <v>#REF!</v>
      </c>
      <c r="CF61" t="e">
        <f>AND(Liste!#REF!,"AAAAAGu1/VM=")</f>
        <v>#REF!</v>
      </c>
      <c r="CG61" t="e">
        <f>AND(Liste!#REF!,"AAAAAGu1/VQ=")</f>
        <v>#REF!</v>
      </c>
      <c r="CH61" t="e">
        <f>AND(Liste!#REF!,"AAAAAGu1/VU=")</f>
        <v>#REF!</v>
      </c>
      <c r="CI61" t="e">
        <f>AND(Liste!#REF!,"AAAAAGu1/VY=")</f>
        <v>#REF!</v>
      </c>
      <c r="CJ61" t="e">
        <f>AND(Liste!#REF!,"AAAAAGu1/Vc=")</f>
        <v>#REF!</v>
      </c>
      <c r="CK61" t="e">
        <f>AND(Liste!#REF!,"AAAAAGu1/Vg=")</f>
        <v>#REF!</v>
      </c>
      <c r="CL61" t="e">
        <f>AND(Liste!#REF!,"AAAAAGu1/Vk=")</f>
        <v>#REF!</v>
      </c>
      <c r="CM61" t="e">
        <f>AND(Liste!#REF!,"AAAAAGu1/Vo=")</f>
        <v>#REF!</v>
      </c>
      <c r="CN61" t="e">
        <f>AND(Liste!#REF!,"AAAAAGu1/Vs=")</f>
        <v>#REF!</v>
      </c>
      <c r="CO61" t="e">
        <f>AND(Liste!#REF!,"AAAAAGu1/Vw=")</f>
        <v>#REF!</v>
      </c>
      <c r="CP61" t="e">
        <f>AND(Liste!#REF!,"AAAAAGu1/V0=")</f>
        <v>#REF!</v>
      </c>
      <c r="CQ61" t="e">
        <f>AND(Liste!#REF!,"AAAAAGu1/V4=")</f>
        <v>#REF!</v>
      </c>
      <c r="CR61" t="e">
        <f>AND(Liste!#REF!,"AAAAAGu1/V8=")</f>
        <v>#REF!</v>
      </c>
      <c r="CS61" t="e">
        <f>AND(Liste!#REF!,"AAAAAGu1/WA=")</f>
        <v>#REF!</v>
      </c>
      <c r="CT61" t="e">
        <f>AND(Liste!#REF!,"AAAAAGu1/WE=")</f>
        <v>#REF!</v>
      </c>
      <c r="CU61" t="e">
        <f>AND(Liste!#REF!,"AAAAAGu1/WI=")</f>
        <v>#REF!</v>
      </c>
      <c r="CV61" t="e">
        <f>AND(Liste!#REF!,"AAAAAGu1/WM=")</f>
        <v>#REF!</v>
      </c>
      <c r="CW61" t="e">
        <f>AND(Liste!#REF!,"AAAAAGu1/WQ=")</f>
        <v>#REF!</v>
      </c>
      <c r="CX61" t="e">
        <f>AND(Liste!#REF!,"AAAAAGu1/WU=")</f>
        <v>#REF!</v>
      </c>
      <c r="CY61" t="e">
        <f>AND(Liste!#REF!,"AAAAAGu1/WY=")</f>
        <v>#REF!</v>
      </c>
      <c r="CZ61" t="e">
        <f>AND(Liste!#REF!,"AAAAAGu1/Wc=")</f>
        <v>#REF!</v>
      </c>
      <c r="DA61" t="e">
        <f>AND(Liste!#REF!,"AAAAAGu1/Wg=")</f>
        <v>#REF!</v>
      </c>
      <c r="DB61" t="e">
        <f>AND(Liste!#REF!,"AAAAAGu1/Wk=")</f>
        <v>#REF!</v>
      </c>
      <c r="DC61" t="e">
        <f>AND(Liste!#REF!,"AAAAAGu1/Wo=")</f>
        <v>#REF!</v>
      </c>
      <c r="DD61" t="e">
        <f>AND(Liste!#REF!,"AAAAAGu1/Ws=")</f>
        <v>#REF!</v>
      </c>
      <c r="DE61" t="e">
        <f>AND(Liste!#REF!,"AAAAAGu1/Ww=")</f>
        <v>#REF!</v>
      </c>
      <c r="DF61" t="e">
        <f>IF(Liste!#REF!,"AAAAAGu1/W0=",0)</f>
        <v>#REF!</v>
      </c>
      <c r="DG61" t="e">
        <f>AND(Liste!#REF!,"AAAAAGu1/W4=")</f>
        <v>#REF!</v>
      </c>
      <c r="DH61" t="e">
        <f>AND(Liste!#REF!,"AAAAAGu1/W8=")</f>
        <v>#REF!</v>
      </c>
      <c r="DI61" t="e">
        <f>AND(Liste!#REF!,"AAAAAGu1/XA=")</f>
        <v>#REF!</v>
      </c>
      <c r="DJ61" t="e">
        <f>AND(Liste!#REF!,"AAAAAGu1/XE=")</f>
        <v>#REF!</v>
      </c>
      <c r="DK61" t="e">
        <f>AND(Liste!#REF!,"AAAAAGu1/XI=")</f>
        <v>#REF!</v>
      </c>
      <c r="DL61" t="e">
        <f>AND(Liste!#REF!,"AAAAAGu1/XM=")</f>
        <v>#REF!</v>
      </c>
      <c r="DM61" t="e">
        <f>AND(Liste!#REF!,"AAAAAGu1/XQ=")</f>
        <v>#REF!</v>
      </c>
      <c r="DN61" t="e">
        <f>AND(Liste!#REF!,"AAAAAGu1/XU=")</f>
        <v>#REF!</v>
      </c>
      <c r="DO61" t="e">
        <f>AND(Liste!#REF!,"AAAAAGu1/XY=")</f>
        <v>#REF!</v>
      </c>
      <c r="DP61" t="e">
        <f>AND(Liste!#REF!,"AAAAAGu1/Xc=")</f>
        <v>#REF!</v>
      </c>
      <c r="DQ61" t="e">
        <f>AND(Liste!#REF!,"AAAAAGu1/Xg=")</f>
        <v>#REF!</v>
      </c>
      <c r="DR61" t="e">
        <f>AND(Liste!#REF!,"AAAAAGu1/Xk=")</f>
        <v>#REF!</v>
      </c>
      <c r="DS61" t="e">
        <f>AND(Liste!#REF!,"AAAAAGu1/Xo=")</f>
        <v>#REF!</v>
      </c>
      <c r="DT61" t="e">
        <f>AND(Liste!#REF!,"AAAAAGu1/Xs=")</f>
        <v>#REF!</v>
      </c>
      <c r="DU61" t="e">
        <f>AND(Liste!#REF!,"AAAAAGu1/Xw=")</f>
        <v>#REF!</v>
      </c>
      <c r="DV61" t="e">
        <f>AND(Liste!#REF!,"AAAAAGu1/X0=")</f>
        <v>#REF!</v>
      </c>
      <c r="DW61" t="e">
        <f>AND(Liste!#REF!,"AAAAAGu1/X4=")</f>
        <v>#REF!</v>
      </c>
      <c r="DX61" t="e">
        <f>AND(Liste!#REF!,"AAAAAGu1/X8=")</f>
        <v>#REF!</v>
      </c>
      <c r="DY61" t="e">
        <f>AND(Liste!#REF!,"AAAAAGu1/YA=")</f>
        <v>#REF!</v>
      </c>
      <c r="DZ61" t="e">
        <f>AND(Liste!#REF!,"AAAAAGu1/YE=")</f>
        <v>#REF!</v>
      </c>
      <c r="EA61" t="e">
        <f>AND(Liste!#REF!,"AAAAAGu1/YI=")</f>
        <v>#REF!</v>
      </c>
      <c r="EB61" t="e">
        <f>AND(Liste!#REF!,"AAAAAGu1/YM=")</f>
        <v>#REF!</v>
      </c>
      <c r="EC61" t="e">
        <f>AND(Liste!#REF!,"AAAAAGu1/YQ=")</f>
        <v>#REF!</v>
      </c>
      <c r="ED61" t="e">
        <f>AND(Liste!#REF!,"AAAAAGu1/YU=")</f>
        <v>#REF!</v>
      </c>
      <c r="EE61" t="e">
        <f>AND(Liste!#REF!,"AAAAAGu1/YY=")</f>
        <v>#REF!</v>
      </c>
      <c r="EF61" t="e">
        <f>AND(Liste!#REF!,"AAAAAGu1/Yc=")</f>
        <v>#REF!</v>
      </c>
      <c r="EG61" t="e">
        <f>AND(Liste!#REF!,"AAAAAGu1/Yg=")</f>
        <v>#REF!</v>
      </c>
      <c r="EH61" t="e">
        <f>AND(Liste!#REF!,"AAAAAGu1/Yk=")</f>
        <v>#REF!</v>
      </c>
      <c r="EI61" t="e">
        <f>AND(Liste!#REF!,"AAAAAGu1/Yo=")</f>
        <v>#REF!</v>
      </c>
      <c r="EJ61" t="e">
        <f>AND(Liste!#REF!,"AAAAAGu1/Ys=")</f>
        <v>#REF!</v>
      </c>
      <c r="EK61" t="e">
        <f>IF(Liste!#REF!,"AAAAAGu1/Yw=",0)</f>
        <v>#REF!</v>
      </c>
      <c r="EL61" t="e">
        <f>AND(Liste!A455,"AAAAAGu1/Y0=")</f>
        <v>#VALUE!</v>
      </c>
      <c r="EM61" t="e">
        <f>AND(Liste!#REF!,"AAAAAGu1/Y4=")</f>
        <v>#REF!</v>
      </c>
      <c r="EN61" t="e">
        <f>AND(Liste!#REF!,"AAAAAGu1/Y8=")</f>
        <v>#REF!</v>
      </c>
      <c r="EO61" t="e">
        <f>AND(Liste!#REF!,"AAAAAGu1/ZA=")</f>
        <v>#REF!</v>
      </c>
      <c r="EP61" t="e">
        <f>AND(Liste!F455,"AAAAAGu1/ZE=")</f>
        <v>#VALUE!</v>
      </c>
      <c r="EQ61" t="e">
        <f>AND(Liste!G455,"AAAAAGu1/ZI=")</f>
        <v>#VALUE!</v>
      </c>
      <c r="ER61" t="e">
        <f>AND(Liste!H455,"AAAAAGu1/ZM=")</f>
        <v>#VALUE!</v>
      </c>
      <c r="ES61" t="e">
        <f>AND(Liste!I455,"AAAAAGu1/ZQ=")</f>
        <v>#VALUE!</v>
      </c>
      <c r="ET61" t="e">
        <f>AND(Liste!J455,"AAAAAGu1/ZU=")</f>
        <v>#VALUE!</v>
      </c>
      <c r="EU61" t="e">
        <f>AND(Liste!#REF!,"AAAAAGu1/ZY=")</f>
        <v>#REF!</v>
      </c>
      <c r="EV61" t="e">
        <f>AND(Liste!#REF!,"AAAAAGu1/Zc=")</f>
        <v>#REF!</v>
      </c>
      <c r="EW61" t="e">
        <f>AND(Liste!#REF!,"AAAAAGu1/Zg=")</f>
        <v>#REF!</v>
      </c>
      <c r="EX61" t="e">
        <f>AND(Liste!#REF!,"AAAAAGu1/Zk=")</f>
        <v>#REF!</v>
      </c>
      <c r="EY61" t="e">
        <f>AND(Liste!#REF!,"AAAAAGu1/Zo=")</f>
        <v>#REF!</v>
      </c>
      <c r="EZ61" t="e">
        <f>AND(Liste!#REF!,"AAAAAGu1/Zs=")</f>
        <v>#REF!</v>
      </c>
      <c r="FA61" t="e">
        <f>AND(Liste!#REF!,"AAAAAGu1/Zw=")</f>
        <v>#REF!</v>
      </c>
      <c r="FB61" t="e">
        <f>AND(Liste!#REF!,"AAAAAGu1/Z0=")</f>
        <v>#REF!</v>
      </c>
      <c r="FC61" t="e">
        <f>AND(Liste!#REF!,"AAAAAGu1/Z4=")</f>
        <v>#REF!</v>
      </c>
      <c r="FD61" t="e">
        <f>AND(Liste!#REF!,"AAAAAGu1/Z8=")</f>
        <v>#REF!</v>
      </c>
      <c r="FE61" t="e">
        <f>AND(Liste!#REF!,"AAAAAGu1/aA=")</f>
        <v>#REF!</v>
      </c>
      <c r="FF61" t="e">
        <f>AND(Liste!#REF!,"AAAAAGu1/aE=")</f>
        <v>#REF!</v>
      </c>
      <c r="FG61" t="e">
        <f>AND(Liste!#REF!,"AAAAAGu1/aI=")</f>
        <v>#REF!</v>
      </c>
      <c r="FH61" t="e">
        <f>AND(Liste!#REF!,"AAAAAGu1/aM=")</f>
        <v>#REF!</v>
      </c>
      <c r="FI61" t="e">
        <f>AND(Liste!#REF!,"AAAAAGu1/aQ=")</f>
        <v>#REF!</v>
      </c>
      <c r="FJ61" t="e">
        <f>AND(Liste!#REF!,"AAAAAGu1/aU=")</f>
        <v>#REF!</v>
      </c>
      <c r="FK61" t="e">
        <f>AND(Liste!#REF!,"AAAAAGu1/aY=")</f>
        <v>#REF!</v>
      </c>
      <c r="FL61" t="e">
        <f>AND(Liste!#REF!,"AAAAAGu1/ac=")</f>
        <v>#REF!</v>
      </c>
      <c r="FM61" t="e">
        <f>AND(Liste!#REF!,"AAAAAGu1/ag=")</f>
        <v>#REF!</v>
      </c>
      <c r="FN61" t="e">
        <f>AND(Liste!#REF!,"AAAAAGu1/ak=")</f>
        <v>#REF!</v>
      </c>
      <c r="FO61" t="e">
        <f>AND(Liste!#REF!,"AAAAAGu1/ao=")</f>
        <v>#REF!</v>
      </c>
      <c r="FP61">
        <f>IF(Liste!455:455,"AAAAAGu1/as=",0)</f>
        <v>0</v>
      </c>
      <c r="FQ61" t="e">
        <f>AND(Liste!A456,"AAAAAGu1/aw=")</f>
        <v>#VALUE!</v>
      </c>
      <c r="FR61" t="e">
        <f>AND(Liste!#REF!,"AAAAAGu1/a0=")</f>
        <v>#REF!</v>
      </c>
      <c r="FS61" t="e">
        <f>AND(Liste!#REF!,"AAAAAGu1/a4=")</f>
        <v>#REF!</v>
      </c>
      <c r="FT61" t="e">
        <f>AND(Liste!#REF!,"AAAAAGu1/a8=")</f>
        <v>#REF!</v>
      </c>
      <c r="FU61" t="e">
        <f>AND(Liste!F456,"AAAAAGu1/bA=")</f>
        <v>#VALUE!</v>
      </c>
      <c r="FV61" t="e">
        <f>AND(Liste!G456,"AAAAAGu1/bE=")</f>
        <v>#VALUE!</v>
      </c>
      <c r="FW61" t="e">
        <f>AND(Liste!H456,"AAAAAGu1/bI=")</f>
        <v>#VALUE!</v>
      </c>
      <c r="FX61" t="e">
        <f>AND(Liste!I456,"AAAAAGu1/bM=")</f>
        <v>#VALUE!</v>
      </c>
      <c r="FY61" t="e">
        <f>AND(Liste!J456,"AAAAAGu1/bQ=")</f>
        <v>#VALUE!</v>
      </c>
      <c r="FZ61" t="e">
        <f>AND(Liste!#REF!,"AAAAAGu1/bU=")</f>
        <v>#REF!</v>
      </c>
      <c r="GA61" t="e">
        <f>AND(Liste!#REF!,"AAAAAGu1/bY=")</f>
        <v>#REF!</v>
      </c>
      <c r="GB61" t="e">
        <f>AND(Liste!#REF!,"AAAAAGu1/bc=")</f>
        <v>#REF!</v>
      </c>
      <c r="GC61" t="e">
        <f>AND(Liste!#REF!,"AAAAAGu1/bg=")</f>
        <v>#REF!</v>
      </c>
      <c r="GD61" t="e">
        <f>AND(Liste!#REF!,"AAAAAGu1/bk=")</f>
        <v>#REF!</v>
      </c>
      <c r="GE61" t="e">
        <f>AND(Liste!#REF!,"AAAAAGu1/bo=")</f>
        <v>#REF!</v>
      </c>
      <c r="GF61" t="e">
        <f>AND(Liste!#REF!,"AAAAAGu1/bs=")</f>
        <v>#REF!</v>
      </c>
      <c r="GG61" t="e">
        <f>AND(Liste!#REF!,"AAAAAGu1/bw=")</f>
        <v>#REF!</v>
      </c>
      <c r="GH61" t="e">
        <f>AND(Liste!#REF!,"AAAAAGu1/b0=")</f>
        <v>#REF!</v>
      </c>
      <c r="GI61" t="e">
        <f>AND(Liste!#REF!,"AAAAAGu1/b4=")</f>
        <v>#REF!</v>
      </c>
      <c r="GJ61" t="e">
        <f>AND(Liste!#REF!,"AAAAAGu1/b8=")</f>
        <v>#REF!</v>
      </c>
      <c r="GK61" t="e">
        <f>AND(Liste!#REF!,"AAAAAGu1/cA=")</f>
        <v>#REF!</v>
      </c>
      <c r="GL61" t="e">
        <f>AND(Liste!#REF!,"AAAAAGu1/cE=")</f>
        <v>#REF!</v>
      </c>
      <c r="GM61" t="e">
        <f>AND(Liste!#REF!,"AAAAAGu1/cI=")</f>
        <v>#REF!</v>
      </c>
      <c r="GN61" t="e">
        <f>AND(Liste!#REF!,"AAAAAGu1/cM=")</f>
        <v>#REF!</v>
      </c>
      <c r="GO61" t="e">
        <f>AND(Liste!#REF!,"AAAAAGu1/cQ=")</f>
        <v>#REF!</v>
      </c>
      <c r="GP61" t="e">
        <f>AND(Liste!#REF!,"AAAAAGu1/cU=")</f>
        <v>#REF!</v>
      </c>
      <c r="GQ61" t="e">
        <f>AND(Liste!#REF!,"AAAAAGu1/cY=")</f>
        <v>#REF!</v>
      </c>
      <c r="GR61" t="e">
        <f>AND(Liste!#REF!,"AAAAAGu1/cc=")</f>
        <v>#REF!</v>
      </c>
      <c r="GS61" t="e">
        <f>AND(Liste!#REF!,"AAAAAGu1/cg=")</f>
        <v>#REF!</v>
      </c>
      <c r="GT61" t="e">
        <f>AND(Liste!#REF!,"AAAAAGu1/ck=")</f>
        <v>#REF!</v>
      </c>
      <c r="GU61">
        <f>IF(Liste!456:456,"AAAAAGu1/co=",0)</f>
        <v>0</v>
      </c>
      <c r="GV61" t="b">
        <f>AND(Liste!A457,"AAAAAGu1/cs=")</f>
        <v>1</v>
      </c>
      <c r="GW61" t="e">
        <f>AND(Liste!#REF!,"AAAAAGu1/cw=")</f>
        <v>#REF!</v>
      </c>
      <c r="GX61" t="e">
        <f>AND(Liste!#REF!,"AAAAAGu1/c0=")</f>
        <v>#REF!</v>
      </c>
      <c r="GY61" t="e">
        <f>AND(Liste!#REF!,"AAAAAGu1/c4=")</f>
        <v>#REF!</v>
      </c>
      <c r="GZ61" t="e">
        <f>AND(Liste!F457,"AAAAAGu1/c8=")</f>
        <v>#VALUE!</v>
      </c>
      <c r="HA61" t="e">
        <f>AND(Liste!G457,"AAAAAGu1/dA=")</f>
        <v>#VALUE!</v>
      </c>
      <c r="HB61" t="e">
        <f>AND(Liste!H457,"AAAAAGu1/dE=")</f>
        <v>#VALUE!</v>
      </c>
      <c r="HC61" t="e">
        <f>AND(Liste!I457,"AAAAAGu1/dI=")</f>
        <v>#VALUE!</v>
      </c>
      <c r="HD61" t="e">
        <f>AND(Liste!J457,"AAAAAGu1/dM=")</f>
        <v>#VALUE!</v>
      </c>
      <c r="HE61" t="e">
        <f>AND(Liste!#REF!,"AAAAAGu1/dQ=")</f>
        <v>#REF!</v>
      </c>
      <c r="HF61" t="e">
        <f>AND(Liste!#REF!,"AAAAAGu1/dU=")</f>
        <v>#REF!</v>
      </c>
      <c r="HG61" t="e">
        <f>AND(Liste!#REF!,"AAAAAGu1/dY=")</f>
        <v>#REF!</v>
      </c>
      <c r="HH61" t="e">
        <f>AND(Liste!#REF!,"AAAAAGu1/dc=")</f>
        <v>#REF!</v>
      </c>
      <c r="HI61" t="e">
        <f>AND(Liste!#REF!,"AAAAAGu1/dg=")</f>
        <v>#REF!</v>
      </c>
      <c r="HJ61" t="e">
        <f>AND(Liste!#REF!,"AAAAAGu1/dk=")</f>
        <v>#REF!</v>
      </c>
      <c r="HK61" t="e">
        <f>AND(Liste!#REF!,"AAAAAGu1/do=")</f>
        <v>#REF!</v>
      </c>
      <c r="HL61" t="e">
        <f>AND(Liste!#REF!,"AAAAAGu1/ds=")</f>
        <v>#REF!</v>
      </c>
      <c r="HM61" t="e">
        <f>AND(Liste!#REF!,"AAAAAGu1/dw=")</f>
        <v>#REF!</v>
      </c>
      <c r="HN61" t="e">
        <f>AND(Liste!#REF!,"AAAAAGu1/d0=")</f>
        <v>#REF!</v>
      </c>
      <c r="HO61" t="e">
        <f>AND(Liste!#REF!,"AAAAAGu1/d4=")</f>
        <v>#REF!</v>
      </c>
      <c r="HP61" t="e">
        <f>AND(Liste!#REF!,"AAAAAGu1/d8=")</f>
        <v>#REF!</v>
      </c>
      <c r="HQ61" t="e">
        <f>AND(Liste!#REF!,"AAAAAGu1/eA=")</f>
        <v>#REF!</v>
      </c>
      <c r="HR61" t="e">
        <f>AND(Liste!#REF!,"AAAAAGu1/eE=")</f>
        <v>#REF!</v>
      </c>
      <c r="HS61" t="e">
        <f>AND(Liste!#REF!,"AAAAAGu1/eI=")</f>
        <v>#REF!</v>
      </c>
      <c r="HT61" t="e">
        <f>AND(Liste!#REF!,"AAAAAGu1/eM=")</f>
        <v>#REF!</v>
      </c>
      <c r="HU61" t="e">
        <f>AND(Liste!#REF!,"AAAAAGu1/eQ=")</f>
        <v>#REF!</v>
      </c>
      <c r="HV61" t="e">
        <f>AND(Liste!#REF!,"AAAAAGu1/eU=")</f>
        <v>#REF!</v>
      </c>
      <c r="HW61" t="e">
        <f>AND(Liste!#REF!,"AAAAAGu1/eY=")</f>
        <v>#REF!</v>
      </c>
      <c r="HX61" t="e">
        <f>AND(Liste!#REF!,"AAAAAGu1/ec=")</f>
        <v>#REF!</v>
      </c>
      <c r="HY61" t="e">
        <f>AND(Liste!#REF!,"AAAAAGu1/eg=")</f>
        <v>#REF!</v>
      </c>
      <c r="HZ61">
        <f>IF(Liste!457:457,"AAAAAGu1/ek=",0)</f>
        <v>0</v>
      </c>
      <c r="IA61" t="b">
        <f>AND(Liste!A458,"AAAAAGu1/eo=")</f>
        <v>1</v>
      </c>
      <c r="IB61" t="e">
        <f>AND(Liste!#REF!,"AAAAAGu1/es=")</f>
        <v>#REF!</v>
      </c>
      <c r="IC61" t="e">
        <f>AND(Liste!#REF!,"AAAAAGu1/ew=")</f>
        <v>#REF!</v>
      </c>
      <c r="ID61" t="e">
        <f>AND(Liste!#REF!,"AAAAAGu1/e0=")</f>
        <v>#REF!</v>
      </c>
      <c r="IE61" t="e">
        <f>AND(Liste!F458,"AAAAAGu1/e4=")</f>
        <v>#VALUE!</v>
      </c>
      <c r="IF61" t="e">
        <f>AND(Liste!G458,"AAAAAGu1/e8=")</f>
        <v>#VALUE!</v>
      </c>
      <c r="IG61" t="e">
        <f>AND(Liste!H458,"AAAAAGu1/fA=")</f>
        <v>#VALUE!</v>
      </c>
      <c r="IH61" t="e">
        <f>AND(Liste!I458,"AAAAAGu1/fE=")</f>
        <v>#VALUE!</v>
      </c>
      <c r="II61" t="e">
        <f>AND(Liste!J458,"AAAAAGu1/fI=")</f>
        <v>#VALUE!</v>
      </c>
      <c r="IJ61" t="e">
        <f>AND(Liste!#REF!,"AAAAAGu1/fM=")</f>
        <v>#REF!</v>
      </c>
      <c r="IK61" t="e">
        <f>AND(Liste!#REF!,"AAAAAGu1/fQ=")</f>
        <v>#REF!</v>
      </c>
      <c r="IL61" t="e">
        <f>AND(Liste!#REF!,"AAAAAGu1/fU=")</f>
        <v>#REF!</v>
      </c>
      <c r="IM61" t="e">
        <f>AND(Liste!#REF!,"AAAAAGu1/fY=")</f>
        <v>#REF!</v>
      </c>
      <c r="IN61" t="e">
        <f>AND(Liste!#REF!,"AAAAAGu1/fc=")</f>
        <v>#REF!</v>
      </c>
      <c r="IO61" t="e">
        <f>AND(Liste!#REF!,"AAAAAGu1/fg=")</f>
        <v>#REF!</v>
      </c>
      <c r="IP61" t="e">
        <f>AND(Liste!#REF!,"AAAAAGu1/fk=")</f>
        <v>#REF!</v>
      </c>
      <c r="IQ61" t="e">
        <f>AND(Liste!#REF!,"AAAAAGu1/fo=")</f>
        <v>#REF!</v>
      </c>
      <c r="IR61" t="e">
        <f>AND(Liste!#REF!,"AAAAAGu1/fs=")</f>
        <v>#REF!</v>
      </c>
      <c r="IS61" t="e">
        <f>AND(Liste!#REF!,"AAAAAGu1/fw=")</f>
        <v>#REF!</v>
      </c>
      <c r="IT61" t="e">
        <f>AND(Liste!#REF!,"AAAAAGu1/f0=")</f>
        <v>#REF!</v>
      </c>
      <c r="IU61" t="e">
        <f>AND(Liste!#REF!,"AAAAAGu1/f4=")</f>
        <v>#REF!</v>
      </c>
      <c r="IV61" t="e">
        <f>AND(Liste!#REF!,"AAAAAGu1/f8=")</f>
        <v>#REF!</v>
      </c>
    </row>
    <row r="62" spans="1:256" x14ac:dyDescent="0.2">
      <c r="A62" t="e">
        <f>AND(Liste!#REF!,"AAAAAHtj/wA=")</f>
        <v>#REF!</v>
      </c>
      <c r="B62" t="e">
        <f>AND(Liste!#REF!,"AAAAAHtj/wE=")</f>
        <v>#REF!</v>
      </c>
      <c r="C62" t="e">
        <f>AND(Liste!#REF!,"AAAAAHtj/wI=")</f>
        <v>#REF!</v>
      </c>
      <c r="D62" t="e">
        <f>AND(Liste!#REF!,"AAAAAHtj/wM=")</f>
        <v>#REF!</v>
      </c>
      <c r="E62" t="e">
        <f>AND(Liste!#REF!,"AAAAAHtj/wQ=")</f>
        <v>#REF!</v>
      </c>
      <c r="F62" t="e">
        <f>AND(Liste!#REF!,"AAAAAHtj/wU=")</f>
        <v>#REF!</v>
      </c>
      <c r="G62" t="e">
        <f>AND(Liste!#REF!,"AAAAAHtj/wY=")</f>
        <v>#REF!</v>
      </c>
      <c r="H62" t="e">
        <f>AND(Liste!#REF!,"AAAAAHtj/wc=")</f>
        <v>#REF!</v>
      </c>
      <c r="I62">
        <f>IF(Liste!458:458,"AAAAAHtj/wg=",0)</f>
        <v>0</v>
      </c>
      <c r="J62" t="b">
        <f>AND(Liste!A459,"AAAAAHtj/wk=")</f>
        <v>1</v>
      </c>
      <c r="K62" t="e">
        <f>AND(Liste!#REF!,"AAAAAHtj/wo=")</f>
        <v>#REF!</v>
      </c>
      <c r="L62" t="e">
        <f>AND(Liste!#REF!,"AAAAAHtj/ws=")</f>
        <v>#REF!</v>
      </c>
      <c r="M62" t="e">
        <f>AND(Liste!#REF!,"AAAAAHtj/ww=")</f>
        <v>#REF!</v>
      </c>
      <c r="N62" t="e">
        <f>AND(Liste!F459,"AAAAAHtj/w0=")</f>
        <v>#VALUE!</v>
      </c>
      <c r="O62" t="e">
        <f>AND(Liste!G459,"AAAAAHtj/w4=")</f>
        <v>#VALUE!</v>
      </c>
      <c r="P62" t="e">
        <f>AND(Liste!H459,"AAAAAHtj/w8=")</f>
        <v>#VALUE!</v>
      </c>
      <c r="Q62" t="e">
        <f>AND(Liste!I459,"AAAAAHtj/xA=")</f>
        <v>#VALUE!</v>
      </c>
      <c r="R62" t="e">
        <f>AND(Liste!J459,"AAAAAHtj/xE=")</f>
        <v>#VALUE!</v>
      </c>
      <c r="S62" t="e">
        <f>AND(Liste!#REF!,"AAAAAHtj/xI=")</f>
        <v>#REF!</v>
      </c>
      <c r="T62" t="e">
        <f>AND(Liste!#REF!,"AAAAAHtj/xM=")</f>
        <v>#REF!</v>
      </c>
      <c r="U62" t="e">
        <f>AND(Liste!#REF!,"AAAAAHtj/xQ=")</f>
        <v>#REF!</v>
      </c>
      <c r="V62" t="e">
        <f>AND(Liste!#REF!,"AAAAAHtj/xU=")</f>
        <v>#REF!</v>
      </c>
      <c r="W62" t="e">
        <f>AND(Liste!#REF!,"AAAAAHtj/xY=")</f>
        <v>#REF!</v>
      </c>
      <c r="X62" t="e">
        <f>AND(Liste!#REF!,"AAAAAHtj/xc=")</f>
        <v>#REF!</v>
      </c>
      <c r="Y62" t="e">
        <f>AND(Liste!#REF!,"AAAAAHtj/xg=")</f>
        <v>#REF!</v>
      </c>
      <c r="Z62" t="e">
        <f>AND(Liste!#REF!,"AAAAAHtj/xk=")</f>
        <v>#REF!</v>
      </c>
      <c r="AA62" t="e">
        <f>AND(Liste!#REF!,"AAAAAHtj/xo=")</f>
        <v>#REF!</v>
      </c>
      <c r="AB62" t="e">
        <f>AND(Liste!#REF!,"AAAAAHtj/xs=")</f>
        <v>#REF!</v>
      </c>
      <c r="AC62" t="e">
        <f>AND(Liste!#REF!,"AAAAAHtj/xw=")</f>
        <v>#REF!</v>
      </c>
      <c r="AD62" t="e">
        <f>AND(Liste!#REF!,"AAAAAHtj/x0=")</f>
        <v>#REF!</v>
      </c>
      <c r="AE62" t="e">
        <f>AND(Liste!#REF!,"AAAAAHtj/x4=")</f>
        <v>#REF!</v>
      </c>
      <c r="AF62" t="e">
        <f>AND(Liste!#REF!,"AAAAAHtj/x8=")</f>
        <v>#REF!</v>
      </c>
      <c r="AG62" t="e">
        <f>AND(Liste!#REF!,"AAAAAHtj/yA=")</f>
        <v>#REF!</v>
      </c>
      <c r="AH62" t="e">
        <f>AND(Liste!#REF!,"AAAAAHtj/yE=")</f>
        <v>#REF!</v>
      </c>
      <c r="AI62" t="e">
        <f>AND(Liste!#REF!,"AAAAAHtj/yI=")</f>
        <v>#REF!</v>
      </c>
      <c r="AJ62" t="e">
        <f>AND(Liste!#REF!,"AAAAAHtj/yM=")</f>
        <v>#REF!</v>
      </c>
      <c r="AK62" t="e">
        <f>AND(Liste!#REF!,"AAAAAHtj/yQ=")</f>
        <v>#REF!</v>
      </c>
      <c r="AL62" t="e">
        <f>AND(Liste!#REF!,"AAAAAHtj/yU=")</f>
        <v>#REF!</v>
      </c>
      <c r="AM62" t="e">
        <f>AND(Liste!#REF!,"AAAAAHtj/yY=")</f>
        <v>#REF!</v>
      </c>
      <c r="AN62">
        <f>IF(Liste!459:459,"AAAAAHtj/yc=",0)</f>
        <v>0</v>
      </c>
      <c r="AO62" t="b">
        <f>AND(Liste!A460,"AAAAAHtj/yg=")</f>
        <v>1</v>
      </c>
      <c r="AP62" t="e">
        <f>AND(Liste!#REF!,"AAAAAHtj/yk=")</f>
        <v>#REF!</v>
      </c>
      <c r="AQ62" t="e">
        <f>AND(Liste!#REF!,"AAAAAHtj/yo=")</f>
        <v>#REF!</v>
      </c>
      <c r="AR62" t="e">
        <f>AND(Liste!#REF!,"AAAAAHtj/ys=")</f>
        <v>#REF!</v>
      </c>
      <c r="AS62" t="e">
        <f>AND(Liste!#REF!,"AAAAAHtj/yw=")</f>
        <v>#REF!</v>
      </c>
      <c r="AT62" t="e">
        <f>AND(Liste!#REF!,"AAAAAHtj/y0=")</f>
        <v>#REF!</v>
      </c>
      <c r="AU62" t="e">
        <f>AND(Liste!#REF!,"AAAAAHtj/y4=")</f>
        <v>#REF!</v>
      </c>
      <c r="AV62" t="e">
        <f>AND(Liste!#REF!,"AAAAAHtj/y8=")</f>
        <v>#REF!</v>
      </c>
      <c r="AW62" t="e">
        <f>AND(Liste!J460,"AAAAAHtj/zA=")</f>
        <v>#VALUE!</v>
      </c>
      <c r="AX62" t="e">
        <f>AND(Liste!#REF!,"AAAAAHtj/zE=")</f>
        <v>#REF!</v>
      </c>
      <c r="AY62" t="e">
        <f>AND(Liste!#REF!,"AAAAAHtj/zI=")</f>
        <v>#REF!</v>
      </c>
      <c r="AZ62" t="e">
        <f>AND(Liste!#REF!,"AAAAAHtj/zM=")</f>
        <v>#REF!</v>
      </c>
      <c r="BA62" t="e">
        <f>AND(Liste!#REF!,"AAAAAHtj/zQ=")</f>
        <v>#REF!</v>
      </c>
      <c r="BB62" t="e">
        <f>AND(Liste!#REF!,"AAAAAHtj/zU=")</f>
        <v>#REF!</v>
      </c>
      <c r="BC62" t="e">
        <f>AND(Liste!#REF!,"AAAAAHtj/zY=")</f>
        <v>#REF!</v>
      </c>
      <c r="BD62" t="e">
        <f>AND(Liste!#REF!,"AAAAAHtj/zc=")</f>
        <v>#REF!</v>
      </c>
      <c r="BE62" t="e">
        <f>AND(Liste!#REF!,"AAAAAHtj/zg=")</f>
        <v>#REF!</v>
      </c>
      <c r="BF62" t="e">
        <f>AND(Liste!#REF!,"AAAAAHtj/zk=")</f>
        <v>#REF!</v>
      </c>
      <c r="BG62" t="e">
        <f>AND(Liste!#REF!,"AAAAAHtj/zo=")</f>
        <v>#REF!</v>
      </c>
      <c r="BH62" t="e">
        <f>AND(Liste!#REF!,"AAAAAHtj/zs=")</f>
        <v>#REF!</v>
      </c>
      <c r="BI62" t="e">
        <f>AND(Liste!#REF!,"AAAAAHtj/zw=")</f>
        <v>#REF!</v>
      </c>
      <c r="BJ62" t="e">
        <f>AND(Liste!#REF!,"AAAAAHtj/z0=")</f>
        <v>#REF!</v>
      </c>
      <c r="BK62" t="e">
        <f>AND(Liste!#REF!,"AAAAAHtj/z4=")</f>
        <v>#REF!</v>
      </c>
      <c r="BL62" t="e">
        <f>AND(Liste!#REF!,"AAAAAHtj/z8=")</f>
        <v>#REF!</v>
      </c>
      <c r="BM62" t="e">
        <f>AND(Liste!#REF!,"AAAAAHtj/0A=")</f>
        <v>#REF!</v>
      </c>
      <c r="BN62" t="e">
        <f>AND(Liste!#REF!,"AAAAAHtj/0E=")</f>
        <v>#REF!</v>
      </c>
      <c r="BO62" t="e">
        <f>AND(Liste!#REF!,"AAAAAHtj/0I=")</f>
        <v>#REF!</v>
      </c>
      <c r="BP62" t="e">
        <f>AND(Liste!#REF!,"AAAAAHtj/0M=")</f>
        <v>#REF!</v>
      </c>
      <c r="BQ62" t="e">
        <f>AND(Liste!#REF!,"AAAAAHtj/0Q=")</f>
        <v>#REF!</v>
      </c>
      <c r="BR62" t="e">
        <f>AND(Liste!#REF!,"AAAAAHtj/0U=")</f>
        <v>#REF!</v>
      </c>
      <c r="BS62">
        <f>IF(Liste!460:460,"AAAAAHtj/0Y=",0)</f>
        <v>0</v>
      </c>
      <c r="BT62" t="b">
        <f>AND(Liste!A461,"AAAAAHtj/0c=")</f>
        <v>1</v>
      </c>
      <c r="BU62" t="e">
        <f>AND(Liste!#REF!,"AAAAAHtj/0g=")</f>
        <v>#REF!</v>
      </c>
      <c r="BV62" t="e">
        <f>AND(Liste!#REF!,"AAAAAHtj/0k=")</f>
        <v>#REF!</v>
      </c>
      <c r="BW62" t="e">
        <f>AND(Liste!#REF!,"AAAAAHtj/0o=")</f>
        <v>#REF!</v>
      </c>
      <c r="BX62" t="e">
        <f>AND(Liste!F461,"AAAAAHtj/0s=")</f>
        <v>#VALUE!</v>
      </c>
      <c r="BY62" t="e">
        <f>AND(Liste!G461,"AAAAAHtj/0w=")</f>
        <v>#VALUE!</v>
      </c>
      <c r="BZ62" t="e">
        <f>AND(Liste!H461,"AAAAAHtj/00=")</f>
        <v>#VALUE!</v>
      </c>
      <c r="CA62" t="e">
        <f>AND(Liste!I461,"AAAAAHtj/04=")</f>
        <v>#VALUE!</v>
      </c>
      <c r="CB62" t="e">
        <f>AND(Liste!J461,"AAAAAHtj/08=")</f>
        <v>#VALUE!</v>
      </c>
      <c r="CC62" t="e">
        <f>AND(Liste!#REF!,"AAAAAHtj/1A=")</f>
        <v>#REF!</v>
      </c>
      <c r="CD62" t="e">
        <f>AND(Liste!#REF!,"AAAAAHtj/1E=")</f>
        <v>#REF!</v>
      </c>
      <c r="CE62" t="e">
        <f>AND(Liste!#REF!,"AAAAAHtj/1I=")</f>
        <v>#REF!</v>
      </c>
      <c r="CF62" t="e">
        <f>AND(Liste!#REF!,"AAAAAHtj/1M=")</f>
        <v>#REF!</v>
      </c>
      <c r="CG62" t="e">
        <f>AND(Liste!#REF!,"AAAAAHtj/1Q=")</f>
        <v>#REF!</v>
      </c>
      <c r="CH62" t="e">
        <f>AND(Liste!#REF!,"AAAAAHtj/1U=")</f>
        <v>#REF!</v>
      </c>
      <c r="CI62" t="e">
        <f>AND(Liste!#REF!,"AAAAAHtj/1Y=")</f>
        <v>#REF!</v>
      </c>
      <c r="CJ62" t="e">
        <f>AND(Liste!#REF!,"AAAAAHtj/1c=")</f>
        <v>#REF!</v>
      </c>
      <c r="CK62" t="e">
        <f>AND(Liste!#REF!,"AAAAAHtj/1g=")</f>
        <v>#REF!</v>
      </c>
      <c r="CL62" t="e">
        <f>AND(Liste!#REF!,"AAAAAHtj/1k=")</f>
        <v>#REF!</v>
      </c>
      <c r="CM62" t="e">
        <f>AND(Liste!#REF!,"AAAAAHtj/1o=")</f>
        <v>#REF!</v>
      </c>
      <c r="CN62" t="e">
        <f>AND(Liste!#REF!,"AAAAAHtj/1s=")</f>
        <v>#REF!</v>
      </c>
      <c r="CO62" t="e">
        <f>AND(Liste!#REF!,"AAAAAHtj/1w=")</f>
        <v>#REF!</v>
      </c>
      <c r="CP62" t="e">
        <f>AND(Liste!#REF!,"AAAAAHtj/10=")</f>
        <v>#REF!</v>
      </c>
      <c r="CQ62" t="e">
        <f>AND(Liste!#REF!,"AAAAAHtj/14=")</f>
        <v>#REF!</v>
      </c>
      <c r="CR62" t="e">
        <f>AND(Liste!#REF!,"AAAAAHtj/18=")</f>
        <v>#REF!</v>
      </c>
      <c r="CS62" t="e">
        <f>AND(Liste!#REF!,"AAAAAHtj/2A=")</f>
        <v>#REF!</v>
      </c>
      <c r="CT62" t="e">
        <f>AND(Liste!#REF!,"AAAAAHtj/2E=")</f>
        <v>#REF!</v>
      </c>
      <c r="CU62" t="e">
        <f>AND(Liste!#REF!,"AAAAAHtj/2I=")</f>
        <v>#REF!</v>
      </c>
      <c r="CV62" t="e">
        <f>AND(Liste!#REF!,"AAAAAHtj/2M=")</f>
        <v>#REF!</v>
      </c>
      <c r="CW62" t="e">
        <f>AND(Liste!#REF!,"AAAAAHtj/2Q=")</f>
        <v>#REF!</v>
      </c>
      <c r="CX62">
        <f>IF(Liste!461:461,"AAAAAHtj/2U=",0)</f>
        <v>0</v>
      </c>
      <c r="CY62" t="b">
        <f>AND(Liste!A462,"AAAAAHtj/2Y=")</f>
        <v>1</v>
      </c>
      <c r="CZ62" t="e">
        <f>AND(Liste!#REF!,"AAAAAHtj/2c=")</f>
        <v>#REF!</v>
      </c>
      <c r="DA62" t="e">
        <f>AND(Liste!#REF!,"AAAAAHtj/2g=")</f>
        <v>#REF!</v>
      </c>
      <c r="DB62" t="e">
        <f>AND(Liste!#REF!,"AAAAAHtj/2k=")</f>
        <v>#REF!</v>
      </c>
      <c r="DC62" t="e">
        <f>AND(Liste!F462,"AAAAAHtj/2o=")</f>
        <v>#VALUE!</v>
      </c>
      <c r="DD62" t="e">
        <f>AND(Liste!G462,"AAAAAHtj/2s=")</f>
        <v>#VALUE!</v>
      </c>
      <c r="DE62" t="e">
        <f>AND(Liste!H462,"AAAAAHtj/2w=")</f>
        <v>#VALUE!</v>
      </c>
      <c r="DF62" t="e">
        <f>AND(Liste!I462,"AAAAAHtj/20=")</f>
        <v>#VALUE!</v>
      </c>
      <c r="DG62" t="e">
        <f>AND(Liste!J462,"AAAAAHtj/24=")</f>
        <v>#VALUE!</v>
      </c>
      <c r="DH62" t="e">
        <f>AND(Liste!#REF!,"AAAAAHtj/28=")</f>
        <v>#REF!</v>
      </c>
      <c r="DI62" t="e">
        <f>AND(Liste!#REF!,"AAAAAHtj/3A=")</f>
        <v>#REF!</v>
      </c>
      <c r="DJ62" t="e">
        <f>AND(Liste!#REF!,"AAAAAHtj/3E=")</f>
        <v>#REF!</v>
      </c>
      <c r="DK62" t="e">
        <f>AND(Liste!#REF!,"AAAAAHtj/3I=")</f>
        <v>#REF!</v>
      </c>
      <c r="DL62" t="e">
        <f>AND(Liste!#REF!,"AAAAAHtj/3M=")</f>
        <v>#REF!</v>
      </c>
      <c r="DM62" t="e">
        <f>AND(Liste!#REF!,"AAAAAHtj/3Q=")</f>
        <v>#REF!</v>
      </c>
      <c r="DN62" t="e">
        <f>AND(Liste!#REF!,"AAAAAHtj/3U=")</f>
        <v>#REF!</v>
      </c>
      <c r="DO62" t="e">
        <f>AND(Liste!#REF!,"AAAAAHtj/3Y=")</f>
        <v>#REF!</v>
      </c>
      <c r="DP62" t="e">
        <f>AND(Liste!#REF!,"AAAAAHtj/3c=")</f>
        <v>#REF!</v>
      </c>
      <c r="DQ62" t="e">
        <f>AND(Liste!#REF!,"AAAAAHtj/3g=")</f>
        <v>#REF!</v>
      </c>
      <c r="DR62" t="e">
        <f>AND(Liste!#REF!,"AAAAAHtj/3k=")</f>
        <v>#REF!</v>
      </c>
      <c r="DS62" t="e">
        <f>AND(Liste!#REF!,"AAAAAHtj/3o=")</f>
        <v>#REF!</v>
      </c>
      <c r="DT62" t="e">
        <f>AND(Liste!#REF!,"AAAAAHtj/3s=")</f>
        <v>#REF!</v>
      </c>
      <c r="DU62" t="e">
        <f>AND(Liste!#REF!,"AAAAAHtj/3w=")</f>
        <v>#REF!</v>
      </c>
      <c r="DV62" t="e">
        <f>AND(Liste!#REF!,"AAAAAHtj/30=")</f>
        <v>#REF!</v>
      </c>
      <c r="DW62" t="e">
        <f>AND(Liste!#REF!,"AAAAAHtj/34=")</f>
        <v>#REF!</v>
      </c>
      <c r="DX62" t="e">
        <f>AND(Liste!#REF!,"AAAAAHtj/38=")</f>
        <v>#REF!</v>
      </c>
      <c r="DY62" t="e">
        <f>AND(Liste!#REF!,"AAAAAHtj/4A=")</f>
        <v>#REF!</v>
      </c>
      <c r="DZ62" t="e">
        <f>AND(Liste!#REF!,"AAAAAHtj/4E=")</f>
        <v>#REF!</v>
      </c>
      <c r="EA62" t="e">
        <f>AND(Liste!#REF!,"AAAAAHtj/4I=")</f>
        <v>#REF!</v>
      </c>
      <c r="EB62" t="e">
        <f>AND(Liste!#REF!,"AAAAAHtj/4M=")</f>
        <v>#REF!</v>
      </c>
      <c r="EC62">
        <f>IF(Liste!462:462,"AAAAAHtj/4Q=",0)</f>
        <v>0</v>
      </c>
      <c r="ED62" t="b">
        <f>AND(Liste!A463,"AAAAAHtj/4U=")</f>
        <v>1</v>
      </c>
      <c r="EE62" t="e">
        <f>AND(Liste!#REF!,"AAAAAHtj/4Y=")</f>
        <v>#REF!</v>
      </c>
      <c r="EF62" t="e">
        <f>AND(Liste!#REF!,"AAAAAHtj/4c=")</f>
        <v>#REF!</v>
      </c>
      <c r="EG62" t="e">
        <f>AND(Liste!#REF!,"AAAAAHtj/4g=")</f>
        <v>#REF!</v>
      </c>
      <c r="EH62" t="e">
        <f>AND(Liste!F463,"AAAAAHtj/4k=")</f>
        <v>#VALUE!</v>
      </c>
      <c r="EI62" t="e">
        <f>AND(Liste!G463,"AAAAAHtj/4o=")</f>
        <v>#VALUE!</v>
      </c>
      <c r="EJ62" t="e">
        <f>AND(Liste!H463,"AAAAAHtj/4s=")</f>
        <v>#VALUE!</v>
      </c>
      <c r="EK62" t="e">
        <f>AND(Liste!I463,"AAAAAHtj/4w=")</f>
        <v>#VALUE!</v>
      </c>
      <c r="EL62" t="e">
        <f>AND(Liste!J463,"AAAAAHtj/40=")</f>
        <v>#VALUE!</v>
      </c>
      <c r="EM62" t="e">
        <f>AND(Liste!#REF!,"AAAAAHtj/44=")</f>
        <v>#REF!</v>
      </c>
      <c r="EN62" t="e">
        <f>AND(Liste!#REF!,"AAAAAHtj/48=")</f>
        <v>#REF!</v>
      </c>
      <c r="EO62" t="e">
        <f>AND(Liste!#REF!,"AAAAAHtj/5A=")</f>
        <v>#REF!</v>
      </c>
      <c r="EP62" t="e">
        <f>AND(Liste!#REF!,"AAAAAHtj/5E=")</f>
        <v>#REF!</v>
      </c>
      <c r="EQ62" t="e">
        <f>AND(Liste!#REF!,"AAAAAHtj/5I=")</f>
        <v>#REF!</v>
      </c>
      <c r="ER62" t="e">
        <f>AND(Liste!#REF!,"AAAAAHtj/5M=")</f>
        <v>#REF!</v>
      </c>
      <c r="ES62" t="e">
        <f>AND(Liste!#REF!,"AAAAAHtj/5Q=")</f>
        <v>#REF!</v>
      </c>
      <c r="ET62" t="e">
        <f>AND(Liste!#REF!,"AAAAAHtj/5U=")</f>
        <v>#REF!</v>
      </c>
      <c r="EU62" t="e">
        <f>AND(Liste!#REF!,"AAAAAHtj/5Y=")</f>
        <v>#REF!</v>
      </c>
      <c r="EV62" t="e">
        <f>AND(Liste!#REF!,"AAAAAHtj/5c=")</f>
        <v>#REF!</v>
      </c>
      <c r="EW62" t="e">
        <f>AND(Liste!#REF!,"AAAAAHtj/5g=")</f>
        <v>#REF!</v>
      </c>
      <c r="EX62" t="e">
        <f>AND(Liste!#REF!,"AAAAAHtj/5k=")</f>
        <v>#REF!</v>
      </c>
      <c r="EY62" t="e">
        <f>AND(Liste!#REF!,"AAAAAHtj/5o=")</f>
        <v>#REF!</v>
      </c>
      <c r="EZ62" t="e">
        <f>AND(Liste!#REF!,"AAAAAHtj/5s=")</f>
        <v>#REF!</v>
      </c>
      <c r="FA62" t="e">
        <f>AND(Liste!#REF!,"AAAAAHtj/5w=")</f>
        <v>#REF!</v>
      </c>
      <c r="FB62" t="e">
        <f>AND(Liste!#REF!,"AAAAAHtj/50=")</f>
        <v>#REF!</v>
      </c>
      <c r="FC62" t="e">
        <f>AND(Liste!#REF!,"AAAAAHtj/54=")</f>
        <v>#REF!</v>
      </c>
      <c r="FD62" t="e">
        <f>AND(Liste!#REF!,"AAAAAHtj/58=")</f>
        <v>#REF!</v>
      </c>
      <c r="FE62" t="e">
        <f>AND(Liste!#REF!,"AAAAAHtj/6A=")</f>
        <v>#REF!</v>
      </c>
      <c r="FF62" t="e">
        <f>AND(Liste!#REF!,"AAAAAHtj/6E=")</f>
        <v>#REF!</v>
      </c>
      <c r="FG62" t="e">
        <f>AND(Liste!#REF!,"AAAAAHtj/6I=")</f>
        <v>#REF!</v>
      </c>
      <c r="FH62">
        <f>IF(Liste!463:463,"AAAAAHtj/6M=",0)</f>
        <v>0</v>
      </c>
      <c r="FI62" t="b">
        <f>AND(Liste!A464,"AAAAAHtj/6Q=")</f>
        <v>1</v>
      </c>
      <c r="FJ62" t="e">
        <f>AND(Liste!#REF!,"AAAAAHtj/6U=")</f>
        <v>#REF!</v>
      </c>
      <c r="FK62" t="e">
        <f>AND(Liste!#REF!,"AAAAAHtj/6Y=")</f>
        <v>#REF!</v>
      </c>
      <c r="FL62" t="e">
        <f>AND(Liste!#REF!,"AAAAAHtj/6c=")</f>
        <v>#REF!</v>
      </c>
      <c r="FM62" t="e">
        <f>AND(Liste!F464,"AAAAAHtj/6g=")</f>
        <v>#VALUE!</v>
      </c>
      <c r="FN62" t="e">
        <f>AND(Liste!G464,"AAAAAHtj/6k=")</f>
        <v>#VALUE!</v>
      </c>
      <c r="FO62" t="e">
        <f>AND(Liste!H464,"AAAAAHtj/6o=")</f>
        <v>#VALUE!</v>
      </c>
      <c r="FP62" t="e">
        <f>AND(Liste!I464,"AAAAAHtj/6s=")</f>
        <v>#VALUE!</v>
      </c>
      <c r="FQ62" t="e">
        <f>AND(Liste!J464,"AAAAAHtj/6w=")</f>
        <v>#VALUE!</v>
      </c>
      <c r="FR62" t="e">
        <f>AND(Liste!#REF!,"AAAAAHtj/60=")</f>
        <v>#REF!</v>
      </c>
      <c r="FS62" t="e">
        <f>AND(Liste!#REF!,"AAAAAHtj/64=")</f>
        <v>#REF!</v>
      </c>
      <c r="FT62" t="e">
        <f>AND(Liste!#REF!,"AAAAAHtj/68=")</f>
        <v>#REF!</v>
      </c>
      <c r="FU62" t="e">
        <f>AND(Liste!#REF!,"AAAAAHtj/7A=")</f>
        <v>#REF!</v>
      </c>
      <c r="FV62" t="e">
        <f>AND(Liste!#REF!,"AAAAAHtj/7E=")</f>
        <v>#REF!</v>
      </c>
      <c r="FW62" t="e">
        <f>AND(Liste!#REF!,"AAAAAHtj/7I=")</f>
        <v>#REF!</v>
      </c>
      <c r="FX62" t="e">
        <f>AND(Liste!#REF!,"AAAAAHtj/7M=")</f>
        <v>#REF!</v>
      </c>
      <c r="FY62" t="e">
        <f>AND(Liste!#REF!,"AAAAAHtj/7Q=")</f>
        <v>#REF!</v>
      </c>
      <c r="FZ62" t="e">
        <f>AND(Liste!#REF!,"AAAAAHtj/7U=")</f>
        <v>#REF!</v>
      </c>
      <c r="GA62" t="e">
        <f>AND(Liste!#REF!,"AAAAAHtj/7Y=")</f>
        <v>#REF!</v>
      </c>
      <c r="GB62" t="e">
        <f>AND(Liste!#REF!,"AAAAAHtj/7c=")</f>
        <v>#REF!</v>
      </c>
      <c r="GC62" t="e">
        <f>AND(Liste!#REF!,"AAAAAHtj/7g=")</f>
        <v>#REF!</v>
      </c>
      <c r="GD62" t="e">
        <f>AND(Liste!#REF!,"AAAAAHtj/7k=")</f>
        <v>#REF!</v>
      </c>
      <c r="GE62" t="e">
        <f>AND(Liste!#REF!,"AAAAAHtj/7o=")</f>
        <v>#REF!</v>
      </c>
      <c r="GF62" t="e">
        <f>AND(Liste!#REF!,"AAAAAHtj/7s=")</f>
        <v>#REF!</v>
      </c>
      <c r="GG62" t="e">
        <f>AND(Liste!#REF!,"AAAAAHtj/7w=")</f>
        <v>#REF!</v>
      </c>
      <c r="GH62" t="e">
        <f>AND(Liste!#REF!,"AAAAAHtj/70=")</f>
        <v>#REF!</v>
      </c>
      <c r="GI62" t="e">
        <f>AND(Liste!#REF!,"AAAAAHtj/74=")</f>
        <v>#REF!</v>
      </c>
      <c r="GJ62" t="e">
        <f>AND(Liste!#REF!,"AAAAAHtj/78=")</f>
        <v>#REF!</v>
      </c>
      <c r="GK62" t="e">
        <f>AND(Liste!#REF!,"AAAAAHtj/8A=")</f>
        <v>#REF!</v>
      </c>
      <c r="GL62" t="e">
        <f>AND(Liste!#REF!,"AAAAAHtj/8E=")</f>
        <v>#REF!</v>
      </c>
      <c r="GM62">
        <f>IF(Liste!464:464,"AAAAAHtj/8I=",0)</f>
        <v>0</v>
      </c>
      <c r="GN62" t="b">
        <f>AND(Liste!A465,"AAAAAHtj/8M=")</f>
        <v>1</v>
      </c>
      <c r="GO62" t="e">
        <f>AND(Liste!#REF!,"AAAAAHtj/8Q=")</f>
        <v>#REF!</v>
      </c>
      <c r="GP62" t="e">
        <f>AND(Liste!#REF!,"AAAAAHtj/8U=")</f>
        <v>#REF!</v>
      </c>
      <c r="GQ62" t="e">
        <f>AND(Liste!#REF!,"AAAAAHtj/8Y=")</f>
        <v>#REF!</v>
      </c>
      <c r="GR62" t="e">
        <f>AND(Liste!F465,"AAAAAHtj/8c=")</f>
        <v>#VALUE!</v>
      </c>
      <c r="GS62" t="e">
        <f>AND(Liste!G465,"AAAAAHtj/8g=")</f>
        <v>#VALUE!</v>
      </c>
      <c r="GT62" t="e">
        <f>AND(Liste!H465,"AAAAAHtj/8k=")</f>
        <v>#VALUE!</v>
      </c>
      <c r="GU62" t="e">
        <f>AND(Liste!I465,"AAAAAHtj/8o=")</f>
        <v>#VALUE!</v>
      </c>
      <c r="GV62" t="e">
        <f>AND(Liste!J465,"AAAAAHtj/8s=")</f>
        <v>#VALUE!</v>
      </c>
      <c r="GW62" t="e">
        <f>AND(Liste!#REF!,"AAAAAHtj/8w=")</f>
        <v>#REF!</v>
      </c>
      <c r="GX62" t="e">
        <f>AND(Liste!#REF!,"AAAAAHtj/80=")</f>
        <v>#REF!</v>
      </c>
      <c r="GY62" t="e">
        <f>AND(Liste!#REF!,"AAAAAHtj/84=")</f>
        <v>#REF!</v>
      </c>
      <c r="GZ62" t="e">
        <f>AND(Liste!#REF!,"AAAAAHtj/88=")</f>
        <v>#REF!</v>
      </c>
      <c r="HA62" t="e">
        <f>AND(Liste!#REF!,"AAAAAHtj/9A=")</f>
        <v>#REF!</v>
      </c>
      <c r="HB62" t="e">
        <f>AND(Liste!#REF!,"AAAAAHtj/9E=")</f>
        <v>#REF!</v>
      </c>
      <c r="HC62" t="e">
        <f>AND(Liste!#REF!,"AAAAAHtj/9I=")</f>
        <v>#REF!</v>
      </c>
      <c r="HD62" t="e">
        <f>AND(Liste!#REF!,"AAAAAHtj/9M=")</f>
        <v>#REF!</v>
      </c>
      <c r="HE62" t="e">
        <f>AND(Liste!#REF!,"AAAAAHtj/9Q=")</f>
        <v>#REF!</v>
      </c>
      <c r="HF62" t="e">
        <f>AND(Liste!#REF!,"AAAAAHtj/9U=")</f>
        <v>#REF!</v>
      </c>
      <c r="HG62" t="e">
        <f>AND(Liste!#REF!,"AAAAAHtj/9Y=")</f>
        <v>#REF!</v>
      </c>
      <c r="HH62" t="e">
        <f>AND(Liste!#REF!,"AAAAAHtj/9c=")</f>
        <v>#REF!</v>
      </c>
      <c r="HI62" t="e">
        <f>AND(Liste!#REF!,"AAAAAHtj/9g=")</f>
        <v>#REF!</v>
      </c>
      <c r="HJ62" t="e">
        <f>AND(Liste!#REF!,"AAAAAHtj/9k=")</f>
        <v>#REF!</v>
      </c>
      <c r="HK62" t="e">
        <f>AND(Liste!#REF!,"AAAAAHtj/9o=")</f>
        <v>#REF!</v>
      </c>
      <c r="HL62" t="e">
        <f>AND(Liste!#REF!,"AAAAAHtj/9s=")</f>
        <v>#REF!</v>
      </c>
      <c r="HM62" t="e">
        <f>AND(Liste!#REF!,"AAAAAHtj/9w=")</f>
        <v>#REF!</v>
      </c>
      <c r="HN62" t="e">
        <f>AND(Liste!#REF!,"AAAAAHtj/90=")</f>
        <v>#REF!</v>
      </c>
      <c r="HO62" t="e">
        <f>AND(Liste!#REF!,"AAAAAHtj/94=")</f>
        <v>#REF!</v>
      </c>
      <c r="HP62" t="e">
        <f>AND(Liste!#REF!,"AAAAAHtj/98=")</f>
        <v>#REF!</v>
      </c>
      <c r="HQ62" t="e">
        <f>AND(Liste!#REF!,"AAAAAHtj/+A=")</f>
        <v>#REF!</v>
      </c>
      <c r="HR62">
        <f>IF(Liste!465:465,"AAAAAHtj/+E=",0)</f>
        <v>0</v>
      </c>
      <c r="HS62" t="b">
        <f>AND(Liste!A466,"AAAAAHtj/+I=")</f>
        <v>1</v>
      </c>
      <c r="HT62" t="e">
        <f>AND(Liste!#REF!,"AAAAAHtj/+M=")</f>
        <v>#REF!</v>
      </c>
      <c r="HU62" t="e">
        <f>AND(Liste!#REF!,"AAAAAHtj/+Q=")</f>
        <v>#REF!</v>
      </c>
      <c r="HV62" t="e">
        <f>AND(Liste!#REF!,"AAAAAHtj/+U=")</f>
        <v>#REF!</v>
      </c>
      <c r="HW62" t="e">
        <f>AND(Liste!F466,"AAAAAHtj/+Y=")</f>
        <v>#VALUE!</v>
      </c>
      <c r="HX62" t="e">
        <f>AND(Liste!G466,"AAAAAHtj/+c=")</f>
        <v>#VALUE!</v>
      </c>
      <c r="HY62" t="e">
        <f>AND(Liste!H466,"AAAAAHtj/+g=")</f>
        <v>#VALUE!</v>
      </c>
      <c r="HZ62" t="e">
        <f>AND(Liste!I466,"AAAAAHtj/+k=")</f>
        <v>#VALUE!</v>
      </c>
      <c r="IA62" t="e">
        <f>AND(Liste!J466,"AAAAAHtj/+o=")</f>
        <v>#VALUE!</v>
      </c>
      <c r="IB62" t="e">
        <f>AND(Liste!#REF!,"AAAAAHtj/+s=")</f>
        <v>#REF!</v>
      </c>
      <c r="IC62" t="e">
        <f>AND(Liste!#REF!,"AAAAAHtj/+w=")</f>
        <v>#REF!</v>
      </c>
      <c r="ID62" t="e">
        <f>AND(Liste!#REF!,"AAAAAHtj/+0=")</f>
        <v>#REF!</v>
      </c>
      <c r="IE62" t="e">
        <f>AND(Liste!#REF!,"AAAAAHtj/+4=")</f>
        <v>#REF!</v>
      </c>
      <c r="IF62" t="e">
        <f>AND(Liste!#REF!,"AAAAAHtj/+8=")</f>
        <v>#REF!</v>
      </c>
      <c r="IG62" t="e">
        <f>AND(Liste!#REF!,"AAAAAHtj//A=")</f>
        <v>#REF!</v>
      </c>
      <c r="IH62" t="e">
        <f>AND(Liste!#REF!,"AAAAAHtj//E=")</f>
        <v>#REF!</v>
      </c>
      <c r="II62" t="e">
        <f>AND(Liste!#REF!,"AAAAAHtj//I=")</f>
        <v>#REF!</v>
      </c>
      <c r="IJ62" t="e">
        <f>AND(Liste!#REF!,"AAAAAHtj//M=")</f>
        <v>#REF!</v>
      </c>
      <c r="IK62" t="e">
        <f>AND(Liste!#REF!,"AAAAAHtj//Q=")</f>
        <v>#REF!</v>
      </c>
      <c r="IL62" t="e">
        <f>AND(Liste!#REF!,"AAAAAHtj//U=")</f>
        <v>#REF!</v>
      </c>
      <c r="IM62" t="e">
        <f>AND(Liste!#REF!,"AAAAAHtj//Y=")</f>
        <v>#REF!</v>
      </c>
      <c r="IN62" t="e">
        <f>AND(Liste!#REF!,"AAAAAHtj//c=")</f>
        <v>#REF!</v>
      </c>
      <c r="IO62" t="e">
        <f>AND(Liste!#REF!,"AAAAAHtj//g=")</f>
        <v>#REF!</v>
      </c>
      <c r="IP62" t="e">
        <f>AND(Liste!#REF!,"AAAAAHtj//k=")</f>
        <v>#REF!</v>
      </c>
      <c r="IQ62" t="e">
        <f>AND(Liste!#REF!,"AAAAAHtj//o=")</f>
        <v>#REF!</v>
      </c>
      <c r="IR62" t="e">
        <f>AND(Liste!#REF!,"AAAAAHtj//s=")</f>
        <v>#REF!</v>
      </c>
      <c r="IS62" t="e">
        <f>AND(Liste!#REF!,"AAAAAHtj//w=")</f>
        <v>#REF!</v>
      </c>
      <c r="IT62" t="e">
        <f>AND(Liste!#REF!,"AAAAAHtj//0=")</f>
        <v>#REF!</v>
      </c>
      <c r="IU62" t="e">
        <f>AND(Liste!#REF!,"AAAAAHtj//4=")</f>
        <v>#REF!</v>
      </c>
      <c r="IV62" t="e">
        <f>AND(Liste!#REF!,"AAAAAHtj//8=")</f>
        <v>#REF!</v>
      </c>
    </row>
    <row r="63" spans="1:256" x14ac:dyDescent="0.2">
      <c r="A63" t="str">
        <f>IF(Liste!466:466,"AAAAAG3/vQA=",0)</f>
        <v>AAAAAG3/vQA=</v>
      </c>
      <c r="B63" t="e">
        <f>AND(Liste!#REF!,"AAAAAG3/vQE=")</f>
        <v>#REF!</v>
      </c>
      <c r="C63" t="e">
        <f>AND(Liste!#REF!,"AAAAAG3/vQI=")</f>
        <v>#REF!</v>
      </c>
      <c r="D63" t="e">
        <f>AND(Liste!#REF!,"AAAAAG3/vQM=")</f>
        <v>#REF!</v>
      </c>
      <c r="E63" t="e">
        <f>AND(Liste!#REF!,"AAAAAG3/vQQ=")</f>
        <v>#REF!</v>
      </c>
      <c r="F63" t="e">
        <f>AND(Liste!#REF!,"AAAAAG3/vQU=")</f>
        <v>#REF!</v>
      </c>
      <c r="G63" t="e">
        <f>AND(Liste!#REF!,"AAAAAG3/vQY=")</f>
        <v>#REF!</v>
      </c>
      <c r="H63" t="e">
        <f>AND(Liste!#REF!,"AAAAAG3/vQc=")</f>
        <v>#REF!</v>
      </c>
      <c r="I63" t="e">
        <f>AND(Liste!#REF!,"AAAAAG3/vQg=")</f>
        <v>#REF!</v>
      </c>
      <c r="J63" t="e">
        <f>AND(Liste!#REF!,"AAAAAG3/vQk=")</f>
        <v>#REF!</v>
      </c>
      <c r="K63" t="e">
        <f>AND(Liste!#REF!,"AAAAAG3/vQo=")</f>
        <v>#REF!</v>
      </c>
      <c r="L63" t="e">
        <f>AND(Liste!#REF!,"AAAAAG3/vQs=")</f>
        <v>#REF!</v>
      </c>
      <c r="M63" t="e">
        <f>AND(Liste!#REF!,"AAAAAG3/vQw=")</f>
        <v>#REF!</v>
      </c>
      <c r="N63" t="e">
        <f>AND(Liste!#REF!,"AAAAAG3/vQ0=")</f>
        <v>#REF!</v>
      </c>
      <c r="O63" t="e">
        <f>AND(Liste!#REF!,"AAAAAG3/vQ4=")</f>
        <v>#REF!</v>
      </c>
      <c r="P63" t="e">
        <f>AND(Liste!#REF!,"AAAAAG3/vQ8=")</f>
        <v>#REF!</v>
      </c>
      <c r="Q63" t="e">
        <f>AND(Liste!#REF!,"AAAAAG3/vRA=")</f>
        <v>#REF!</v>
      </c>
      <c r="R63" t="e">
        <f>AND(Liste!#REF!,"AAAAAG3/vRE=")</f>
        <v>#REF!</v>
      </c>
      <c r="S63" t="e">
        <f>AND(Liste!#REF!,"AAAAAG3/vRI=")</f>
        <v>#REF!</v>
      </c>
      <c r="T63" t="e">
        <f>AND(Liste!#REF!,"AAAAAG3/vRM=")</f>
        <v>#REF!</v>
      </c>
      <c r="U63" t="e">
        <f>AND(Liste!#REF!,"AAAAAG3/vRQ=")</f>
        <v>#REF!</v>
      </c>
      <c r="V63" t="e">
        <f>AND(Liste!#REF!,"AAAAAG3/vRU=")</f>
        <v>#REF!</v>
      </c>
      <c r="W63" t="e">
        <f>AND(Liste!#REF!,"AAAAAG3/vRY=")</f>
        <v>#REF!</v>
      </c>
      <c r="X63" t="e">
        <f>AND(Liste!#REF!,"AAAAAG3/vRc=")</f>
        <v>#REF!</v>
      </c>
      <c r="Y63" t="e">
        <f>AND(Liste!#REF!,"AAAAAG3/vRg=")</f>
        <v>#REF!</v>
      </c>
      <c r="Z63" t="e">
        <f>AND(Liste!#REF!,"AAAAAG3/vRk=")</f>
        <v>#REF!</v>
      </c>
      <c r="AA63" t="e">
        <f>AND(Liste!#REF!,"AAAAAG3/vRo=")</f>
        <v>#REF!</v>
      </c>
      <c r="AB63" t="e">
        <f>AND(Liste!#REF!,"AAAAAG3/vRs=")</f>
        <v>#REF!</v>
      </c>
      <c r="AC63" t="e">
        <f>AND(Liste!#REF!,"AAAAAG3/vRw=")</f>
        <v>#REF!</v>
      </c>
      <c r="AD63" t="e">
        <f>AND(Liste!#REF!,"AAAAAG3/vR0=")</f>
        <v>#REF!</v>
      </c>
      <c r="AE63" t="e">
        <f>AND(Liste!#REF!,"AAAAAG3/vR4=")</f>
        <v>#REF!</v>
      </c>
      <c r="AF63">
        <f>IF(Liste!467:467,"AAAAAG3/vR8=",0)</f>
        <v>0</v>
      </c>
      <c r="AG63" t="b">
        <f>AND(Liste!A467,"AAAAAG3/vSA=")</f>
        <v>1</v>
      </c>
      <c r="AH63" t="e">
        <f>AND(Liste!#REF!,"AAAAAG3/vSE=")</f>
        <v>#REF!</v>
      </c>
      <c r="AI63" t="e">
        <f>AND(Liste!#REF!,"AAAAAG3/vSI=")</f>
        <v>#REF!</v>
      </c>
      <c r="AJ63" t="e">
        <f>AND(Liste!#REF!,"AAAAAG3/vSM=")</f>
        <v>#REF!</v>
      </c>
      <c r="AK63" t="e">
        <f>AND(Liste!F467,"AAAAAG3/vSQ=")</f>
        <v>#VALUE!</v>
      </c>
      <c r="AL63" t="e">
        <f>AND(Liste!G467,"AAAAAG3/vSU=")</f>
        <v>#VALUE!</v>
      </c>
      <c r="AM63" t="e">
        <f>AND(Liste!H467,"AAAAAG3/vSY=")</f>
        <v>#VALUE!</v>
      </c>
      <c r="AN63" t="e">
        <f>AND(Liste!I467,"AAAAAG3/vSc=")</f>
        <v>#VALUE!</v>
      </c>
      <c r="AO63" t="e">
        <f>AND(Liste!J467,"AAAAAG3/vSg=")</f>
        <v>#VALUE!</v>
      </c>
      <c r="AP63" t="e">
        <f>AND(Liste!#REF!,"AAAAAG3/vSk=")</f>
        <v>#REF!</v>
      </c>
      <c r="AQ63" t="e">
        <f>AND(Liste!#REF!,"AAAAAG3/vSo=")</f>
        <v>#REF!</v>
      </c>
      <c r="AR63" t="e">
        <f>AND(Liste!#REF!,"AAAAAG3/vSs=")</f>
        <v>#REF!</v>
      </c>
      <c r="AS63" t="e">
        <f>AND(Liste!#REF!,"AAAAAG3/vSw=")</f>
        <v>#REF!</v>
      </c>
      <c r="AT63" t="e">
        <f>AND(Liste!#REF!,"AAAAAG3/vS0=")</f>
        <v>#REF!</v>
      </c>
      <c r="AU63" t="e">
        <f>AND(Liste!#REF!,"AAAAAG3/vS4=")</f>
        <v>#REF!</v>
      </c>
      <c r="AV63" t="e">
        <f>AND(Liste!#REF!,"AAAAAG3/vS8=")</f>
        <v>#REF!</v>
      </c>
      <c r="AW63" t="e">
        <f>AND(Liste!#REF!,"AAAAAG3/vTA=")</f>
        <v>#REF!</v>
      </c>
      <c r="AX63" t="e">
        <f>AND(Liste!#REF!,"AAAAAG3/vTE=")</f>
        <v>#REF!</v>
      </c>
      <c r="AY63" t="e">
        <f>AND(Liste!#REF!,"AAAAAG3/vTI=")</f>
        <v>#REF!</v>
      </c>
      <c r="AZ63" t="e">
        <f>AND(Liste!#REF!,"AAAAAG3/vTM=")</f>
        <v>#REF!</v>
      </c>
      <c r="BA63" t="e">
        <f>AND(Liste!#REF!,"AAAAAG3/vTQ=")</f>
        <v>#REF!</v>
      </c>
      <c r="BB63" t="e">
        <f>AND(Liste!#REF!,"AAAAAG3/vTU=")</f>
        <v>#REF!</v>
      </c>
      <c r="BC63" t="e">
        <f>AND(Liste!#REF!,"AAAAAG3/vTY=")</f>
        <v>#REF!</v>
      </c>
      <c r="BD63" t="e">
        <f>AND(Liste!#REF!,"AAAAAG3/vTc=")</f>
        <v>#REF!</v>
      </c>
      <c r="BE63" t="e">
        <f>AND(Liste!#REF!,"AAAAAG3/vTg=")</f>
        <v>#REF!</v>
      </c>
      <c r="BF63" t="e">
        <f>AND(Liste!#REF!,"AAAAAG3/vTk=")</f>
        <v>#REF!</v>
      </c>
      <c r="BG63" t="e">
        <f>AND(Liste!#REF!,"AAAAAG3/vTo=")</f>
        <v>#REF!</v>
      </c>
      <c r="BH63" t="e">
        <f>AND(Liste!#REF!,"AAAAAG3/vTs=")</f>
        <v>#REF!</v>
      </c>
      <c r="BI63" t="e">
        <f>AND(Liste!#REF!,"AAAAAG3/vTw=")</f>
        <v>#REF!</v>
      </c>
      <c r="BJ63" t="e">
        <f>AND(Liste!#REF!,"AAAAAG3/vT0=")</f>
        <v>#REF!</v>
      </c>
      <c r="BK63">
        <f>IF(Liste!468:468,"AAAAAG3/vT4=",0)</f>
        <v>0</v>
      </c>
      <c r="BL63" t="b">
        <f>AND(Liste!A468,"AAAAAG3/vT8=")</f>
        <v>1</v>
      </c>
      <c r="BM63" t="e">
        <f>AND(Liste!#REF!,"AAAAAG3/vUA=")</f>
        <v>#REF!</v>
      </c>
      <c r="BN63" t="e">
        <f>AND(Liste!#REF!,"AAAAAG3/vUE=")</f>
        <v>#REF!</v>
      </c>
      <c r="BO63" t="e">
        <f>AND(Liste!#REF!,"AAAAAG3/vUI=")</f>
        <v>#REF!</v>
      </c>
      <c r="BP63" t="e">
        <f>AND(Liste!F468,"AAAAAG3/vUM=")</f>
        <v>#VALUE!</v>
      </c>
      <c r="BQ63" t="e">
        <f>AND(Liste!G468,"AAAAAG3/vUQ=")</f>
        <v>#VALUE!</v>
      </c>
      <c r="BR63" t="e">
        <f>AND(Liste!H468,"AAAAAG3/vUU=")</f>
        <v>#VALUE!</v>
      </c>
      <c r="BS63" t="e">
        <f>AND(Liste!I468,"AAAAAG3/vUY=")</f>
        <v>#VALUE!</v>
      </c>
      <c r="BT63" t="e">
        <f>AND(Liste!J468,"AAAAAG3/vUc=")</f>
        <v>#VALUE!</v>
      </c>
      <c r="BU63" t="e">
        <f>AND(Liste!#REF!,"AAAAAG3/vUg=")</f>
        <v>#REF!</v>
      </c>
      <c r="BV63" t="e">
        <f>AND(Liste!#REF!,"AAAAAG3/vUk=")</f>
        <v>#REF!</v>
      </c>
      <c r="BW63" t="e">
        <f>AND(Liste!#REF!,"AAAAAG3/vUo=")</f>
        <v>#REF!</v>
      </c>
      <c r="BX63" t="e">
        <f>AND(Liste!#REF!,"AAAAAG3/vUs=")</f>
        <v>#REF!</v>
      </c>
      <c r="BY63" t="e">
        <f>AND(Liste!#REF!,"AAAAAG3/vUw=")</f>
        <v>#REF!</v>
      </c>
      <c r="BZ63" t="e">
        <f>AND(Liste!#REF!,"AAAAAG3/vU0=")</f>
        <v>#REF!</v>
      </c>
      <c r="CA63" t="e">
        <f>AND(Liste!#REF!,"AAAAAG3/vU4=")</f>
        <v>#REF!</v>
      </c>
      <c r="CB63" t="e">
        <f>AND(Liste!#REF!,"AAAAAG3/vU8=")</f>
        <v>#REF!</v>
      </c>
      <c r="CC63" t="e">
        <f>AND(Liste!#REF!,"AAAAAG3/vVA=")</f>
        <v>#REF!</v>
      </c>
      <c r="CD63" t="e">
        <f>AND(Liste!#REF!,"AAAAAG3/vVE=")</f>
        <v>#REF!</v>
      </c>
      <c r="CE63" t="e">
        <f>AND(Liste!#REF!,"AAAAAG3/vVI=")</f>
        <v>#REF!</v>
      </c>
      <c r="CF63" t="e">
        <f>AND(Liste!#REF!,"AAAAAG3/vVM=")</f>
        <v>#REF!</v>
      </c>
      <c r="CG63" t="e">
        <f>AND(Liste!#REF!,"AAAAAG3/vVQ=")</f>
        <v>#REF!</v>
      </c>
      <c r="CH63" t="e">
        <f>AND(Liste!#REF!,"AAAAAG3/vVU=")</f>
        <v>#REF!</v>
      </c>
      <c r="CI63" t="e">
        <f>AND(Liste!#REF!,"AAAAAG3/vVY=")</f>
        <v>#REF!</v>
      </c>
      <c r="CJ63" t="e">
        <f>AND(Liste!#REF!,"AAAAAG3/vVc=")</f>
        <v>#REF!</v>
      </c>
      <c r="CK63" t="e">
        <f>AND(Liste!#REF!,"AAAAAG3/vVg=")</f>
        <v>#REF!</v>
      </c>
      <c r="CL63" t="e">
        <f>AND(Liste!#REF!,"AAAAAG3/vVk=")</f>
        <v>#REF!</v>
      </c>
      <c r="CM63" t="e">
        <f>AND(Liste!#REF!,"AAAAAG3/vVo=")</f>
        <v>#REF!</v>
      </c>
      <c r="CN63" t="e">
        <f>AND(Liste!#REF!,"AAAAAG3/vVs=")</f>
        <v>#REF!</v>
      </c>
      <c r="CO63" t="e">
        <f>AND(Liste!#REF!,"AAAAAG3/vVw=")</f>
        <v>#REF!</v>
      </c>
      <c r="CP63">
        <f>IF(Liste!469:469,"AAAAAG3/vV0=",0)</f>
        <v>0</v>
      </c>
      <c r="CQ63" t="b">
        <f>AND(Liste!A469,"AAAAAG3/vV4=")</f>
        <v>1</v>
      </c>
      <c r="CR63" t="e">
        <f>AND(Liste!#REF!,"AAAAAG3/vV8=")</f>
        <v>#REF!</v>
      </c>
      <c r="CS63" t="e">
        <f>AND(Liste!#REF!,"AAAAAG3/vWA=")</f>
        <v>#REF!</v>
      </c>
      <c r="CT63" t="e">
        <f>AND(Liste!#REF!,"AAAAAG3/vWE=")</f>
        <v>#REF!</v>
      </c>
      <c r="CU63" t="e">
        <f>AND(Liste!F469,"AAAAAG3/vWI=")</f>
        <v>#VALUE!</v>
      </c>
      <c r="CV63" t="e">
        <f>AND(Liste!G469,"AAAAAG3/vWM=")</f>
        <v>#VALUE!</v>
      </c>
      <c r="CW63" t="e">
        <f>AND(Liste!H469,"AAAAAG3/vWQ=")</f>
        <v>#VALUE!</v>
      </c>
      <c r="CX63" t="e">
        <f>AND(Liste!I469,"AAAAAG3/vWU=")</f>
        <v>#VALUE!</v>
      </c>
      <c r="CY63" t="e">
        <f>AND(Liste!J469,"AAAAAG3/vWY=")</f>
        <v>#VALUE!</v>
      </c>
      <c r="CZ63" t="e">
        <f>AND(Liste!#REF!,"AAAAAG3/vWc=")</f>
        <v>#REF!</v>
      </c>
      <c r="DA63" t="e">
        <f>AND(Liste!#REF!,"AAAAAG3/vWg=")</f>
        <v>#REF!</v>
      </c>
      <c r="DB63" t="e">
        <f>AND(Liste!#REF!,"AAAAAG3/vWk=")</f>
        <v>#REF!</v>
      </c>
      <c r="DC63" t="e">
        <f>AND(Liste!#REF!,"AAAAAG3/vWo=")</f>
        <v>#REF!</v>
      </c>
      <c r="DD63" t="e">
        <f>AND(Liste!#REF!,"AAAAAG3/vWs=")</f>
        <v>#REF!</v>
      </c>
      <c r="DE63" t="e">
        <f>AND(Liste!#REF!,"AAAAAG3/vWw=")</f>
        <v>#REF!</v>
      </c>
      <c r="DF63" t="e">
        <f>AND(Liste!#REF!,"AAAAAG3/vW0=")</f>
        <v>#REF!</v>
      </c>
      <c r="DG63" t="e">
        <f>AND(Liste!#REF!,"AAAAAG3/vW4=")</f>
        <v>#REF!</v>
      </c>
      <c r="DH63" t="e">
        <f>AND(Liste!#REF!,"AAAAAG3/vW8=")</f>
        <v>#REF!</v>
      </c>
      <c r="DI63" t="e">
        <f>AND(Liste!#REF!,"AAAAAG3/vXA=")</f>
        <v>#REF!</v>
      </c>
      <c r="DJ63" t="e">
        <f>AND(Liste!#REF!,"AAAAAG3/vXE=")</f>
        <v>#REF!</v>
      </c>
      <c r="DK63" t="e">
        <f>AND(Liste!#REF!,"AAAAAG3/vXI=")</f>
        <v>#REF!</v>
      </c>
      <c r="DL63" t="e">
        <f>AND(Liste!#REF!,"AAAAAG3/vXM=")</f>
        <v>#REF!</v>
      </c>
      <c r="DM63" t="e">
        <f>AND(Liste!#REF!,"AAAAAG3/vXQ=")</f>
        <v>#REF!</v>
      </c>
      <c r="DN63" t="e">
        <f>AND(Liste!#REF!,"AAAAAG3/vXU=")</f>
        <v>#REF!</v>
      </c>
      <c r="DO63" t="e">
        <f>AND(Liste!#REF!,"AAAAAG3/vXY=")</f>
        <v>#REF!</v>
      </c>
      <c r="DP63" t="e">
        <f>AND(Liste!#REF!,"AAAAAG3/vXc=")</f>
        <v>#REF!</v>
      </c>
      <c r="DQ63" t="e">
        <f>AND(Liste!#REF!,"AAAAAG3/vXg=")</f>
        <v>#REF!</v>
      </c>
      <c r="DR63" t="e">
        <f>AND(Liste!#REF!,"AAAAAG3/vXk=")</f>
        <v>#REF!</v>
      </c>
      <c r="DS63" t="e">
        <f>AND(Liste!#REF!,"AAAAAG3/vXo=")</f>
        <v>#REF!</v>
      </c>
      <c r="DT63" t="e">
        <f>AND(Liste!#REF!,"AAAAAG3/vXs=")</f>
        <v>#REF!</v>
      </c>
      <c r="DU63">
        <f>IF(Liste!470:470,"AAAAAG3/vXw=",0)</f>
        <v>0</v>
      </c>
      <c r="DV63" t="b">
        <f>AND(Liste!A470,"AAAAAG3/vX0=")</f>
        <v>1</v>
      </c>
      <c r="DW63" t="e">
        <f>AND(Liste!#REF!,"AAAAAG3/vX4=")</f>
        <v>#REF!</v>
      </c>
      <c r="DX63" t="e">
        <f>AND(Liste!#REF!,"AAAAAG3/vX8=")</f>
        <v>#REF!</v>
      </c>
      <c r="DY63" t="e">
        <f>AND(Liste!#REF!,"AAAAAG3/vYA=")</f>
        <v>#REF!</v>
      </c>
      <c r="DZ63" t="e">
        <f>AND(Liste!F470,"AAAAAG3/vYE=")</f>
        <v>#VALUE!</v>
      </c>
      <c r="EA63" t="e">
        <f>AND(Liste!G470,"AAAAAG3/vYI=")</f>
        <v>#VALUE!</v>
      </c>
      <c r="EB63" t="e">
        <f>AND(Liste!H470,"AAAAAG3/vYM=")</f>
        <v>#VALUE!</v>
      </c>
      <c r="EC63" t="e">
        <f>AND(Liste!I470,"AAAAAG3/vYQ=")</f>
        <v>#VALUE!</v>
      </c>
      <c r="ED63" t="e">
        <f>AND(Liste!J470,"AAAAAG3/vYU=")</f>
        <v>#VALUE!</v>
      </c>
      <c r="EE63" t="e">
        <f>AND(Liste!#REF!,"AAAAAG3/vYY=")</f>
        <v>#REF!</v>
      </c>
      <c r="EF63" t="e">
        <f>AND(Liste!#REF!,"AAAAAG3/vYc=")</f>
        <v>#REF!</v>
      </c>
      <c r="EG63" t="e">
        <f>AND(Liste!#REF!,"AAAAAG3/vYg=")</f>
        <v>#REF!</v>
      </c>
      <c r="EH63" t="e">
        <f>AND(Liste!#REF!,"AAAAAG3/vYk=")</f>
        <v>#REF!</v>
      </c>
      <c r="EI63" t="e">
        <f>AND(Liste!#REF!,"AAAAAG3/vYo=")</f>
        <v>#REF!</v>
      </c>
      <c r="EJ63" t="e">
        <f>AND(Liste!#REF!,"AAAAAG3/vYs=")</f>
        <v>#REF!</v>
      </c>
      <c r="EK63" t="e">
        <f>AND(Liste!#REF!,"AAAAAG3/vYw=")</f>
        <v>#REF!</v>
      </c>
      <c r="EL63" t="e">
        <f>AND(Liste!#REF!,"AAAAAG3/vY0=")</f>
        <v>#REF!</v>
      </c>
      <c r="EM63" t="e">
        <f>AND(Liste!#REF!,"AAAAAG3/vY4=")</f>
        <v>#REF!</v>
      </c>
      <c r="EN63" t="e">
        <f>AND(Liste!#REF!,"AAAAAG3/vY8=")</f>
        <v>#REF!</v>
      </c>
      <c r="EO63" t="e">
        <f>AND(Liste!#REF!,"AAAAAG3/vZA=")</f>
        <v>#REF!</v>
      </c>
      <c r="EP63" t="e">
        <f>AND(Liste!#REF!,"AAAAAG3/vZE=")</f>
        <v>#REF!</v>
      </c>
      <c r="EQ63" t="e">
        <f>AND(Liste!#REF!,"AAAAAG3/vZI=")</f>
        <v>#REF!</v>
      </c>
      <c r="ER63" t="e">
        <f>AND(Liste!#REF!,"AAAAAG3/vZM=")</f>
        <v>#REF!</v>
      </c>
      <c r="ES63" t="e">
        <f>AND(Liste!#REF!,"AAAAAG3/vZQ=")</f>
        <v>#REF!</v>
      </c>
      <c r="ET63" t="e">
        <f>AND(Liste!#REF!,"AAAAAG3/vZU=")</f>
        <v>#REF!</v>
      </c>
      <c r="EU63" t="e">
        <f>AND(Liste!#REF!,"AAAAAG3/vZY=")</f>
        <v>#REF!</v>
      </c>
      <c r="EV63" t="e">
        <f>AND(Liste!#REF!,"AAAAAG3/vZc=")</f>
        <v>#REF!</v>
      </c>
      <c r="EW63" t="e">
        <f>AND(Liste!#REF!,"AAAAAG3/vZg=")</f>
        <v>#REF!</v>
      </c>
      <c r="EX63" t="e">
        <f>AND(Liste!#REF!,"AAAAAG3/vZk=")</f>
        <v>#REF!</v>
      </c>
      <c r="EY63" t="e">
        <f>AND(Liste!#REF!,"AAAAAG3/vZo=")</f>
        <v>#REF!</v>
      </c>
      <c r="EZ63">
        <f>IF(Liste!471:471,"AAAAAG3/vZs=",0)</f>
        <v>0</v>
      </c>
      <c r="FA63" t="b">
        <f>AND(Liste!A471,"AAAAAG3/vZw=")</f>
        <v>1</v>
      </c>
      <c r="FB63" t="e">
        <f>AND(Liste!#REF!,"AAAAAG3/vZ0=")</f>
        <v>#REF!</v>
      </c>
      <c r="FC63" t="e">
        <f>AND(Liste!#REF!,"AAAAAG3/vZ4=")</f>
        <v>#REF!</v>
      </c>
      <c r="FD63" t="e">
        <f>AND(Liste!#REF!,"AAAAAG3/vZ8=")</f>
        <v>#REF!</v>
      </c>
      <c r="FE63" t="e">
        <f>AND(Liste!F471,"AAAAAG3/vaA=")</f>
        <v>#VALUE!</v>
      </c>
      <c r="FF63" t="e">
        <f>AND(Liste!G471,"AAAAAG3/vaE=")</f>
        <v>#VALUE!</v>
      </c>
      <c r="FG63" t="e">
        <f>AND(Liste!H471,"AAAAAG3/vaI=")</f>
        <v>#VALUE!</v>
      </c>
      <c r="FH63" t="e">
        <f>AND(Liste!I471,"AAAAAG3/vaM=")</f>
        <v>#VALUE!</v>
      </c>
      <c r="FI63" t="e">
        <f>AND(Liste!J471,"AAAAAG3/vaQ=")</f>
        <v>#VALUE!</v>
      </c>
      <c r="FJ63" t="e">
        <f>AND(Liste!#REF!,"AAAAAG3/vaU=")</f>
        <v>#REF!</v>
      </c>
      <c r="FK63" t="e">
        <f>AND(Liste!#REF!,"AAAAAG3/vaY=")</f>
        <v>#REF!</v>
      </c>
      <c r="FL63" t="e">
        <f>AND(Liste!#REF!,"AAAAAG3/vac=")</f>
        <v>#REF!</v>
      </c>
      <c r="FM63" t="e">
        <f>AND(Liste!#REF!,"AAAAAG3/vag=")</f>
        <v>#REF!</v>
      </c>
      <c r="FN63" t="e">
        <f>AND(Liste!#REF!,"AAAAAG3/vak=")</f>
        <v>#REF!</v>
      </c>
      <c r="FO63" t="e">
        <f>AND(Liste!#REF!,"AAAAAG3/vao=")</f>
        <v>#REF!</v>
      </c>
      <c r="FP63" t="e">
        <f>AND(Liste!#REF!,"AAAAAG3/vas=")</f>
        <v>#REF!</v>
      </c>
      <c r="FQ63" t="e">
        <f>AND(Liste!#REF!,"AAAAAG3/vaw=")</f>
        <v>#REF!</v>
      </c>
      <c r="FR63" t="e">
        <f>AND(Liste!#REF!,"AAAAAG3/va0=")</f>
        <v>#REF!</v>
      </c>
      <c r="FS63" t="e">
        <f>AND(Liste!#REF!,"AAAAAG3/va4=")</f>
        <v>#REF!</v>
      </c>
      <c r="FT63" t="e">
        <f>AND(Liste!#REF!,"AAAAAG3/va8=")</f>
        <v>#REF!</v>
      </c>
      <c r="FU63" t="e">
        <f>AND(Liste!#REF!,"AAAAAG3/vbA=")</f>
        <v>#REF!</v>
      </c>
      <c r="FV63" t="e">
        <f>AND(Liste!#REF!,"AAAAAG3/vbE=")</f>
        <v>#REF!</v>
      </c>
      <c r="FW63" t="e">
        <f>AND(Liste!#REF!,"AAAAAG3/vbI=")</f>
        <v>#REF!</v>
      </c>
      <c r="FX63" t="e">
        <f>AND(Liste!#REF!,"AAAAAG3/vbM=")</f>
        <v>#REF!</v>
      </c>
      <c r="FY63" t="e">
        <f>AND(Liste!#REF!,"AAAAAG3/vbQ=")</f>
        <v>#REF!</v>
      </c>
      <c r="FZ63" t="e">
        <f>AND(Liste!#REF!,"AAAAAG3/vbU=")</f>
        <v>#REF!</v>
      </c>
      <c r="GA63" t="e">
        <f>AND(Liste!#REF!,"AAAAAG3/vbY=")</f>
        <v>#REF!</v>
      </c>
      <c r="GB63" t="e">
        <f>AND(Liste!#REF!,"AAAAAG3/vbc=")</f>
        <v>#REF!</v>
      </c>
      <c r="GC63" t="e">
        <f>AND(Liste!#REF!,"AAAAAG3/vbg=")</f>
        <v>#REF!</v>
      </c>
      <c r="GD63" t="e">
        <f>AND(Liste!#REF!,"AAAAAG3/vbk=")</f>
        <v>#REF!</v>
      </c>
      <c r="GE63">
        <f>IF(Liste!472:472,"AAAAAG3/vbo=",0)</f>
        <v>0</v>
      </c>
      <c r="GF63" t="b">
        <f>AND(Liste!A472,"AAAAAG3/vbs=")</f>
        <v>1</v>
      </c>
      <c r="GG63" t="e">
        <f>AND(Liste!#REF!,"AAAAAG3/vbw=")</f>
        <v>#REF!</v>
      </c>
      <c r="GH63" t="e">
        <f>AND(Liste!#REF!,"AAAAAG3/vb0=")</f>
        <v>#REF!</v>
      </c>
      <c r="GI63" t="e">
        <f>AND(Liste!#REF!,"AAAAAG3/vb4=")</f>
        <v>#REF!</v>
      </c>
      <c r="GJ63" t="e">
        <f>AND(Liste!F472,"AAAAAG3/vb8=")</f>
        <v>#VALUE!</v>
      </c>
      <c r="GK63" t="e">
        <f>AND(Liste!G472,"AAAAAG3/vcA=")</f>
        <v>#VALUE!</v>
      </c>
      <c r="GL63" t="e">
        <f>AND(Liste!H472,"AAAAAG3/vcE=")</f>
        <v>#VALUE!</v>
      </c>
      <c r="GM63" t="e">
        <f>AND(Liste!I472,"AAAAAG3/vcI=")</f>
        <v>#VALUE!</v>
      </c>
      <c r="GN63" t="e">
        <f>AND(Liste!J472,"AAAAAG3/vcM=")</f>
        <v>#VALUE!</v>
      </c>
      <c r="GO63" t="e">
        <f>AND(Liste!#REF!,"AAAAAG3/vcQ=")</f>
        <v>#REF!</v>
      </c>
      <c r="GP63" t="e">
        <f>AND(Liste!#REF!,"AAAAAG3/vcU=")</f>
        <v>#REF!</v>
      </c>
      <c r="GQ63" t="e">
        <f>AND(Liste!#REF!,"AAAAAG3/vcY=")</f>
        <v>#REF!</v>
      </c>
      <c r="GR63" t="e">
        <f>AND(Liste!#REF!,"AAAAAG3/vcc=")</f>
        <v>#REF!</v>
      </c>
      <c r="GS63" t="e">
        <f>AND(Liste!#REF!,"AAAAAG3/vcg=")</f>
        <v>#REF!</v>
      </c>
      <c r="GT63" t="e">
        <f>AND(Liste!#REF!,"AAAAAG3/vck=")</f>
        <v>#REF!</v>
      </c>
      <c r="GU63" t="e">
        <f>AND(Liste!#REF!,"AAAAAG3/vco=")</f>
        <v>#REF!</v>
      </c>
      <c r="GV63" t="e">
        <f>AND(Liste!#REF!,"AAAAAG3/vcs=")</f>
        <v>#REF!</v>
      </c>
      <c r="GW63" t="e">
        <f>AND(Liste!#REF!,"AAAAAG3/vcw=")</f>
        <v>#REF!</v>
      </c>
      <c r="GX63" t="e">
        <f>AND(Liste!#REF!,"AAAAAG3/vc0=")</f>
        <v>#REF!</v>
      </c>
      <c r="GY63" t="e">
        <f>AND(Liste!#REF!,"AAAAAG3/vc4=")</f>
        <v>#REF!</v>
      </c>
      <c r="GZ63" t="e">
        <f>AND(Liste!#REF!,"AAAAAG3/vc8=")</f>
        <v>#REF!</v>
      </c>
      <c r="HA63" t="e">
        <f>AND(Liste!#REF!,"AAAAAG3/vdA=")</f>
        <v>#REF!</v>
      </c>
      <c r="HB63" t="e">
        <f>AND(Liste!#REF!,"AAAAAG3/vdE=")</f>
        <v>#REF!</v>
      </c>
      <c r="HC63" t="e">
        <f>AND(Liste!#REF!,"AAAAAG3/vdI=")</f>
        <v>#REF!</v>
      </c>
      <c r="HD63" t="e">
        <f>AND(Liste!#REF!,"AAAAAG3/vdM=")</f>
        <v>#REF!</v>
      </c>
      <c r="HE63" t="e">
        <f>AND(Liste!#REF!,"AAAAAG3/vdQ=")</f>
        <v>#REF!</v>
      </c>
      <c r="HF63" t="e">
        <f>AND(Liste!#REF!,"AAAAAG3/vdU=")</f>
        <v>#REF!</v>
      </c>
      <c r="HG63" t="e">
        <f>AND(Liste!#REF!,"AAAAAG3/vdY=")</f>
        <v>#REF!</v>
      </c>
      <c r="HH63" t="e">
        <f>AND(Liste!#REF!,"AAAAAG3/vdc=")</f>
        <v>#REF!</v>
      </c>
      <c r="HI63" t="e">
        <f>AND(Liste!#REF!,"AAAAAG3/vdg=")</f>
        <v>#REF!</v>
      </c>
      <c r="HJ63" t="e">
        <f>IF(Liste!#REF!,"AAAAAG3/vdk=",0)</f>
        <v>#REF!</v>
      </c>
      <c r="HK63" t="e">
        <f>AND(Liste!#REF!,"AAAAAG3/vdo=")</f>
        <v>#REF!</v>
      </c>
      <c r="HL63" t="e">
        <f>AND(Liste!#REF!,"AAAAAG3/vds=")</f>
        <v>#REF!</v>
      </c>
      <c r="HM63" t="e">
        <f>AND(Liste!#REF!,"AAAAAG3/vdw=")</f>
        <v>#REF!</v>
      </c>
      <c r="HN63" t="e">
        <f>AND(Liste!#REF!,"AAAAAG3/vd0=")</f>
        <v>#REF!</v>
      </c>
      <c r="HO63" t="e">
        <f>AND(Liste!#REF!,"AAAAAG3/vd4=")</f>
        <v>#REF!</v>
      </c>
      <c r="HP63" t="e">
        <f>AND(Liste!#REF!,"AAAAAG3/vd8=")</f>
        <v>#REF!</v>
      </c>
      <c r="HQ63" t="e">
        <f>AND(Liste!#REF!,"AAAAAG3/veA=")</f>
        <v>#REF!</v>
      </c>
      <c r="HR63" t="e">
        <f>AND(Liste!#REF!,"AAAAAG3/veE=")</f>
        <v>#REF!</v>
      </c>
      <c r="HS63" t="e">
        <f>AND(Liste!#REF!,"AAAAAG3/veI=")</f>
        <v>#REF!</v>
      </c>
      <c r="HT63" t="e">
        <f>AND(Liste!#REF!,"AAAAAG3/veM=")</f>
        <v>#REF!</v>
      </c>
      <c r="HU63" t="e">
        <f>AND(Liste!#REF!,"AAAAAG3/veQ=")</f>
        <v>#REF!</v>
      </c>
      <c r="HV63" t="e">
        <f>AND(Liste!#REF!,"AAAAAG3/veU=")</f>
        <v>#REF!</v>
      </c>
      <c r="HW63" t="e">
        <f>AND(Liste!#REF!,"AAAAAG3/veY=")</f>
        <v>#REF!</v>
      </c>
      <c r="HX63" t="e">
        <f>AND(Liste!#REF!,"AAAAAG3/vec=")</f>
        <v>#REF!</v>
      </c>
      <c r="HY63" t="e">
        <f>AND(Liste!#REF!,"AAAAAG3/veg=")</f>
        <v>#REF!</v>
      </c>
      <c r="HZ63" t="e">
        <f>AND(Liste!#REF!,"AAAAAG3/vek=")</f>
        <v>#REF!</v>
      </c>
      <c r="IA63" t="e">
        <f>AND(Liste!#REF!,"AAAAAG3/veo=")</f>
        <v>#REF!</v>
      </c>
      <c r="IB63" t="e">
        <f>AND(Liste!#REF!,"AAAAAG3/ves=")</f>
        <v>#REF!</v>
      </c>
      <c r="IC63" t="e">
        <f>AND(Liste!#REF!,"AAAAAG3/vew=")</f>
        <v>#REF!</v>
      </c>
      <c r="ID63" t="e">
        <f>AND(Liste!#REF!,"AAAAAG3/ve0=")</f>
        <v>#REF!</v>
      </c>
      <c r="IE63" t="e">
        <f>AND(Liste!#REF!,"AAAAAG3/ve4=")</f>
        <v>#REF!</v>
      </c>
      <c r="IF63" t="e">
        <f>AND(Liste!#REF!,"AAAAAG3/ve8=")</f>
        <v>#REF!</v>
      </c>
      <c r="IG63" t="e">
        <f>AND(Liste!#REF!,"AAAAAG3/vfA=")</f>
        <v>#REF!</v>
      </c>
      <c r="IH63" t="e">
        <f>AND(Liste!#REF!,"AAAAAG3/vfE=")</f>
        <v>#REF!</v>
      </c>
      <c r="II63" t="e">
        <f>AND(Liste!#REF!,"AAAAAG3/vfI=")</f>
        <v>#REF!</v>
      </c>
      <c r="IJ63" t="e">
        <f>AND(Liste!#REF!,"AAAAAG3/vfM=")</f>
        <v>#REF!</v>
      </c>
      <c r="IK63" t="e">
        <f>AND(Liste!#REF!,"AAAAAG3/vfQ=")</f>
        <v>#REF!</v>
      </c>
      <c r="IL63" t="e">
        <f>AND(Liste!#REF!,"AAAAAG3/vfU=")</f>
        <v>#REF!</v>
      </c>
      <c r="IM63" t="e">
        <f>AND(Liste!#REF!,"AAAAAG3/vfY=")</f>
        <v>#REF!</v>
      </c>
      <c r="IN63" t="e">
        <f>AND(Liste!#REF!,"AAAAAG3/vfc=")</f>
        <v>#REF!</v>
      </c>
      <c r="IO63" t="e">
        <f>IF(Liste!#REF!,"AAAAAG3/vfg=",0)</f>
        <v>#REF!</v>
      </c>
      <c r="IP63" t="e">
        <f>AND(Liste!#REF!,"AAAAAG3/vfk=")</f>
        <v>#REF!</v>
      </c>
      <c r="IQ63" t="e">
        <f>AND(Liste!#REF!,"AAAAAG3/vfo=")</f>
        <v>#REF!</v>
      </c>
      <c r="IR63" t="e">
        <f>AND(Liste!#REF!,"AAAAAG3/vfs=")</f>
        <v>#REF!</v>
      </c>
      <c r="IS63" t="e">
        <f>AND(Liste!#REF!,"AAAAAG3/vfw=")</f>
        <v>#REF!</v>
      </c>
      <c r="IT63" t="e">
        <f>AND(Liste!#REF!,"AAAAAG3/vf0=")</f>
        <v>#REF!</v>
      </c>
      <c r="IU63" t="e">
        <f>AND(Liste!#REF!,"AAAAAG3/vf4=")</f>
        <v>#REF!</v>
      </c>
      <c r="IV63" t="e">
        <f>AND(Liste!#REF!,"AAAAAG3/vf8=")</f>
        <v>#REF!</v>
      </c>
    </row>
    <row r="64" spans="1:256" x14ac:dyDescent="0.2">
      <c r="A64" t="e">
        <f>AND(Liste!#REF!,"AAAAAB9XnwA=")</f>
        <v>#REF!</v>
      </c>
      <c r="B64" t="e">
        <f>AND(Liste!#REF!,"AAAAAB9XnwE=")</f>
        <v>#REF!</v>
      </c>
      <c r="C64" t="e">
        <f>AND(Liste!#REF!,"AAAAAB9XnwI=")</f>
        <v>#REF!</v>
      </c>
      <c r="D64" t="e">
        <f>AND(Liste!#REF!,"AAAAAB9XnwM=")</f>
        <v>#REF!</v>
      </c>
      <c r="E64" t="e">
        <f>AND(Liste!#REF!,"AAAAAB9XnwQ=")</f>
        <v>#REF!</v>
      </c>
      <c r="F64" t="e">
        <f>AND(Liste!#REF!,"AAAAAB9XnwU=")</f>
        <v>#REF!</v>
      </c>
      <c r="G64" t="e">
        <f>AND(Liste!#REF!,"AAAAAB9XnwY=")</f>
        <v>#REF!</v>
      </c>
      <c r="H64" t="e">
        <f>AND(Liste!#REF!,"AAAAAB9Xnwc=")</f>
        <v>#REF!</v>
      </c>
      <c r="I64" t="e">
        <f>AND(Liste!#REF!,"AAAAAB9Xnwg=")</f>
        <v>#REF!</v>
      </c>
      <c r="J64" t="e">
        <f>AND(Liste!#REF!,"AAAAAB9Xnwk=")</f>
        <v>#REF!</v>
      </c>
      <c r="K64" t="e">
        <f>AND(Liste!#REF!,"AAAAAB9Xnwo=")</f>
        <v>#REF!</v>
      </c>
      <c r="L64" t="e">
        <f>AND(Liste!#REF!,"AAAAAB9Xnws=")</f>
        <v>#REF!</v>
      </c>
      <c r="M64" t="e">
        <f>AND(Liste!#REF!,"AAAAAB9Xnww=")</f>
        <v>#REF!</v>
      </c>
      <c r="N64" t="e">
        <f>AND(Liste!#REF!,"AAAAAB9Xnw0=")</f>
        <v>#REF!</v>
      </c>
      <c r="O64" t="e">
        <f>AND(Liste!#REF!,"AAAAAB9Xnw4=")</f>
        <v>#REF!</v>
      </c>
      <c r="P64" t="e">
        <f>AND(Liste!#REF!,"AAAAAB9Xnw8=")</f>
        <v>#REF!</v>
      </c>
      <c r="Q64" t="e">
        <f>AND(Liste!#REF!,"AAAAAB9XnxA=")</f>
        <v>#REF!</v>
      </c>
      <c r="R64" t="e">
        <f>AND(Liste!#REF!,"AAAAAB9XnxE=")</f>
        <v>#REF!</v>
      </c>
      <c r="S64" t="e">
        <f>AND(Liste!#REF!,"AAAAAB9XnxI=")</f>
        <v>#REF!</v>
      </c>
      <c r="T64" t="e">
        <f>AND(Liste!#REF!,"AAAAAB9XnxM=")</f>
        <v>#REF!</v>
      </c>
      <c r="U64" t="e">
        <f>AND(Liste!#REF!,"AAAAAB9XnxQ=")</f>
        <v>#REF!</v>
      </c>
      <c r="V64" t="e">
        <f>AND(Liste!#REF!,"AAAAAB9XnxU=")</f>
        <v>#REF!</v>
      </c>
      <c r="W64" t="e">
        <f>AND(Liste!#REF!,"AAAAAB9XnxY=")</f>
        <v>#REF!</v>
      </c>
      <c r="X64" t="e">
        <f>IF(Liste!#REF!,"AAAAAB9Xnxc=",0)</f>
        <v>#REF!</v>
      </c>
      <c r="Y64" t="e">
        <f>AND(Liste!#REF!,"AAAAAB9Xnxg=")</f>
        <v>#REF!</v>
      </c>
      <c r="Z64" t="e">
        <f>AND(Liste!#REF!,"AAAAAB9Xnxk=")</f>
        <v>#REF!</v>
      </c>
      <c r="AA64" t="e">
        <f>AND(Liste!#REF!,"AAAAAB9Xnxo=")</f>
        <v>#REF!</v>
      </c>
      <c r="AB64" t="e">
        <f>AND(Liste!#REF!,"AAAAAB9Xnxs=")</f>
        <v>#REF!</v>
      </c>
      <c r="AC64" t="e">
        <f>AND(Liste!#REF!,"AAAAAB9Xnxw=")</f>
        <v>#REF!</v>
      </c>
      <c r="AD64" t="e">
        <f>AND(Liste!#REF!,"AAAAAB9Xnx0=")</f>
        <v>#REF!</v>
      </c>
      <c r="AE64" t="e">
        <f>AND(Liste!#REF!,"AAAAAB9Xnx4=")</f>
        <v>#REF!</v>
      </c>
      <c r="AF64" t="e">
        <f>AND(Liste!#REF!,"AAAAAB9Xnx8=")</f>
        <v>#REF!</v>
      </c>
      <c r="AG64" t="e">
        <f>AND(Liste!#REF!,"AAAAAB9XnyA=")</f>
        <v>#REF!</v>
      </c>
      <c r="AH64" t="e">
        <f>AND(Liste!#REF!,"AAAAAB9XnyE=")</f>
        <v>#REF!</v>
      </c>
      <c r="AI64" t="e">
        <f>AND(Liste!#REF!,"AAAAAB9XnyI=")</f>
        <v>#REF!</v>
      </c>
      <c r="AJ64" t="e">
        <f>AND(Liste!#REF!,"AAAAAB9XnyM=")</f>
        <v>#REF!</v>
      </c>
      <c r="AK64" t="e">
        <f>AND(Liste!#REF!,"AAAAAB9XnyQ=")</f>
        <v>#REF!</v>
      </c>
      <c r="AL64" t="e">
        <f>AND(Liste!#REF!,"AAAAAB9XnyU=")</f>
        <v>#REF!</v>
      </c>
      <c r="AM64" t="e">
        <f>AND(Liste!#REF!,"AAAAAB9XnyY=")</f>
        <v>#REF!</v>
      </c>
      <c r="AN64" t="e">
        <f>AND(Liste!#REF!,"AAAAAB9Xnyc=")</f>
        <v>#REF!</v>
      </c>
      <c r="AO64" t="e">
        <f>AND(Liste!#REF!,"AAAAAB9Xnyg=")</f>
        <v>#REF!</v>
      </c>
      <c r="AP64" t="e">
        <f>AND(Liste!#REF!,"AAAAAB9Xnyk=")</f>
        <v>#REF!</v>
      </c>
      <c r="AQ64" t="e">
        <f>AND(Liste!#REF!,"AAAAAB9Xnyo=")</f>
        <v>#REF!</v>
      </c>
      <c r="AR64" t="e">
        <f>AND(Liste!#REF!,"AAAAAB9Xnys=")</f>
        <v>#REF!</v>
      </c>
      <c r="AS64" t="e">
        <f>AND(Liste!#REF!,"AAAAAB9Xnyw=")</f>
        <v>#REF!</v>
      </c>
      <c r="AT64" t="e">
        <f>AND(Liste!#REF!,"AAAAAB9Xny0=")</f>
        <v>#REF!</v>
      </c>
      <c r="AU64" t="e">
        <f>AND(Liste!#REF!,"AAAAAB9Xny4=")</f>
        <v>#REF!</v>
      </c>
      <c r="AV64" t="e">
        <f>AND(Liste!#REF!,"AAAAAB9Xny8=")</f>
        <v>#REF!</v>
      </c>
      <c r="AW64" t="e">
        <f>AND(Liste!#REF!,"AAAAAB9XnzA=")</f>
        <v>#REF!</v>
      </c>
      <c r="AX64" t="e">
        <f>AND(Liste!#REF!,"AAAAAB9XnzE=")</f>
        <v>#REF!</v>
      </c>
      <c r="AY64" t="e">
        <f>AND(Liste!#REF!,"AAAAAB9XnzI=")</f>
        <v>#REF!</v>
      </c>
      <c r="AZ64" t="e">
        <f>AND(Liste!#REF!,"AAAAAB9XnzM=")</f>
        <v>#REF!</v>
      </c>
      <c r="BA64" t="e">
        <f>AND(Liste!#REF!,"AAAAAB9XnzQ=")</f>
        <v>#REF!</v>
      </c>
      <c r="BB64" t="e">
        <f>AND(Liste!#REF!,"AAAAAB9XnzU=")</f>
        <v>#REF!</v>
      </c>
      <c r="BC64" t="e">
        <f>IF(Liste!#REF!,"AAAAAB9XnzY=",0)</f>
        <v>#REF!</v>
      </c>
      <c r="BD64" t="e">
        <f>AND(Liste!#REF!,"AAAAAB9Xnzc=")</f>
        <v>#REF!</v>
      </c>
      <c r="BE64" t="e">
        <f>AND(Liste!#REF!,"AAAAAB9Xnzg=")</f>
        <v>#REF!</v>
      </c>
      <c r="BF64" t="e">
        <f>AND(Liste!#REF!,"AAAAAB9Xnzk=")</f>
        <v>#REF!</v>
      </c>
      <c r="BG64" t="e">
        <f>AND(Liste!#REF!,"AAAAAB9Xnzo=")</f>
        <v>#REF!</v>
      </c>
      <c r="BH64" t="e">
        <f>AND(Liste!#REF!,"AAAAAB9Xnzs=")</f>
        <v>#REF!</v>
      </c>
      <c r="BI64" t="e">
        <f>AND(Liste!#REF!,"AAAAAB9Xnzw=")</f>
        <v>#REF!</v>
      </c>
      <c r="BJ64" t="e">
        <f>AND(Liste!#REF!,"AAAAAB9Xnz0=")</f>
        <v>#REF!</v>
      </c>
      <c r="BK64" t="e">
        <f>AND(Liste!#REF!,"AAAAAB9Xnz4=")</f>
        <v>#REF!</v>
      </c>
      <c r="BL64" t="e">
        <f>AND(Liste!#REF!,"AAAAAB9Xnz8=")</f>
        <v>#REF!</v>
      </c>
      <c r="BM64" t="e">
        <f>AND(Liste!#REF!,"AAAAAB9Xn0A=")</f>
        <v>#REF!</v>
      </c>
      <c r="BN64" t="e">
        <f>AND(Liste!#REF!,"AAAAAB9Xn0E=")</f>
        <v>#REF!</v>
      </c>
      <c r="BO64" t="e">
        <f>AND(Liste!#REF!,"AAAAAB9Xn0I=")</f>
        <v>#REF!</v>
      </c>
      <c r="BP64" t="e">
        <f>AND(Liste!#REF!,"AAAAAB9Xn0M=")</f>
        <v>#REF!</v>
      </c>
      <c r="BQ64" t="e">
        <f>AND(Liste!#REF!,"AAAAAB9Xn0Q=")</f>
        <v>#REF!</v>
      </c>
      <c r="BR64" t="e">
        <f>AND(Liste!#REF!,"AAAAAB9Xn0U=")</f>
        <v>#REF!</v>
      </c>
      <c r="BS64" t="e">
        <f>AND(Liste!#REF!,"AAAAAB9Xn0Y=")</f>
        <v>#REF!</v>
      </c>
      <c r="BT64" t="e">
        <f>AND(Liste!#REF!,"AAAAAB9Xn0c=")</f>
        <v>#REF!</v>
      </c>
      <c r="BU64" t="e">
        <f>AND(Liste!#REF!,"AAAAAB9Xn0g=")</f>
        <v>#REF!</v>
      </c>
      <c r="BV64" t="e">
        <f>AND(Liste!#REF!,"AAAAAB9Xn0k=")</f>
        <v>#REF!</v>
      </c>
      <c r="BW64" t="e">
        <f>AND(Liste!#REF!,"AAAAAB9Xn0o=")</f>
        <v>#REF!</v>
      </c>
      <c r="BX64" t="e">
        <f>AND(Liste!#REF!,"AAAAAB9Xn0s=")</f>
        <v>#REF!</v>
      </c>
      <c r="BY64" t="e">
        <f>AND(Liste!#REF!,"AAAAAB9Xn0w=")</f>
        <v>#REF!</v>
      </c>
      <c r="BZ64" t="e">
        <f>AND(Liste!#REF!,"AAAAAB9Xn00=")</f>
        <v>#REF!</v>
      </c>
      <c r="CA64" t="e">
        <f>AND(Liste!#REF!,"AAAAAB9Xn04=")</f>
        <v>#REF!</v>
      </c>
      <c r="CB64" t="e">
        <f>AND(Liste!#REF!,"AAAAAB9Xn08=")</f>
        <v>#REF!</v>
      </c>
      <c r="CC64" t="e">
        <f>AND(Liste!#REF!,"AAAAAB9Xn1A=")</f>
        <v>#REF!</v>
      </c>
      <c r="CD64" t="e">
        <f>AND(Liste!#REF!,"AAAAAB9Xn1E=")</f>
        <v>#REF!</v>
      </c>
      <c r="CE64" t="e">
        <f>AND(Liste!#REF!,"AAAAAB9Xn1I=")</f>
        <v>#REF!</v>
      </c>
      <c r="CF64" t="e">
        <f>AND(Liste!#REF!,"AAAAAB9Xn1M=")</f>
        <v>#REF!</v>
      </c>
      <c r="CG64" t="e">
        <f>AND(Liste!#REF!,"AAAAAB9Xn1Q=")</f>
        <v>#REF!</v>
      </c>
      <c r="CH64" t="e">
        <f>IF(Liste!#REF!,"AAAAAB9Xn1U=",0)</f>
        <v>#REF!</v>
      </c>
      <c r="CI64" t="e">
        <f>AND(Liste!#REF!,"AAAAAB9Xn1Y=")</f>
        <v>#REF!</v>
      </c>
      <c r="CJ64" t="e">
        <f>AND(Liste!#REF!,"AAAAAB9Xn1c=")</f>
        <v>#REF!</v>
      </c>
      <c r="CK64" t="e">
        <f>AND(Liste!#REF!,"AAAAAB9Xn1g=")</f>
        <v>#REF!</v>
      </c>
      <c r="CL64" t="e">
        <f>AND(Liste!#REF!,"AAAAAB9Xn1k=")</f>
        <v>#REF!</v>
      </c>
      <c r="CM64" t="e">
        <f>AND(Liste!#REF!,"AAAAAB9Xn1o=")</f>
        <v>#REF!</v>
      </c>
      <c r="CN64" t="e">
        <f>AND(Liste!#REF!,"AAAAAB9Xn1s=")</f>
        <v>#REF!</v>
      </c>
      <c r="CO64" t="e">
        <f>AND(Liste!#REF!,"AAAAAB9Xn1w=")</f>
        <v>#REF!</v>
      </c>
      <c r="CP64" t="e">
        <f>AND(Liste!#REF!,"AAAAAB9Xn10=")</f>
        <v>#REF!</v>
      </c>
      <c r="CQ64" t="e">
        <f>AND(Liste!#REF!,"AAAAAB9Xn14=")</f>
        <v>#REF!</v>
      </c>
      <c r="CR64" t="e">
        <f>AND(Liste!#REF!,"AAAAAB9Xn18=")</f>
        <v>#REF!</v>
      </c>
      <c r="CS64" t="e">
        <f>AND(Liste!#REF!,"AAAAAB9Xn2A=")</f>
        <v>#REF!</v>
      </c>
      <c r="CT64" t="e">
        <f>AND(Liste!#REF!,"AAAAAB9Xn2E=")</f>
        <v>#REF!</v>
      </c>
      <c r="CU64" t="e">
        <f>AND(Liste!#REF!,"AAAAAB9Xn2I=")</f>
        <v>#REF!</v>
      </c>
      <c r="CV64" t="e">
        <f>AND(Liste!#REF!,"AAAAAB9Xn2M=")</f>
        <v>#REF!</v>
      </c>
      <c r="CW64" t="e">
        <f>AND(Liste!#REF!,"AAAAAB9Xn2Q=")</f>
        <v>#REF!</v>
      </c>
      <c r="CX64" t="e">
        <f>AND(Liste!#REF!,"AAAAAB9Xn2U=")</f>
        <v>#REF!</v>
      </c>
      <c r="CY64" t="e">
        <f>AND(Liste!#REF!,"AAAAAB9Xn2Y=")</f>
        <v>#REF!</v>
      </c>
      <c r="CZ64" t="e">
        <f>AND(Liste!#REF!,"AAAAAB9Xn2c=")</f>
        <v>#REF!</v>
      </c>
      <c r="DA64" t="e">
        <f>AND(Liste!#REF!,"AAAAAB9Xn2g=")</f>
        <v>#REF!</v>
      </c>
      <c r="DB64" t="e">
        <f>AND(Liste!#REF!,"AAAAAB9Xn2k=")</f>
        <v>#REF!</v>
      </c>
      <c r="DC64" t="e">
        <f>AND(Liste!#REF!,"AAAAAB9Xn2o=")</f>
        <v>#REF!</v>
      </c>
      <c r="DD64" t="e">
        <f>AND(Liste!#REF!,"AAAAAB9Xn2s=")</f>
        <v>#REF!</v>
      </c>
      <c r="DE64" t="e">
        <f>AND(Liste!#REF!,"AAAAAB9Xn2w=")</f>
        <v>#REF!</v>
      </c>
      <c r="DF64" t="e">
        <f>AND(Liste!#REF!,"AAAAAB9Xn20=")</f>
        <v>#REF!</v>
      </c>
      <c r="DG64" t="e">
        <f>AND(Liste!#REF!,"AAAAAB9Xn24=")</f>
        <v>#REF!</v>
      </c>
      <c r="DH64" t="e">
        <f>AND(Liste!#REF!,"AAAAAB9Xn28=")</f>
        <v>#REF!</v>
      </c>
      <c r="DI64" t="e">
        <f>AND(Liste!#REF!,"AAAAAB9Xn3A=")</f>
        <v>#REF!</v>
      </c>
      <c r="DJ64" t="e">
        <f>AND(Liste!#REF!,"AAAAAB9Xn3E=")</f>
        <v>#REF!</v>
      </c>
      <c r="DK64" t="e">
        <f>AND(Liste!#REF!,"AAAAAB9Xn3I=")</f>
        <v>#REF!</v>
      </c>
      <c r="DL64" t="e">
        <f>AND(Liste!#REF!,"AAAAAB9Xn3M=")</f>
        <v>#REF!</v>
      </c>
      <c r="DM64" t="e">
        <f>IF(Liste!#REF!,"AAAAAB9Xn3Q=",0)</f>
        <v>#REF!</v>
      </c>
      <c r="DN64" t="e">
        <f>AND(Liste!#REF!,"AAAAAB9Xn3U=")</f>
        <v>#REF!</v>
      </c>
      <c r="DO64" t="e">
        <f>AND(Liste!#REF!,"AAAAAB9Xn3Y=")</f>
        <v>#REF!</v>
      </c>
      <c r="DP64" t="e">
        <f>AND(Liste!#REF!,"AAAAAB9Xn3c=")</f>
        <v>#REF!</v>
      </c>
      <c r="DQ64" t="e">
        <f>AND(Liste!#REF!,"AAAAAB9Xn3g=")</f>
        <v>#REF!</v>
      </c>
      <c r="DR64" t="e">
        <f>AND(Liste!#REF!,"AAAAAB9Xn3k=")</f>
        <v>#REF!</v>
      </c>
      <c r="DS64" t="e">
        <f>AND(Liste!#REF!,"AAAAAB9Xn3o=")</f>
        <v>#REF!</v>
      </c>
      <c r="DT64" t="e">
        <f>AND(Liste!#REF!,"AAAAAB9Xn3s=")</f>
        <v>#REF!</v>
      </c>
      <c r="DU64" t="e">
        <f>AND(Liste!#REF!,"AAAAAB9Xn3w=")</f>
        <v>#REF!</v>
      </c>
      <c r="DV64" t="e">
        <f>AND(Liste!#REF!,"AAAAAB9Xn30=")</f>
        <v>#REF!</v>
      </c>
      <c r="DW64" t="e">
        <f>AND(Liste!#REF!,"AAAAAB9Xn34=")</f>
        <v>#REF!</v>
      </c>
      <c r="DX64" t="e">
        <f>AND(Liste!#REF!,"AAAAAB9Xn38=")</f>
        <v>#REF!</v>
      </c>
      <c r="DY64" t="e">
        <f>AND(Liste!#REF!,"AAAAAB9Xn4A=")</f>
        <v>#REF!</v>
      </c>
      <c r="DZ64" t="e">
        <f>AND(Liste!#REF!,"AAAAAB9Xn4E=")</f>
        <v>#REF!</v>
      </c>
      <c r="EA64" t="e">
        <f>AND(Liste!#REF!,"AAAAAB9Xn4I=")</f>
        <v>#REF!</v>
      </c>
      <c r="EB64" t="e">
        <f>AND(Liste!#REF!,"AAAAAB9Xn4M=")</f>
        <v>#REF!</v>
      </c>
      <c r="EC64" t="e">
        <f>AND(Liste!#REF!,"AAAAAB9Xn4Q=")</f>
        <v>#REF!</v>
      </c>
      <c r="ED64" t="e">
        <f>AND(Liste!#REF!,"AAAAAB9Xn4U=")</f>
        <v>#REF!</v>
      </c>
      <c r="EE64" t="e">
        <f>AND(Liste!#REF!,"AAAAAB9Xn4Y=")</f>
        <v>#REF!</v>
      </c>
      <c r="EF64" t="e">
        <f>AND(Liste!#REF!,"AAAAAB9Xn4c=")</f>
        <v>#REF!</v>
      </c>
      <c r="EG64" t="e">
        <f>AND(Liste!#REF!,"AAAAAB9Xn4g=")</f>
        <v>#REF!</v>
      </c>
      <c r="EH64" t="e">
        <f>AND(Liste!#REF!,"AAAAAB9Xn4k=")</f>
        <v>#REF!</v>
      </c>
      <c r="EI64" t="e">
        <f>AND(Liste!#REF!,"AAAAAB9Xn4o=")</f>
        <v>#REF!</v>
      </c>
      <c r="EJ64" t="e">
        <f>AND(Liste!#REF!,"AAAAAB9Xn4s=")</f>
        <v>#REF!</v>
      </c>
      <c r="EK64" t="e">
        <f>AND(Liste!#REF!,"AAAAAB9Xn4w=")</f>
        <v>#REF!</v>
      </c>
      <c r="EL64" t="e">
        <f>AND(Liste!#REF!,"AAAAAB9Xn40=")</f>
        <v>#REF!</v>
      </c>
      <c r="EM64" t="e">
        <f>AND(Liste!#REF!,"AAAAAB9Xn44=")</f>
        <v>#REF!</v>
      </c>
      <c r="EN64" t="e">
        <f>AND(Liste!#REF!,"AAAAAB9Xn48=")</f>
        <v>#REF!</v>
      </c>
      <c r="EO64" t="e">
        <f>AND(Liste!#REF!,"AAAAAB9Xn5A=")</f>
        <v>#REF!</v>
      </c>
      <c r="EP64" t="e">
        <f>AND(Liste!#REF!,"AAAAAB9Xn5E=")</f>
        <v>#REF!</v>
      </c>
      <c r="EQ64" t="e">
        <f>AND(Liste!#REF!,"AAAAAB9Xn5I=")</f>
        <v>#REF!</v>
      </c>
      <c r="ER64" t="e">
        <f>IF(Liste!#REF!,"AAAAAB9Xn5M=",0)</f>
        <v>#REF!</v>
      </c>
      <c r="ES64" t="e">
        <f>AND(Liste!#REF!,"AAAAAB9Xn5Q=")</f>
        <v>#REF!</v>
      </c>
      <c r="ET64" t="e">
        <f>AND(Liste!#REF!,"AAAAAB9Xn5U=")</f>
        <v>#REF!</v>
      </c>
      <c r="EU64" t="e">
        <f>AND(Liste!#REF!,"AAAAAB9Xn5Y=")</f>
        <v>#REF!</v>
      </c>
      <c r="EV64" t="e">
        <f>AND(Liste!#REF!,"AAAAAB9Xn5c=")</f>
        <v>#REF!</v>
      </c>
      <c r="EW64" t="e">
        <f>AND(Liste!#REF!,"AAAAAB9Xn5g=")</f>
        <v>#REF!</v>
      </c>
      <c r="EX64" t="e">
        <f>AND(Liste!#REF!,"AAAAAB9Xn5k=")</f>
        <v>#REF!</v>
      </c>
      <c r="EY64" t="e">
        <f>AND(Liste!#REF!,"AAAAAB9Xn5o=")</f>
        <v>#REF!</v>
      </c>
      <c r="EZ64" t="e">
        <f>AND(Liste!#REF!,"AAAAAB9Xn5s=")</f>
        <v>#REF!</v>
      </c>
      <c r="FA64" t="e">
        <f>AND(Liste!#REF!,"AAAAAB9Xn5w=")</f>
        <v>#REF!</v>
      </c>
      <c r="FB64" t="e">
        <f>AND(Liste!#REF!,"AAAAAB9Xn50=")</f>
        <v>#REF!</v>
      </c>
      <c r="FC64" t="e">
        <f>AND(Liste!#REF!,"AAAAAB9Xn54=")</f>
        <v>#REF!</v>
      </c>
      <c r="FD64" t="e">
        <f>AND(Liste!#REF!,"AAAAAB9Xn58=")</f>
        <v>#REF!</v>
      </c>
      <c r="FE64" t="e">
        <f>AND(Liste!#REF!,"AAAAAB9Xn6A=")</f>
        <v>#REF!</v>
      </c>
      <c r="FF64" t="e">
        <f>AND(Liste!#REF!,"AAAAAB9Xn6E=")</f>
        <v>#REF!</v>
      </c>
      <c r="FG64" t="e">
        <f>AND(Liste!#REF!,"AAAAAB9Xn6I=")</f>
        <v>#REF!</v>
      </c>
      <c r="FH64" t="e">
        <f>AND(Liste!#REF!,"AAAAAB9Xn6M=")</f>
        <v>#REF!</v>
      </c>
      <c r="FI64" t="e">
        <f>AND(Liste!#REF!,"AAAAAB9Xn6Q=")</f>
        <v>#REF!</v>
      </c>
      <c r="FJ64" t="e">
        <f>AND(Liste!#REF!,"AAAAAB9Xn6U=")</f>
        <v>#REF!</v>
      </c>
      <c r="FK64" t="e">
        <f>AND(Liste!#REF!,"AAAAAB9Xn6Y=")</f>
        <v>#REF!</v>
      </c>
      <c r="FL64" t="e">
        <f>AND(Liste!#REF!,"AAAAAB9Xn6c=")</f>
        <v>#REF!</v>
      </c>
      <c r="FM64" t="e">
        <f>AND(Liste!#REF!,"AAAAAB9Xn6g=")</f>
        <v>#REF!</v>
      </c>
      <c r="FN64" t="e">
        <f>AND(Liste!#REF!,"AAAAAB9Xn6k=")</f>
        <v>#REF!</v>
      </c>
      <c r="FO64" t="e">
        <f>AND(Liste!#REF!,"AAAAAB9Xn6o=")</f>
        <v>#REF!</v>
      </c>
      <c r="FP64" t="e">
        <f>AND(Liste!#REF!,"AAAAAB9Xn6s=")</f>
        <v>#REF!</v>
      </c>
      <c r="FQ64" t="e">
        <f>AND(Liste!#REF!,"AAAAAB9Xn6w=")</f>
        <v>#REF!</v>
      </c>
      <c r="FR64" t="e">
        <f>AND(Liste!#REF!,"AAAAAB9Xn60=")</f>
        <v>#REF!</v>
      </c>
      <c r="FS64" t="e">
        <f>AND(Liste!#REF!,"AAAAAB9Xn64=")</f>
        <v>#REF!</v>
      </c>
      <c r="FT64" t="e">
        <f>AND(Liste!#REF!,"AAAAAB9Xn68=")</f>
        <v>#REF!</v>
      </c>
      <c r="FU64" t="e">
        <f>AND(Liste!#REF!,"AAAAAB9Xn7A=")</f>
        <v>#REF!</v>
      </c>
      <c r="FV64" t="e">
        <f>AND(Liste!#REF!,"AAAAAB9Xn7E=")</f>
        <v>#REF!</v>
      </c>
      <c r="FW64" t="e">
        <f>IF(Liste!#REF!,"AAAAAB9Xn7I=",0)</f>
        <v>#REF!</v>
      </c>
      <c r="FX64" t="e">
        <f>AND(Liste!#REF!,"AAAAAB9Xn7M=")</f>
        <v>#REF!</v>
      </c>
      <c r="FY64" t="e">
        <f>AND(Liste!#REF!,"AAAAAB9Xn7Q=")</f>
        <v>#REF!</v>
      </c>
      <c r="FZ64" t="e">
        <f>AND(Liste!#REF!,"AAAAAB9Xn7U=")</f>
        <v>#REF!</v>
      </c>
      <c r="GA64" t="e">
        <f>AND(Liste!#REF!,"AAAAAB9Xn7Y=")</f>
        <v>#REF!</v>
      </c>
      <c r="GB64" t="e">
        <f>AND(Liste!#REF!,"AAAAAB9Xn7c=")</f>
        <v>#REF!</v>
      </c>
      <c r="GC64" t="e">
        <f>AND(Liste!#REF!,"AAAAAB9Xn7g=")</f>
        <v>#REF!</v>
      </c>
      <c r="GD64" t="e">
        <f>AND(Liste!#REF!,"AAAAAB9Xn7k=")</f>
        <v>#REF!</v>
      </c>
      <c r="GE64" t="e">
        <f>AND(Liste!#REF!,"AAAAAB9Xn7o=")</f>
        <v>#REF!</v>
      </c>
      <c r="GF64" t="e">
        <f>AND(Liste!#REF!,"AAAAAB9Xn7s=")</f>
        <v>#REF!</v>
      </c>
      <c r="GG64" t="e">
        <f>AND(Liste!#REF!,"AAAAAB9Xn7w=")</f>
        <v>#REF!</v>
      </c>
      <c r="GH64" t="e">
        <f>AND(Liste!#REF!,"AAAAAB9Xn70=")</f>
        <v>#REF!</v>
      </c>
      <c r="GI64" t="e">
        <f>AND(Liste!#REF!,"AAAAAB9Xn74=")</f>
        <v>#REF!</v>
      </c>
      <c r="GJ64" t="e">
        <f>AND(Liste!#REF!,"AAAAAB9Xn78=")</f>
        <v>#REF!</v>
      </c>
      <c r="GK64" t="e">
        <f>AND(Liste!#REF!,"AAAAAB9Xn8A=")</f>
        <v>#REF!</v>
      </c>
      <c r="GL64" t="e">
        <f>AND(Liste!#REF!,"AAAAAB9Xn8E=")</f>
        <v>#REF!</v>
      </c>
      <c r="GM64" t="e">
        <f>AND(Liste!#REF!,"AAAAAB9Xn8I=")</f>
        <v>#REF!</v>
      </c>
      <c r="GN64" t="e">
        <f>AND(Liste!#REF!,"AAAAAB9Xn8M=")</f>
        <v>#REF!</v>
      </c>
      <c r="GO64" t="e">
        <f>AND(Liste!#REF!,"AAAAAB9Xn8Q=")</f>
        <v>#REF!</v>
      </c>
      <c r="GP64" t="e">
        <f>AND(Liste!#REF!,"AAAAAB9Xn8U=")</f>
        <v>#REF!</v>
      </c>
      <c r="GQ64" t="e">
        <f>AND(Liste!#REF!,"AAAAAB9Xn8Y=")</f>
        <v>#REF!</v>
      </c>
      <c r="GR64" t="e">
        <f>AND(Liste!#REF!,"AAAAAB9Xn8c=")</f>
        <v>#REF!</v>
      </c>
      <c r="GS64" t="e">
        <f>AND(Liste!#REF!,"AAAAAB9Xn8g=")</f>
        <v>#REF!</v>
      </c>
      <c r="GT64" t="e">
        <f>AND(Liste!#REF!,"AAAAAB9Xn8k=")</f>
        <v>#REF!</v>
      </c>
      <c r="GU64" t="e">
        <f>AND(Liste!#REF!,"AAAAAB9Xn8o=")</f>
        <v>#REF!</v>
      </c>
      <c r="GV64" t="e">
        <f>AND(Liste!#REF!,"AAAAAB9Xn8s=")</f>
        <v>#REF!</v>
      </c>
      <c r="GW64" t="e">
        <f>AND(Liste!#REF!,"AAAAAB9Xn8w=")</f>
        <v>#REF!</v>
      </c>
      <c r="GX64" t="e">
        <f>AND(Liste!#REF!,"AAAAAB9Xn80=")</f>
        <v>#REF!</v>
      </c>
      <c r="GY64" t="e">
        <f>AND(Liste!#REF!,"AAAAAB9Xn84=")</f>
        <v>#REF!</v>
      </c>
      <c r="GZ64" t="e">
        <f>AND(Liste!#REF!,"AAAAAB9Xn88=")</f>
        <v>#REF!</v>
      </c>
      <c r="HA64" t="e">
        <f>AND(Liste!#REF!,"AAAAAB9Xn9A=")</f>
        <v>#REF!</v>
      </c>
      <c r="HB64" t="e">
        <f>IF(Liste!#REF!,"AAAAAB9Xn9E=",0)</f>
        <v>#REF!</v>
      </c>
      <c r="HC64" t="e">
        <f>AND(Liste!#REF!,"AAAAAB9Xn9I=")</f>
        <v>#REF!</v>
      </c>
      <c r="HD64" t="e">
        <f>AND(Liste!#REF!,"AAAAAB9Xn9M=")</f>
        <v>#REF!</v>
      </c>
      <c r="HE64" t="e">
        <f>AND(Liste!#REF!,"AAAAAB9Xn9Q=")</f>
        <v>#REF!</v>
      </c>
      <c r="HF64" t="e">
        <f>AND(Liste!#REF!,"AAAAAB9Xn9U=")</f>
        <v>#REF!</v>
      </c>
      <c r="HG64" t="e">
        <f>AND(Liste!#REF!,"AAAAAB9Xn9Y=")</f>
        <v>#REF!</v>
      </c>
      <c r="HH64" t="e">
        <f>AND(Liste!#REF!,"AAAAAB9Xn9c=")</f>
        <v>#REF!</v>
      </c>
      <c r="HI64" t="e">
        <f>AND(Liste!#REF!,"AAAAAB9Xn9g=")</f>
        <v>#REF!</v>
      </c>
      <c r="HJ64" t="e">
        <f>AND(Liste!#REF!,"AAAAAB9Xn9k=")</f>
        <v>#REF!</v>
      </c>
      <c r="HK64" t="e">
        <f>AND(Liste!#REF!,"AAAAAB9Xn9o=")</f>
        <v>#REF!</v>
      </c>
      <c r="HL64" t="e">
        <f>AND(Liste!#REF!,"AAAAAB9Xn9s=")</f>
        <v>#REF!</v>
      </c>
      <c r="HM64" t="e">
        <f>AND(Liste!#REF!,"AAAAAB9Xn9w=")</f>
        <v>#REF!</v>
      </c>
      <c r="HN64" t="e">
        <f>AND(Liste!#REF!,"AAAAAB9Xn90=")</f>
        <v>#REF!</v>
      </c>
      <c r="HO64" t="e">
        <f>AND(Liste!#REF!,"AAAAAB9Xn94=")</f>
        <v>#REF!</v>
      </c>
      <c r="HP64" t="e">
        <f>AND(Liste!#REF!,"AAAAAB9Xn98=")</f>
        <v>#REF!</v>
      </c>
      <c r="HQ64" t="e">
        <f>AND(Liste!#REF!,"AAAAAB9Xn+A=")</f>
        <v>#REF!</v>
      </c>
      <c r="HR64" t="e">
        <f>AND(Liste!#REF!,"AAAAAB9Xn+E=")</f>
        <v>#REF!</v>
      </c>
      <c r="HS64" t="e">
        <f>AND(Liste!#REF!,"AAAAAB9Xn+I=")</f>
        <v>#REF!</v>
      </c>
      <c r="HT64" t="e">
        <f>AND(Liste!#REF!,"AAAAAB9Xn+M=")</f>
        <v>#REF!</v>
      </c>
      <c r="HU64" t="e">
        <f>AND(Liste!#REF!,"AAAAAB9Xn+Q=")</f>
        <v>#REF!</v>
      </c>
      <c r="HV64" t="e">
        <f>AND(Liste!#REF!,"AAAAAB9Xn+U=")</f>
        <v>#REF!</v>
      </c>
      <c r="HW64" t="e">
        <f>AND(Liste!#REF!,"AAAAAB9Xn+Y=")</f>
        <v>#REF!</v>
      </c>
      <c r="HX64" t="e">
        <f>AND(Liste!#REF!,"AAAAAB9Xn+c=")</f>
        <v>#REF!</v>
      </c>
      <c r="HY64" t="e">
        <f>AND(Liste!#REF!,"AAAAAB9Xn+g=")</f>
        <v>#REF!</v>
      </c>
      <c r="HZ64" t="e">
        <f>AND(Liste!#REF!,"AAAAAB9Xn+k=")</f>
        <v>#REF!</v>
      </c>
      <c r="IA64" t="e">
        <f>AND(Liste!#REF!,"AAAAAB9Xn+o=")</f>
        <v>#REF!</v>
      </c>
      <c r="IB64" t="e">
        <f>AND(Liste!#REF!,"AAAAAB9Xn+s=")</f>
        <v>#REF!</v>
      </c>
      <c r="IC64" t="e">
        <f>AND(Liste!#REF!,"AAAAAB9Xn+w=")</f>
        <v>#REF!</v>
      </c>
      <c r="ID64" t="e">
        <f>AND(Liste!#REF!,"AAAAAB9Xn+0=")</f>
        <v>#REF!</v>
      </c>
      <c r="IE64" t="e">
        <f>AND(Liste!#REF!,"AAAAAB9Xn+4=")</f>
        <v>#REF!</v>
      </c>
      <c r="IF64" t="e">
        <f>AND(Liste!#REF!,"AAAAAB9Xn+8=")</f>
        <v>#REF!</v>
      </c>
      <c r="IG64" t="e">
        <f>IF(Liste!#REF!,"AAAAAB9Xn/A=",0)</f>
        <v>#REF!</v>
      </c>
      <c r="IH64" t="e">
        <f>AND(Liste!#REF!,"AAAAAB9Xn/E=")</f>
        <v>#REF!</v>
      </c>
      <c r="II64" t="e">
        <f>AND(Liste!#REF!,"AAAAAB9Xn/I=")</f>
        <v>#REF!</v>
      </c>
      <c r="IJ64" t="e">
        <f>AND(Liste!#REF!,"AAAAAB9Xn/M=")</f>
        <v>#REF!</v>
      </c>
      <c r="IK64" t="e">
        <f>AND(Liste!#REF!,"AAAAAB9Xn/Q=")</f>
        <v>#REF!</v>
      </c>
      <c r="IL64" t="e">
        <f>AND(Liste!#REF!,"AAAAAB9Xn/U=")</f>
        <v>#REF!</v>
      </c>
      <c r="IM64" t="e">
        <f>AND(Liste!#REF!,"AAAAAB9Xn/Y=")</f>
        <v>#REF!</v>
      </c>
      <c r="IN64" t="e">
        <f>AND(Liste!#REF!,"AAAAAB9Xn/c=")</f>
        <v>#REF!</v>
      </c>
      <c r="IO64" t="e">
        <f>AND(Liste!#REF!,"AAAAAB9Xn/g=")</f>
        <v>#REF!</v>
      </c>
      <c r="IP64" t="e">
        <f>AND(Liste!#REF!,"AAAAAB9Xn/k=")</f>
        <v>#REF!</v>
      </c>
      <c r="IQ64" t="e">
        <f>AND(Liste!#REF!,"AAAAAB9Xn/o=")</f>
        <v>#REF!</v>
      </c>
      <c r="IR64" t="e">
        <f>AND(Liste!#REF!,"AAAAAB9Xn/s=")</f>
        <v>#REF!</v>
      </c>
      <c r="IS64" t="e">
        <f>AND(Liste!#REF!,"AAAAAB9Xn/w=")</f>
        <v>#REF!</v>
      </c>
      <c r="IT64" t="e">
        <f>AND(Liste!#REF!,"AAAAAB9Xn/0=")</f>
        <v>#REF!</v>
      </c>
      <c r="IU64" t="e">
        <f>AND(Liste!#REF!,"AAAAAB9Xn/4=")</f>
        <v>#REF!</v>
      </c>
      <c r="IV64" t="e">
        <f>AND(Liste!#REF!,"AAAAAB9Xn/8=")</f>
        <v>#REF!</v>
      </c>
    </row>
    <row r="65" spans="1:256" x14ac:dyDescent="0.2">
      <c r="A65" t="e">
        <f>AND(Liste!#REF!,"AAAAAH7e/wA=")</f>
        <v>#REF!</v>
      </c>
      <c r="B65" t="e">
        <f>AND(Liste!#REF!,"AAAAAH7e/wE=")</f>
        <v>#REF!</v>
      </c>
      <c r="C65" t="e">
        <f>AND(Liste!#REF!,"AAAAAH7e/wI=")</f>
        <v>#REF!</v>
      </c>
      <c r="D65" t="e">
        <f>AND(Liste!#REF!,"AAAAAH7e/wM=")</f>
        <v>#REF!</v>
      </c>
      <c r="E65" t="e">
        <f>AND(Liste!#REF!,"AAAAAH7e/wQ=")</f>
        <v>#REF!</v>
      </c>
      <c r="F65" t="e">
        <f>AND(Liste!#REF!,"AAAAAH7e/wU=")</f>
        <v>#REF!</v>
      </c>
      <c r="G65" t="e">
        <f>AND(Liste!#REF!,"AAAAAH7e/wY=")</f>
        <v>#REF!</v>
      </c>
      <c r="H65" t="e">
        <f>AND(Liste!#REF!,"AAAAAH7e/wc=")</f>
        <v>#REF!</v>
      </c>
      <c r="I65" t="e">
        <f>AND(Liste!#REF!,"AAAAAH7e/wg=")</f>
        <v>#REF!</v>
      </c>
      <c r="J65" t="e">
        <f>AND(Liste!#REF!,"AAAAAH7e/wk=")</f>
        <v>#REF!</v>
      </c>
      <c r="K65" t="e">
        <f>AND(Liste!#REF!,"AAAAAH7e/wo=")</f>
        <v>#REF!</v>
      </c>
      <c r="L65" t="e">
        <f>AND(Liste!#REF!,"AAAAAH7e/ws=")</f>
        <v>#REF!</v>
      </c>
      <c r="M65" t="e">
        <f>AND(Liste!#REF!,"AAAAAH7e/ww=")</f>
        <v>#REF!</v>
      </c>
      <c r="N65" t="e">
        <f>AND(Liste!#REF!,"AAAAAH7e/w0=")</f>
        <v>#REF!</v>
      </c>
      <c r="O65" t="e">
        <f>AND(Liste!#REF!,"AAAAAH7e/w4=")</f>
        <v>#REF!</v>
      </c>
      <c r="P65" t="e">
        <f>IF(Liste!#REF!,"AAAAAH7e/w8=",0)</f>
        <v>#REF!</v>
      </c>
      <c r="Q65" t="e">
        <f>AND(Liste!#REF!,"AAAAAH7e/xA=")</f>
        <v>#REF!</v>
      </c>
      <c r="R65" t="e">
        <f>AND(Liste!#REF!,"AAAAAH7e/xE=")</f>
        <v>#REF!</v>
      </c>
      <c r="S65" t="e">
        <f>AND(Liste!#REF!,"AAAAAH7e/xI=")</f>
        <v>#REF!</v>
      </c>
      <c r="T65" t="e">
        <f>AND(Liste!#REF!,"AAAAAH7e/xM=")</f>
        <v>#REF!</v>
      </c>
      <c r="U65" t="e">
        <f>AND(Liste!#REF!,"AAAAAH7e/xQ=")</f>
        <v>#REF!</v>
      </c>
      <c r="V65" t="e">
        <f>AND(Liste!#REF!,"AAAAAH7e/xU=")</f>
        <v>#REF!</v>
      </c>
      <c r="W65" t="e">
        <f>AND(Liste!#REF!,"AAAAAH7e/xY=")</f>
        <v>#REF!</v>
      </c>
      <c r="X65" t="e">
        <f>AND(Liste!#REF!,"AAAAAH7e/xc=")</f>
        <v>#REF!</v>
      </c>
      <c r="Y65" t="e">
        <f>AND(Liste!#REF!,"AAAAAH7e/xg=")</f>
        <v>#REF!</v>
      </c>
      <c r="Z65" t="e">
        <f>AND(Liste!#REF!,"AAAAAH7e/xk=")</f>
        <v>#REF!</v>
      </c>
      <c r="AA65" t="e">
        <f>AND(Liste!#REF!,"AAAAAH7e/xo=")</f>
        <v>#REF!</v>
      </c>
      <c r="AB65" t="e">
        <f>AND(Liste!#REF!,"AAAAAH7e/xs=")</f>
        <v>#REF!</v>
      </c>
      <c r="AC65" t="e">
        <f>AND(Liste!#REF!,"AAAAAH7e/xw=")</f>
        <v>#REF!</v>
      </c>
      <c r="AD65" t="e">
        <f>AND(Liste!#REF!,"AAAAAH7e/x0=")</f>
        <v>#REF!</v>
      </c>
      <c r="AE65" t="e">
        <f>AND(Liste!#REF!,"AAAAAH7e/x4=")</f>
        <v>#REF!</v>
      </c>
      <c r="AF65" t="e">
        <f>AND(Liste!#REF!,"AAAAAH7e/x8=")</f>
        <v>#REF!</v>
      </c>
      <c r="AG65" t="e">
        <f>AND(Liste!#REF!,"AAAAAH7e/yA=")</f>
        <v>#REF!</v>
      </c>
      <c r="AH65" t="e">
        <f>AND(Liste!#REF!,"AAAAAH7e/yE=")</f>
        <v>#REF!</v>
      </c>
      <c r="AI65" t="e">
        <f>AND(Liste!#REF!,"AAAAAH7e/yI=")</f>
        <v>#REF!</v>
      </c>
      <c r="AJ65" t="e">
        <f>AND(Liste!#REF!,"AAAAAH7e/yM=")</f>
        <v>#REF!</v>
      </c>
      <c r="AK65" t="e">
        <f>AND(Liste!#REF!,"AAAAAH7e/yQ=")</f>
        <v>#REF!</v>
      </c>
      <c r="AL65" t="e">
        <f>AND(Liste!#REF!,"AAAAAH7e/yU=")</f>
        <v>#REF!</v>
      </c>
      <c r="AM65" t="e">
        <f>AND(Liste!#REF!,"AAAAAH7e/yY=")</f>
        <v>#REF!</v>
      </c>
      <c r="AN65" t="e">
        <f>AND(Liste!#REF!,"AAAAAH7e/yc=")</f>
        <v>#REF!</v>
      </c>
      <c r="AO65" t="e">
        <f>AND(Liste!#REF!,"AAAAAH7e/yg=")</f>
        <v>#REF!</v>
      </c>
      <c r="AP65" t="e">
        <f>AND(Liste!#REF!,"AAAAAH7e/yk=")</f>
        <v>#REF!</v>
      </c>
      <c r="AQ65" t="e">
        <f>AND(Liste!#REF!,"AAAAAH7e/yo=")</f>
        <v>#REF!</v>
      </c>
      <c r="AR65" t="e">
        <f>AND(Liste!#REF!,"AAAAAH7e/ys=")</f>
        <v>#REF!</v>
      </c>
      <c r="AS65" t="e">
        <f>AND(Liste!#REF!,"AAAAAH7e/yw=")</f>
        <v>#REF!</v>
      </c>
      <c r="AT65" t="e">
        <f>AND(Liste!#REF!,"AAAAAH7e/y0=")</f>
        <v>#REF!</v>
      </c>
      <c r="AU65" t="e">
        <f>IF(Liste!#REF!,"AAAAAH7e/y4=",0)</f>
        <v>#REF!</v>
      </c>
      <c r="AV65" t="e">
        <f>AND(Liste!#REF!,"AAAAAH7e/y8=")</f>
        <v>#REF!</v>
      </c>
      <c r="AW65" t="e">
        <f>AND(Liste!#REF!,"AAAAAH7e/zA=")</f>
        <v>#REF!</v>
      </c>
      <c r="AX65" t="e">
        <f>AND(Liste!#REF!,"AAAAAH7e/zE=")</f>
        <v>#REF!</v>
      </c>
      <c r="AY65" t="e">
        <f>AND(Liste!#REF!,"AAAAAH7e/zI=")</f>
        <v>#REF!</v>
      </c>
      <c r="AZ65" t="e">
        <f>AND(Liste!#REF!,"AAAAAH7e/zM=")</f>
        <v>#REF!</v>
      </c>
      <c r="BA65" t="e">
        <f>AND(Liste!#REF!,"AAAAAH7e/zQ=")</f>
        <v>#REF!</v>
      </c>
      <c r="BB65" t="e">
        <f>AND(Liste!#REF!,"AAAAAH7e/zU=")</f>
        <v>#REF!</v>
      </c>
      <c r="BC65" t="e">
        <f>AND(Liste!#REF!,"AAAAAH7e/zY=")</f>
        <v>#REF!</v>
      </c>
      <c r="BD65" t="e">
        <f>AND(Liste!#REF!,"AAAAAH7e/zc=")</f>
        <v>#REF!</v>
      </c>
      <c r="BE65" t="e">
        <f>AND(Liste!#REF!,"AAAAAH7e/zg=")</f>
        <v>#REF!</v>
      </c>
      <c r="BF65" t="e">
        <f>AND(Liste!#REF!,"AAAAAH7e/zk=")</f>
        <v>#REF!</v>
      </c>
      <c r="BG65" t="e">
        <f>AND(Liste!#REF!,"AAAAAH7e/zo=")</f>
        <v>#REF!</v>
      </c>
      <c r="BH65" t="e">
        <f>AND(Liste!#REF!,"AAAAAH7e/zs=")</f>
        <v>#REF!</v>
      </c>
      <c r="BI65" t="e">
        <f>AND(Liste!#REF!,"AAAAAH7e/zw=")</f>
        <v>#REF!</v>
      </c>
      <c r="BJ65" t="e">
        <f>AND(Liste!#REF!,"AAAAAH7e/z0=")</f>
        <v>#REF!</v>
      </c>
      <c r="BK65" t="e">
        <f>AND(Liste!#REF!,"AAAAAH7e/z4=")</f>
        <v>#REF!</v>
      </c>
      <c r="BL65" t="e">
        <f>AND(Liste!#REF!,"AAAAAH7e/z8=")</f>
        <v>#REF!</v>
      </c>
      <c r="BM65" t="e">
        <f>AND(Liste!#REF!,"AAAAAH7e/0A=")</f>
        <v>#REF!</v>
      </c>
      <c r="BN65" t="e">
        <f>AND(Liste!#REF!,"AAAAAH7e/0E=")</f>
        <v>#REF!</v>
      </c>
      <c r="BO65" t="e">
        <f>AND(Liste!#REF!,"AAAAAH7e/0I=")</f>
        <v>#REF!</v>
      </c>
      <c r="BP65" t="e">
        <f>AND(Liste!#REF!,"AAAAAH7e/0M=")</f>
        <v>#REF!</v>
      </c>
      <c r="BQ65" t="e">
        <f>AND(Liste!#REF!,"AAAAAH7e/0Q=")</f>
        <v>#REF!</v>
      </c>
      <c r="BR65" t="e">
        <f>AND(Liste!#REF!,"AAAAAH7e/0U=")</f>
        <v>#REF!</v>
      </c>
      <c r="BS65" t="e">
        <f>AND(Liste!#REF!,"AAAAAH7e/0Y=")</f>
        <v>#REF!</v>
      </c>
      <c r="BT65" t="e">
        <f>AND(Liste!#REF!,"AAAAAH7e/0c=")</f>
        <v>#REF!</v>
      </c>
      <c r="BU65" t="e">
        <f>AND(Liste!#REF!,"AAAAAH7e/0g=")</f>
        <v>#REF!</v>
      </c>
      <c r="BV65" t="e">
        <f>AND(Liste!#REF!,"AAAAAH7e/0k=")</f>
        <v>#REF!</v>
      </c>
      <c r="BW65" t="e">
        <f>AND(Liste!#REF!,"AAAAAH7e/0o=")</f>
        <v>#REF!</v>
      </c>
      <c r="BX65" t="e">
        <f>AND(Liste!#REF!,"AAAAAH7e/0s=")</f>
        <v>#REF!</v>
      </c>
      <c r="BY65" t="e">
        <f>AND(Liste!#REF!,"AAAAAH7e/0w=")</f>
        <v>#REF!</v>
      </c>
      <c r="BZ65" t="e">
        <f>IF(Liste!#REF!,"AAAAAH7e/00=",0)</f>
        <v>#REF!</v>
      </c>
      <c r="CA65" t="e">
        <f>AND(Liste!#REF!,"AAAAAH7e/04=")</f>
        <v>#REF!</v>
      </c>
      <c r="CB65" t="e">
        <f>AND(Liste!#REF!,"AAAAAH7e/08=")</f>
        <v>#REF!</v>
      </c>
      <c r="CC65" t="e">
        <f>AND(Liste!#REF!,"AAAAAH7e/1A=")</f>
        <v>#REF!</v>
      </c>
      <c r="CD65" t="e">
        <f>AND(Liste!#REF!,"AAAAAH7e/1E=")</f>
        <v>#REF!</v>
      </c>
      <c r="CE65" t="e">
        <f>AND(Liste!#REF!,"AAAAAH7e/1I=")</f>
        <v>#REF!</v>
      </c>
      <c r="CF65" t="e">
        <f>AND(Liste!#REF!,"AAAAAH7e/1M=")</f>
        <v>#REF!</v>
      </c>
      <c r="CG65" t="e">
        <f>AND(Liste!#REF!,"AAAAAH7e/1Q=")</f>
        <v>#REF!</v>
      </c>
      <c r="CH65" t="e">
        <f>AND(Liste!#REF!,"AAAAAH7e/1U=")</f>
        <v>#REF!</v>
      </c>
      <c r="CI65" t="e">
        <f>AND(Liste!#REF!,"AAAAAH7e/1Y=")</f>
        <v>#REF!</v>
      </c>
      <c r="CJ65" t="e">
        <f>AND(Liste!#REF!,"AAAAAH7e/1c=")</f>
        <v>#REF!</v>
      </c>
      <c r="CK65" t="e">
        <f>AND(Liste!#REF!,"AAAAAH7e/1g=")</f>
        <v>#REF!</v>
      </c>
      <c r="CL65" t="e">
        <f>AND(Liste!#REF!,"AAAAAH7e/1k=")</f>
        <v>#REF!</v>
      </c>
      <c r="CM65" t="e">
        <f>AND(Liste!#REF!,"AAAAAH7e/1o=")</f>
        <v>#REF!</v>
      </c>
      <c r="CN65" t="e">
        <f>AND(Liste!#REF!,"AAAAAH7e/1s=")</f>
        <v>#REF!</v>
      </c>
      <c r="CO65" t="e">
        <f>AND(Liste!#REF!,"AAAAAH7e/1w=")</f>
        <v>#REF!</v>
      </c>
      <c r="CP65" t="e">
        <f>AND(Liste!#REF!,"AAAAAH7e/10=")</f>
        <v>#REF!</v>
      </c>
      <c r="CQ65" t="e">
        <f>AND(Liste!#REF!,"AAAAAH7e/14=")</f>
        <v>#REF!</v>
      </c>
      <c r="CR65" t="e">
        <f>AND(Liste!#REF!,"AAAAAH7e/18=")</f>
        <v>#REF!</v>
      </c>
      <c r="CS65" t="e">
        <f>AND(Liste!#REF!,"AAAAAH7e/2A=")</f>
        <v>#REF!</v>
      </c>
      <c r="CT65" t="e">
        <f>AND(Liste!#REF!,"AAAAAH7e/2E=")</f>
        <v>#REF!</v>
      </c>
      <c r="CU65" t="e">
        <f>AND(Liste!#REF!,"AAAAAH7e/2I=")</f>
        <v>#REF!</v>
      </c>
      <c r="CV65" t="e">
        <f>AND(Liste!#REF!,"AAAAAH7e/2M=")</f>
        <v>#REF!</v>
      </c>
      <c r="CW65" t="e">
        <f>AND(Liste!#REF!,"AAAAAH7e/2Q=")</f>
        <v>#REF!</v>
      </c>
      <c r="CX65" t="e">
        <f>AND(Liste!#REF!,"AAAAAH7e/2U=")</f>
        <v>#REF!</v>
      </c>
      <c r="CY65" t="e">
        <f>AND(Liste!#REF!,"AAAAAH7e/2Y=")</f>
        <v>#REF!</v>
      </c>
      <c r="CZ65" t="e">
        <f>AND(Liste!#REF!,"AAAAAH7e/2c=")</f>
        <v>#REF!</v>
      </c>
      <c r="DA65" t="e">
        <f>AND(Liste!#REF!,"AAAAAH7e/2g=")</f>
        <v>#REF!</v>
      </c>
      <c r="DB65" t="e">
        <f>AND(Liste!#REF!,"AAAAAH7e/2k=")</f>
        <v>#REF!</v>
      </c>
      <c r="DC65" t="e">
        <f>AND(Liste!#REF!,"AAAAAH7e/2o=")</f>
        <v>#REF!</v>
      </c>
      <c r="DD65" t="e">
        <f>AND(Liste!#REF!,"AAAAAH7e/2s=")</f>
        <v>#REF!</v>
      </c>
      <c r="DE65" t="e">
        <f>IF(Liste!#REF!,"AAAAAH7e/2w=",0)</f>
        <v>#REF!</v>
      </c>
      <c r="DF65" t="e">
        <f>AND(Liste!#REF!,"AAAAAH7e/20=")</f>
        <v>#REF!</v>
      </c>
      <c r="DG65" t="e">
        <f>AND(Liste!#REF!,"AAAAAH7e/24=")</f>
        <v>#REF!</v>
      </c>
      <c r="DH65" t="e">
        <f>AND(Liste!#REF!,"AAAAAH7e/28=")</f>
        <v>#REF!</v>
      </c>
      <c r="DI65" t="e">
        <f>AND(Liste!#REF!,"AAAAAH7e/3A=")</f>
        <v>#REF!</v>
      </c>
      <c r="DJ65" t="e">
        <f>AND(Liste!#REF!,"AAAAAH7e/3E=")</f>
        <v>#REF!</v>
      </c>
      <c r="DK65" t="e">
        <f>AND(Liste!#REF!,"AAAAAH7e/3I=")</f>
        <v>#REF!</v>
      </c>
      <c r="DL65" t="e">
        <f>AND(Liste!#REF!,"AAAAAH7e/3M=")</f>
        <v>#REF!</v>
      </c>
      <c r="DM65" t="e">
        <f>AND(Liste!#REF!,"AAAAAH7e/3Q=")</f>
        <v>#REF!</v>
      </c>
      <c r="DN65" t="e">
        <f>AND(Liste!#REF!,"AAAAAH7e/3U=")</f>
        <v>#REF!</v>
      </c>
      <c r="DO65" t="e">
        <f>AND(Liste!#REF!,"AAAAAH7e/3Y=")</f>
        <v>#REF!</v>
      </c>
      <c r="DP65" t="e">
        <f>AND(Liste!#REF!,"AAAAAH7e/3c=")</f>
        <v>#REF!</v>
      </c>
      <c r="DQ65" t="e">
        <f>AND(Liste!#REF!,"AAAAAH7e/3g=")</f>
        <v>#REF!</v>
      </c>
      <c r="DR65" t="e">
        <f>AND(Liste!#REF!,"AAAAAH7e/3k=")</f>
        <v>#REF!</v>
      </c>
      <c r="DS65" t="e">
        <f>AND(Liste!#REF!,"AAAAAH7e/3o=")</f>
        <v>#REF!</v>
      </c>
      <c r="DT65" t="e">
        <f>AND(Liste!#REF!,"AAAAAH7e/3s=")</f>
        <v>#REF!</v>
      </c>
      <c r="DU65" t="e">
        <f>AND(Liste!#REF!,"AAAAAH7e/3w=")</f>
        <v>#REF!</v>
      </c>
      <c r="DV65" t="e">
        <f>AND(Liste!#REF!,"AAAAAH7e/30=")</f>
        <v>#REF!</v>
      </c>
      <c r="DW65" t="e">
        <f>AND(Liste!#REF!,"AAAAAH7e/34=")</f>
        <v>#REF!</v>
      </c>
      <c r="DX65" t="e">
        <f>AND(Liste!#REF!,"AAAAAH7e/38=")</f>
        <v>#REF!</v>
      </c>
      <c r="DY65" t="e">
        <f>AND(Liste!#REF!,"AAAAAH7e/4A=")</f>
        <v>#REF!</v>
      </c>
      <c r="DZ65" t="e">
        <f>AND(Liste!#REF!,"AAAAAH7e/4E=")</f>
        <v>#REF!</v>
      </c>
      <c r="EA65" t="e">
        <f>AND(Liste!#REF!,"AAAAAH7e/4I=")</f>
        <v>#REF!</v>
      </c>
      <c r="EB65" t="e">
        <f>AND(Liste!#REF!,"AAAAAH7e/4M=")</f>
        <v>#REF!</v>
      </c>
      <c r="EC65" t="e">
        <f>AND(Liste!#REF!,"AAAAAH7e/4Q=")</f>
        <v>#REF!</v>
      </c>
      <c r="ED65" t="e">
        <f>AND(Liste!#REF!,"AAAAAH7e/4U=")</f>
        <v>#REF!</v>
      </c>
      <c r="EE65" t="e">
        <f>AND(Liste!#REF!,"AAAAAH7e/4Y=")</f>
        <v>#REF!</v>
      </c>
      <c r="EF65" t="e">
        <f>AND(Liste!#REF!,"AAAAAH7e/4c=")</f>
        <v>#REF!</v>
      </c>
      <c r="EG65" t="e">
        <f>AND(Liste!#REF!,"AAAAAH7e/4g=")</f>
        <v>#REF!</v>
      </c>
      <c r="EH65" t="e">
        <f>AND(Liste!#REF!,"AAAAAH7e/4k=")</f>
        <v>#REF!</v>
      </c>
      <c r="EI65" t="e">
        <f>AND(Liste!#REF!,"AAAAAH7e/4o=")</f>
        <v>#REF!</v>
      </c>
      <c r="EJ65">
        <f>IF(Liste!473:473,"AAAAAH7e/4s=",0)</f>
        <v>0</v>
      </c>
      <c r="EK65" t="e">
        <f>AND(Liste!A473,"AAAAAH7e/4w=")</f>
        <v>#VALUE!</v>
      </c>
      <c r="EL65" t="e">
        <f>AND(Liste!#REF!,"AAAAAH7e/40=")</f>
        <v>#REF!</v>
      </c>
      <c r="EM65" t="e">
        <f>AND(Liste!#REF!,"AAAAAH7e/44=")</f>
        <v>#REF!</v>
      </c>
      <c r="EN65" t="e">
        <f>AND(Liste!#REF!,"AAAAAH7e/48=")</f>
        <v>#REF!</v>
      </c>
      <c r="EO65" t="e">
        <f>AND(Liste!F473,"AAAAAH7e/5A=")</f>
        <v>#VALUE!</v>
      </c>
      <c r="EP65" t="e">
        <f>AND(Liste!G473,"AAAAAH7e/5E=")</f>
        <v>#VALUE!</v>
      </c>
      <c r="EQ65" t="e">
        <f>AND(Liste!H473,"AAAAAH7e/5I=")</f>
        <v>#VALUE!</v>
      </c>
      <c r="ER65" t="e">
        <f>AND(Liste!I473,"AAAAAH7e/5M=")</f>
        <v>#VALUE!</v>
      </c>
      <c r="ES65" t="e">
        <f>AND(Liste!J473,"AAAAAH7e/5Q=")</f>
        <v>#VALUE!</v>
      </c>
      <c r="ET65" t="e">
        <f>AND(Liste!#REF!,"AAAAAH7e/5U=")</f>
        <v>#REF!</v>
      </c>
      <c r="EU65" t="e">
        <f>AND(Liste!#REF!,"AAAAAH7e/5Y=")</f>
        <v>#REF!</v>
      </c>
      <c r="EV65" t="e">
        <f>AND(Liste!#REF!,"AAAAAH7e/5c=")</f>
        <v>#REF!</v>
      </c>
      <c r="EW65" t="e">
        <f>AND(Liste!#REF!,"AAAAAH7e/5g=")</f>
        <v>#REF!</v>
      </c>
      <c r="EX65" t="e">
        <f>AND(Liste!#REF!,"AAAAAH7e/5k=")</f>
        <v>#REF!</v>
      </c>
      <c r="EY65" t="e">
        <f>AND(Liste!#REF!,"AAAAAH7e/5o=")</f>
        <v>#REF!</v>
      </c>
      <c r="EZ65" t="e">
        <f>AND(Liste!#REF!,"AAAAAH7e/5s=")</f>
        <v>#REF!</v>
      </c>
      <c r="FA65" t="e">
        <f>AND(Liste!#REF!,"AAAAAH7e/5w=")</f>
        <v>#REF!</v>
      </c>
      <c r="FB65" t="e">
        <f>AND(Liste!#REF!,"AAAAAH7e/50=")</f>
        <v>#REF!</v>
      </c>
      <c r="FC65" t="e">
        <f>AND(Liste!#REF!,"AAAAAH7e/54=")</f>
        <v>#REF!</v>
      </c>
      <c r="FD65" t="e">
        <f>AND(Liste!#REF!,"AAAAAH7e/58=")</f>
        <v>#REF!</v>
      </c>
      <c r="FE65" t="e">
        <f>AND(Liste!#REF!,"AAAAAH7e/6A=")</f>
        <v>#REF!</v>
      </c>
      <c r="FF65" t="e">
        <f>AND(Liste!#REF!,"AAAAAH7e/6E=")</f>
        <v>#REF!</v>
      </c>
      <c r="FG65" t="e">
        <f>AND(Liste!#REF!,"AAAAAH7e/6I=")</f>
        <v>#REF!</v>
      </c>
      <c r="FH65" t="e">
        <f>AND(Liste!#REF!,"AAAAAH7e/6M=")</f>
        <v>#REF!</v>
      </c>
      <c r="FI65" t="e">
        <f>AND(Liste!#REF!,"AAAAAH7e/6Q=")</f>
        <v>#REF!</v>
      </c>
      <c r="FJ65" t="e">
        <f>AND(Liste!#REF!,"AAAAAH7e/6U=")</f>
        <v>#REF!</v>
      </c>
      <c r="FK65" t="e">
        <f>AND(Liste!#REF!,"AAAAAH7e/6Y=")</f>
        <v>#REF!</v>
      </c>
      <c r="FL65" t="e">
        <f>AND(Liste!#REF!,"AAAAAH7e/6c=")</f>
        <v>#REF!</v>
      </c>
      <c r="FM65" t="e">
        <f>AND(Liste!#REF!,"AAAAAH7e/6g=")</f>
        <v>#REF!</v>
      </c>
      <c r="FN65" t="e">
        <f>AND(Liste!#REF!,"AAAAAH7e/6k=")</f>
        <v>#REF!</v>
      </c>
      <c r="FO65">
        <f>IF(Liste!474:474,"AAAAAH7e/6o=",0)</f>
        <v>0</v>
      </c>
      <c r="FP65" t="e">
        <f>AND(Liste!A474,"AAAAAH7e/6s=")</f>
        <v>#VALUE!</v>
      </c>
      <c r="FQ65" t="e">
        <f>AND(Liste!#REF!,"AAAAAH7e/6w=")</f>
        <v>#REF!</v>
      </c>
      <c r="FR65" t="e">
        <f>AND(Liste!#REF!,"AAAAAH7e/60=")</f>
        <v>#REF!</v>
      </c>
      <c r="FS65" t="e">
        <f>AND(Liste!#REF!,"AAAAAH7e/64=")</f>
        <v>#REF!</v>
      </c>
      <c r="FT65" t="e">
        <f>AND(Liste!F474,"AAAAAH7e/68=")</f>
        <v>#VALUE!</v>
      </c>
      <c r="FU65" t="e">
        <f>AND(Liste!G474,"AAAAAH7e/7A=")</f>
        <v>#VALUE!</v>
      </c>
      <c r="FV65" t="e">
        <f>AND(Liste!H474,"AAAAAH7e/7E=")</f>
        <v>#VALUE!</v>
      </c>
      <c r="FW65" t="e">
        <f>AND(Liste!I474,"AAAAAH7e/7I=")</f>
        <v>#VALUE!</v>
      </c>
      <c r="FX65" t="e">
        <f>AND(Liste!J474,"AAAAAH7e/7M=")</f>
        <v>#VALUE!</v>
      </c>
      <c r="FY65" t="e">
        <f>AND(Liste!#REF!,"AAAAAH7e/7Q=")</f>
        <v>#REF!</v>
      </c>
      <c r="FZ65" t="e">
        <f>AND(Liste!#REF!,"AAAAAH7e/7U=")</f>
        <v>#REF!</v>
      </c>
      <c r="GA65" t="e">
        <f>AND(Liste!#REF!,"AAAAAH7e/7Y=")</f>
        <v>#REF!</v>
      </c>
      <c r="GB65" t="e">
        <f>AND(Liste!#REF!,"AAAAAH7e/7c=")</f>
        <v>#REF!</v>
      </c>
      <c r="GC65" t="e">
        <f>AND(Liste!#REF!,"AAAAAH7e/7g=")</f>
        <v>#REF!</v>
      </c>
      <c r="GD65" t="e">
        <f>AND(Liste!#REF!,"AAAAAH7e/7k=")</f>
        <v>#REF!</v>
      </c>
      <c r="GE65" t="e">
        <f>AND(Liste!#REF!,"AAAAAH7e/7o=")</f>
        <v>#REF!</v>
      </c>
      <c r="GF65" t="e">
        <f>AND(Liste!#REF!,"AAAAAH7e/7s=")</f>
        <v>#REF!</v>
      </c>
      <c r="GG65" t="e">
        <f>AND(Liste!#REF!,"AAAAAH7e/7w=")</f>
        <v>#REF!</v>
      </c>
      <c r="GH65" t="e">
        <f>AND(Liste!#REF!,"AAAAAH7e/70=")</f>
        <v>#REF!</v>
      </c>
      <c r="GI65" t="e">
        <f>AND(Liste!#REF!,"AAAAAH7e/74=")</f>
        <v>#REF!</v>
      </c>
      <c r="GJ65" t="e">
        <f>AND(Liste!#REF!,"AAAAAH7e/78=")</f>
        <v>#REF!</v>
      </c>
      <c r="GK65" t="e">
        <f>AND(Liste!#REF!,"AAAAAH7e/8A=")</f>
        <v>#REF!</v>
      </c>
      <c r="GL65" t="e">
        <f>AND(Liste!#REF!,"AAAAAH7e/8E=")</f>
        <v>#REF!</v>
      </c>
      <c r="GM65" t="e">
        <f>AND(Liste!#REF!,"AAAAAH7e/8I=")</f>
        <v>#REF!</v>
      </c>
      <c r="GN65" t="e">
        <f>AND(Liste!#REF!,"AAAAAH7e/8M=")</f>
        <v>#REF!</v>
      </c>
      <c r="GO65" t="e">
        <f>AND(Liste!#REF!,"AAAAAH7e/8Q=")</f>
        <v>#REF!</v>
      </c>
      <c r="GP65" t="e">
        <f>AND(Liste!#REF!,"AAAAAH7e/8U=")</f>
        <v>#REF!</v>
      </c>
      <c r="GQ65" t="e">
        <f>AND(Liste!#REF!,"AAAAAH7e/8Y=")</f>
        <v>#REF!</v>
      </c>
      <c r="GR65" t="e">
        <f>AND(Liste!#REF!,"AAAAAH7e/8c=")</f>
        <v>#REF!</v>
      </c>
      <c r="GS65" t="e">
        <f>AND(Liste!#REF!,"AAAAAH7e/8g=")</f>
        <v>#REF!</v>
      </c>
      <c r="GT65">
        <f>IF(Liste!475:475,"AAAAAH7e/8k=",0)</f>
        <v>0</v>
      </c>
      <c r="GU65" t="b">
        <f>AND(Liste!A475,"AAAAAH7e/8o=")</f>
        <v>1</v>
      </c>
      <c r="GV65" t="e">
        <f>AND(Liste!#REF!,"AAAAAH7e/8s=")</f>
        <v>#REF!</v>
      </c>
      <c r="GW65" t="e">
        <f>AND(Liste!#REF!,"AAAAAH7e/8w=")</f>
        <v>#REF!</v>
      </c>
      <c r="GX65" t="e">
        <f>AND(Liste!#REF!,"AAAAAH7e/80=")</f>
        <v>#REF!</v>
      </c>
      <c r="GY65" t="e">
        <f>AND(Liste!F475,"AAAAAH7e/84=")</f>
        <v>#VALUE!</v>
      </c>
      <c r="GZ65" t="e">
        <f>AND(Liste!G475,"AAAAAH7e/88=")</f>
        <v>#VALUE!</v>
      </c>
      <c r="HA65" t="e">
        <f>AND(Liste!H475,"AAAAAH7e/9A=")</f>
        <v>#VALUE!</v>
      </c>
      <c r="HB65" t="e">
        <f>AND(Liste!I475,"AAAAAH7e/9E=")</f>
        <v>#VALUE!</v>
      </c>
      <c r="HC65" t="e">
        <f>AND(Liste!J475,"AAAAAH7e/9I=")</f>
        <v>#VALUE!</v>
      </c>
      <c r="HD65" t="e">
        <f>AND(Liste!#REF!,"AAAAAH7e/9M=")</f>
        <v>#REF!</v>
      </c>
      <c r="HE65" t="e">
        <f>AND(Liste!#REF!,"AAAAAH7e/9Q=")</f>
        <v>#REF!</v>
      </c>
      <c r="HF65" t="e">
        <f>AND(Liste!#REF!,"AAAAAH7e/9U=")</f>
        <v>#REF!</v>
      </c>
      <c r="HG65" t="e">
        <f>AND(Liste!#REF!,"AAAAAH7e/9Y=")</f>
        <v>#REF!</v>
      </c>
      <c r="HH65" t="e">
        <f>AND(Liste!#REF!,"AAAAAH7e/9c=")</f>
        <v>#REF!</v>
      </c>
      <c r="HI65" t="e">
        <f>AND(Liste!#REF!,"AAAAAH7e/9g=")</f>
        <v>#REF!</v>
      </c>
      <c r="HJ65" t="e">
        <f>AND(Liste!#REF!,"AAAAAH7e/9k=")</f>
        <v>#REF!</v>
      </c>
      <c r="HK65" t="e">
        <f>AND(Liste!#REF!,"AAAAAH7e/9o=")</f>
        <v>#REF!</v>
      </c>
      <c r="HL65" t="e">
        <f>AND(Liste!#REF!,"AAAAAH7e/9s=")</f>
        <v>#REF!</v>
      </c>
      <c r="HM65" t="e">
        <f>AND(Liste!#REF!,"AAAAAH7e/9w=")</f>
        <v>#REF!</v>
      </c>
      <c r="HN65" t="e">
        <f>AND(Liste!#REF!,"AAAAAH7e/90=")</f>
        <v>#REF!</v>
      </c>
      <c r="HO65" t="e">
        <f>AND(Liste!#REF!,"AAAAAH7e/94=")</f>
        <v>#REF!</v>
      </c>
      <c r="HP65" t="e">
        <f>AND(Liste!#REF!,"AAAAAH7e/98=")</f>
        <v>#REF!</v>
      </c>
      <c r="HQ65" t="e">
        <f>AND(Liste!#REF!,"AAAAAH7e/+A=")</f>
        <v>#REF!</v>
      </c>
      <c r="HR65" t="e">
        <f>AND(Liste!#REF!,"AAAAAH7e/+E=")</f>
        <v>#REF!</v>
      </c>
      <c r="HS65" t="e">
        <f>AND(Liste!#REF!,"AAAAAH7e/+I=")</f>
        <v>#REF!</v>
      </c>
      <c r="HT65" t="e">
        <f>AND(Liste!#REF!,"AAAAAH7e/+M=")</f>
        <v>#REF!</v>
      </c>
      <c r="HU65" t="e">
        <f>AND(Liste!#REF!,"AAAAAH7e/+Q=")</f>
        <v>#REF!</v>
      </c>
      <c r="HV65" t="e">
        <f>AND(Liste!#REF!,"AAAAAH7e/+U=")</f>
        <v>#REF!</v>
      </c>
      <c r="HW65" t="e">
        <f>AND(Liste!#REF!,"AAAAAH7e/+Y=")</f>
        <v>#REF!</v>
      </c>
      <c r="HX65" t="e">
        <f>AND(Liste!#REF!,"AAAAAH7e/+c=")</f>
        <v>#REF!</v>
      </c>
      <c r="HY65">
        <f>IF(Liste!476:476,"AAAAAH7e/+g=",0)</f>
        <v>0</v>
      </c>
      <c r="HZ65" t="b">
        <f>AND(Liste!A476,"AAAAAH7e/+k=")</f>
        <v>1</v>
      </c>
      <c r="IA65" t="e">
        <f>AND(Liste!#REF!,"AAAAAH7e/+o=")</f>
        <v>#REF!</v>
      </c>
      <c r="IB65" t="e">
        <f>AND(Liste!#REF!,"AAAAAH7e/+s=")</f>
        <v>#REF!</v>
      </c>
      <c r="IC65" t="e">
        <f>AND(Liste!#REF!,"AAAAAH7e/+w=")</f>
        <v>#REF!</v>
      </c>
      <c r="ID65" t="e">
        <f>AND(Liste!F476,"AAAAAH7e/+0=")</f>
        <v>#VALUE!</v>
      </c>
      <c r="IE65" t="e">
        <f>AND(Liste!G476,"AAAAAH7e/+4=")</f>
        <v>#VALUE!</v>
      </c>
      <c r="IF65" t="e">
        <f>AND(Liste!H476,"AAAAAH7e/+8=")</f>
        <v>#VALUE!</v>
      </c>
      <c r="IG65" t="e">
        <f>AND(Liste!I476,"AAAAAH7e//A=")</f>
        <v>#VALUE!</v>
      </c>
      <c r="IH65" t="e">
        <f>AND(Liste!J476,"AAAAAH7e//E=")</f>
        <v>#VALUE!</v>
      </c>
      <c r="II65" t="e">
        <f>AND(Liste!#REF!,"AAAAAH7e//I=")</f>
        <v>#REF!</v>
      </c>
      <c r="IJ65" t="e">
        <f>AND(Liste!#REF!,"AAAAAH7e//M=")</f>
        <v>#REF!</v>
      </c>
      <c r="IK65" t="e">
        <f>AND(Liste!#REF!,"AAAAAH7e//Q=")</f>
        <v>#REF!</v>
      </c>
      <c r="IL65" t="e">
        <f>AND(Liste!#REF!,"AAAAAH7e//U=")</f>
        <v>#REF!</v>
      </c>
      <c r="IM65" t="e">
        <f>AND(Liste!#REF!,"AAAAAH7e//Y=")</f>
        <v>#REF!</v>
      </c>
      <c r="IN65" t="e">
        <f>AND(Liste!#REF!,"AAAAAH7e//c=")</f>
        <v>#REF!</v>
      </c>
      <c r="IO65" t="e">
        <f>AND(Liste!#REF!,"AAAAAH7e//g=")</f>
        <v>#REF!</v>
      </c>
      <c r="IP65" t="e">
        <f>AND(Liste!#REF!,"AAAAAH7e//k=")</f>
        <v>#REF!</v>
      </c>
      <c r="IQ65" t="e">
        <f>AND(Liste!#REF!,"AAAAAH7e//o=")</f>
        <v>#REF!</v>
      </c>
      <c r="IR65" t="e">
        <f>AND(Liste!#REF!,"AAAAAH7e//s=")</f>
        <v>#REF!</v>
      </c>
      <c r="IS65" t="e">
        <f>AND(Liste!#REF!,"AAAAAH7e//w=")</f>
        <v>#REF!</v>
      </c>
      <c r="IT65" t="e">
        <f>AND(Liste!#REF!,"AAAAAH7e//0=")</f>
        <v>#REF!</v>
      </c>
      <c r="IU65" t="e">
        <f>AND(Liste!#REF!,"AAAAAH7e//4=")</f>
        <v>#REF!</v>
      </c>
      <c r="IV65" t="e">
        <f>AND(Liste!#REF!,"AAAAAH7e//8=")</f>
        <v>#REF!</v>
      </c>
    </row>
    <row r="66" spans="1:256" x14ac:dyDescent="0.2">
      <c r="A66" t="e">
        <f>AND(Liste!#REF!,"AAAAAGf+nQA=")</f>
        <v>#REF!</v>
      </c>
      <c r="B66" t="e">
        <f>AND(Liste!#REF!,"AAAAAGf+nQE=")</f>
        <v>#REF!</v>
      </c>
      <c r="C66" t="e">
        <f>AND(Liste!#REF!,"AAAAAGf+nQI=")</f>
        <v>#REF!</v>
      </c>
      <c r="D66" t="e">
        <f>AND(Liste!#REF!,"AAAAAGf+nQM=")</f>
        <v>#REF!</v>
      </c>
      <c r="E66" t="e">
        <f>AND(Liste!#REF!,"AAAAAGf+nQQ=")</f>
        <v>#REF!</v>
      </c>
      <c r="F66" t="e">
        <f>AND(Liste!#REF!,"AAAAAGf+nQU=")</f>
        <v>#REF!</v>
      </c>
      <c r="G66" t="e">
        <f>AND(Liste!#REF!,"AAAAAGf+nQY=")</f>
        <v>#REF!</v>
      </c>
      <c r="H66">
        <f>IF(Liste!477:477,"AAAAAGf+nQc=",0)</f>
        <v>0</v>
      </c>
      <c r="I66" t="b">
        <f>AND(Liste!A477,"AAAAAGf+nQg=")</f>
        <v>1</v>
      </c>
      <c r="J66" t="e">
        <f>AND(Liste!#REF!,"AAAAAGf+nQk=")</f>
        <v>#REF!</v>
      </c>
      <c r="K66" t="e">
        <f>AND(Liste!#REF!,"AAAAAGf+nQo=")</f>
        <v>#REF!</v>
      </c>
      <c r="L66" t="e">
        <f>AND(Liste!#REF!,"AAAAAGf+nQs=")</f>
        <v>#REF!</v>
      </c>
      <c r="M66" t="e">
        <f>AND(Liste!F477,"AAAAAGf+nQw=")</f>
        <v>#VALUE!</v>
      </c>
      <c r="N66" t="e">
        <f>AND(Liste!G477,"AAAAAGf+nQ0=")</f>
        <v>#VALUE!</v>
      </c>
      <c r="O66" t="e">
        <f>AND(Liste!H477,"AAAAAGf+nQ4=")</f>
        <v>#VALUE!</v>
      </c>
      <c r="P66" t="e">
        <f>AND(Liste!I477,"AAAAAGf+nQ8=")</f>
        <v>#VALUE!</v>
      </c>
      <c r="Q66" t="e">
        <f>AND(Liste!J477,"AAAAAGf+nRA=")</f>
        <v>#VALUE!</v>
      </c>
      <c r="R66" t="e">
        <f>AND(Liste!#REF!,"AAAAAGf+nRE=")</f>
        <v>#REF!</v>
      </c>
      <c r="S66" t="e">
        <f>AND(Liste!#REF!,"AAAAAGf+nRI=")</f>
        <v>#REF!</v>
      </c>
      <c r="T66" t="e">
        <f>AND(Liste!#REF!,"AAAAAGf+nRM=")</f>
        <v>#REF!</v>
      </c>
      <c r="U66" t="e">
        <f>AND(Liste!#REF!,"AAAAAGf+nRQ=")</f>
        <v>#REF!</v>
      </c>
      <c r="V66" t="e">
        <f>AND(Liste!#REF!,"AAAAAGf+nRU=")</f>
        <v>#REF!</v>
      </c>
      <c r="W66" t="e">
        <f>AND(Liste!#REF!,"AAAAAGf+nRY=")</f>
        <v>#REF!</v>
      </c>
      <c r="X66" t="e">
        <f>AND(Liste!#REF!,"AAAAAGf+nRc=")</f>
        <v>#REF!</v>
      </c>
      <c r="Y66" t="e">
        <f>AND(Liste!#REF!,"AAAAAGf+nRg=")</f>
        <v>#REF!</v>
      </c>
      <c r="Z66" t="e">
        <f>AND(Liste!#REF!,"AAAAAGf+nRk=")</f>
        <v>#REF!</v>
      </c>
      <c r="AA66" t="e">
        <f>AND(Liste!#REF!,"AAAAAGf+nRo=")</f>
        <v>#REF!</v>
      </c>
      <c r="AB66" t="e">
        <f>AND(Liste!#REF!,"AAAAAGf+nRs=")</f>
        <v>#REF!</v>
      </c>
      <c r="AC66" t="e">
        <f>AND(Liste!#REF!,"AAAAAGf+nRw=")</f>
        <v>#REF!</v>
      </c>
      <c r="AD66" t="e">
        <f>AND(Liste!#REF!,"AAAAAGf+nR0=")</f>
        <v>#REF!</v>
      </c>
      <c r="AE66" t="e">
        <f>AND(Liste!#REF!,"AAAAAGf+nR4=")</f>
        <v>#REF!</v>
      </c>
      <c r="AF66" t="e">
        <f>AND(Liste!#REF!,"AAAAAGf+nR8=")</f>
        <v>#REF!</v>
      </c>
      <c r="AG66" t="e">
        <f>AND(Liste!#REF!,"AAAAAGf+nSA=")</f>
        <v>#REF!</v>
      </c>
      <c r="AH66" t="e">
        <f>AND(Liste!#REF!,"AAAAAGf+nSE=")</f>
        <v>#REF!</v>
      </c>
      <c r="AI66" t="e">
        <f>AND(Liste!#REF!,"AAAAAGf+nSI=")</f>
        <v>#REF!</v>
      </c>
      <c r="AJ66" t="e">
        <f>AND(Liste!#REF!,"AAAAAGf+nSM=")</f>
        <v>#REF!</v>
      </c>
      <c r="AK66" t="e">
        <f>AND(Liste!#REF!,"AAAAAGf+nSQ=")</f>
        <v>#REF!</v>
      </c>
      <c r="AL66" t="e">
        <f>AND(Liste!#REF!,"AAAAAGf+nSU=")</f>
        <v>#REF!</v>
      </c>
      <c r="AM66">
        <f>IF(Liste!478:478,"AAAAAGf+nSY=",0)</f>
        <v>0</v>
      </c>
      <c r="AN66" t="b">
        <f>AND(Liste!A478,"AAAAAGf+nSc=")</f>
        <v>1</v>
      </c>
      <c r="AO66" t="e">
        <f>AND(Liste!#REF!,"AAAAAGf+nSg=")</f>
        <v>#REF!</v>
      </c>
      <c r="AP66" t="e">
        <f>AND(Liste!#REF!,"AAAAAGf+nSk=")</f>
        <v>#REF!</v>
      </c>
      <c r="AQ66" t="e">
        <f>AND(Liste!#REF!,"AAAAAGf+nSo=")</f>
        <v>#REF!</v>
      </c>
      <c r="AR66" t="e">
        <f>AND(Liste!F478,"AAAAAGf+nSs=")</f>
        <v>#VALUE!</v>
      </c>
      <c r="AS66" t="e">
        <f>AND(Liste!G478,"AAAAAGf+nSw=")</f>
        <v>#VALUE!</v>
      </c>
      <c r="AT66" t="e">
        <f>AND(Liste!H478,"AAAAAGf+nS0=")</f>
        <v>#VALUE!</v>
      </c>
      <c r="AU66" t="e">
        <f>AND(Liste!I478,"AAAAAGf+nS4=")</f>
        <v>#VALUE!</v>
      </c>
      <c r="AV66" t="e">
        <f>AND(Liste!J478,"AAAAAGf+nS8=")</f>
        <v>#VALUE!</v>
      </c>
      <c r="AW66" t="e">
        <f>AND(Liste!#REF!,"AAAAAGf+nTA=")</f>
        <v>#REF!</v>
      </c>
      <c r="AX66" t="e">
        <f>AND(Liste!#REF!,"AAAAAGf+nTE=")</f>
        <v>#REF!</v>
      </c>
      <c r="AY66" t="e">
        <f>AND(Liste!#REF!,"AAAAAGf+nTI=")</f>
        <v>#REF!</v>
      </c>
      <c r="AZ66" t="e">
        <f>AND(Liste!#REF!,"AAAAAGf+nTM=")</f>
        <v>#REF!</v>
      </c>
      <c r="BA66" t="e">
        <f>AND(Liste!#REF!,"AAAAAGf+nTQ=")</f>
        <v>#REF!</v>
      </c>
      <c r="BB66" t="e">
        <f>AND(Liste!#REF!,"AAAAAGf+nTU=")</f>
        <v>#REF!</v>
      </c>
      <c r="BC66" t="e">
        <f>AND(Liste!#REF!,"AAAAAGf+nTY=")</f>
        <v>#REF!</v>
      </c>
      <c r="BD66" t="e">
        <f>AND(Liste!#REF!,"AAAAAGf+nTc=")</f>
        <v>#REF!</v>
      </c>
      <c r="BE66" t="e">
        <f>AND(Liste!#REF!,"AAAAAGf+nTg=")</f>
        <v>#REF!</v>
      </c>
      <c r="BF66" t="e">
        <f>AND(Liste!#REF!,"AAAAAGf+nTk=")</f>
        <v>#REF!</v>
      </c>
      <c r="BG66" t="e">
        <f>AND(Liste!#REF!,"AAAAAGf+nTo=")</f>
        <v>#REF!</v>
      </c>
      <c r="BH66" t="e">
        <f>AND(Liste!#REF!,"AAAAAGf+nTs=")</f>
        <v>#REF!</v>
      </c>
      <c r="BI66" t="e">
        <f>AND(Liste!#REF!,"AAAAAGf+nTw=")</f>
        <v>#REF!</v>
      </c>
      <c r="BJ66" t="e">
        <f>AND(Liste!#REF!,"AAAAAGf+nT0=")</f>
        <v>#REF!</v>
      </c>
      <c r="BK66" t="e">
        <f>AND(Liste!#REF!,"AAAAAGf+nT4=")</f>
        <v>#REF!</v>
      </c>
      <c r="BL66" t="e">
        <f>AND(Liste!#REF!,"AAAAAGf+nT8=")</f>
        <v>#REF!</v>
      </c>
      <c r="BM66" t="e">
        <f>AND(Liste!#REF!,"AAAAAGf+nUA=")</f>
        <v>#REF!</v>
      </c>
      <c r="BN66" t="e">
        <f>AND(Liste!#REF!,"AAAAAGf+nUE=")</f>
        <v>#REF!</v>
      </c>
      <c r="BO66" t="e">
        <f>AND(Liste!#REF!,"AAAAAGf+nUI=")</f>
        <v>#REF!</v>
      </c>
      <c r="BP66" t="e">
        <f>AND(Liste!#REF!,"AAAAAGf+nUM=")</f>
        <v>#REF!</v>
      </c>
      <c r="BQ66" t="e">
        <f>AND(Liste!#REF!,"AAAAAGf+nUQ=")</f>
        <v>#REF!</v>
      </c>
      <c r="BR66">
        <f>IF(Liste!479:479,"AAAAAGf+nUU=",0)</f>
        <v>0</v>
      </c>
      <c r="BS66" t="b">
        <f>AND(Liste!A479,"AAAAAGf+nUY=")</f>
        <v>1</v>
      </c>
      <c r="BT66" t="e">
        <f>AND(Liste!#REF!,"AAAAAGf+nUc=")</f>
        <v>#REF!</v>
      </c>
      <c r="BU66" t="e">
        <f>AND(Liste!#REF!,"AAAAAGf+nUg=")</f>
        <v>#REF!</v>
      </c>
      <c r="BV66" t="e">
        <f>AND(Liste!#REF!,"AAAAAGf+nUk=")</f>
        <v>#REF!</v>
      </c>
      <c r="BW66" t="e">
        <f>AND(Liste!F479,"AAAAAGf+nUo=")</f>
        <v>#VALUE!</v>
      </c>
      <c r="BX66" t="e">
        <f>AND(Liste!G479,"AAAAAGf+nUs=")</f>
        <v>#VALUE!</v>
      </c>
      <c r="BY66" t="e">
        <f>AND(Liste!H479,"AAAAAGf+nUw=")</f>
        <v>#VALUE!</v>
      </c>
      <c r="BZ66" t="e">
        <f>AND(Liste!I479,"AAAAAGf+nU0=")</f>
        <v>#VALUE!</v>
      </c>
      <c r="CA66" t="e">
        <f>AND(Liste!J479,"AAAAAGf+nU4=")</f>
        <v>#VALUE!</v>
      </c>
      <c r="CB66" t="e">
        <f>AND(Liste!#REF!,"AAAAAGf+nU8=")</f>
        <v>#REF!</v>
      </c>
      <c r="CC66" t="e">
        <f>AND(Liste!#REF!,"AAAAAGf+nVA=")</f>
        <v>#REF!</v>
      </c>
      <c r="CD66" t="e">
        <f>AND(Liste!#REF!,"AAAAAGf+nVE=")</f>
        <v>#REF!</v>
      </c>
      <c r="CE66" t="e">
        <f>AND(Liste!#REF!,"AAAAAGf+nVI=")</f>
        <v>#REF!</v>
      </c>
      <c r="CF66" t="e">
        <f>AND(Liste!#REF!,"AAAAAGf+nVM=")</f>
        <v>#REF!</v>
      </c>
      <c r="CG66" t="e">
        <f>AND(Liste!#REF!,"AAAAAGf+nVQ=")</f>
        <v>#REF!</v>
      </c>
      <c r="CH66" t="e">
        <f>AND(Liste!#REF!,"AAAAAGf+nVU=")</f>
        <v>#REF!</v>
      </c>
      <c r="CI66" t="e">
        <f>AND(Liste!#REF!,"AAAAAGf+nVY=")</f>
        <v>#REF!</v>
      </c>
      <c r="CJ66" t="e">
        <f>AND(Liste!#REF!,"AAAAAGf+nVc=")</f>
        <v>#REF!</v>
      </c>
      <c r="CK66" t="e">
        <f>AND(Liste!#REF!,"AAAAAGf+nVg=")</f>
        <v>#REF!</v>
      </c>
      <c r="CL66" t="e">
        <f>AND(Liste!#REF!,"AAAAAGf+nVk=")</f>
        <v>#REF!</v>
      </c>
      <c r="CM66" t="e">
        <f>AND(Liste!#REF!,"AAAAAGf+nVo=")</f>
        <v>#REF!</v>
      </c>
      <c r="CN66" t="e">
        <f>AND(Liste!#REF!,"AAAAAGf+nVs=")</f>
        <v>#REF!</v>
      </c>
      <c r="CO66" t="e">
        <f>AND(Liste!#REF!,"AAAAAGf+nVw=")</f>
        <v>#REF!</v>
      </c>
      <c r="CP66" t="e">
        <f>AND(Liste!#REF!,"AAAAAGf+nV0=")</f>
        <v>#REF!</v>
      </c>
      <c r="CQ66" t="e">
        <f>AND(Liste!#REF!,"AAAAAGf+nV4=")</f>
        <v>#REF!</v>
      </c>
      <c r="CR66" t="e">
        <f>AND(Liste!#REF!,"AAAAAGf+nV8=")</f>
        <v>#REF!</v>
      </c>
      <c r="CS66" t="e">
        <f>AND(Liste!#REF!,"AAAAAGf+nWA=")</f>
        <v>#REF!</v>
      </c>
      <c r="CT66" t="e">
        <f>AND(Liste!#REF!,"AAAAAGf+nWE=")</f>
        <v>#REF!</v>
      </c>
      <c r="CU66" t="e">
        <f>AND(Liste!#REF!,"AAAAAGf+nWI=")</f>
        <v>#REF!</v>
      </c>
      <c r="CV66" t="e">
        <f>AND(Liste!#REF!,"AAAAAGf+nWM=")</f>
        <v>#REF!</v>
      </c>
      <c r="CW66">
        <f>IF(Liste!480:480,"AAAAAGf+nWQ=",0)</f>
        <v>0</v>
      </c>
      <c r="CX66" t="b">
        <f>AND(Liste!A480,"AAAAAGf+nWU=")</f>
        <v>1</v>
      </c>
      <c r="CY66" t="e">
        <f>AND(Liste!#REF!,"AAAAAGf+nWY=")</f>
        <v>#REF!</v>
      </c>
      <c r="CZ66" t="e">
        <f>AND(Liste!#REF!,"AAAAAGf+nWc=")</f>
        <v>#REF!</v>
      </c>
      <c r="DA66" t="e">
        <f>AND(Liste!#REF!,"AAAAAGf+nWg=")</f>
        <v>#REF!</v>
      </c>
      <c r="DB66" t="e">
        <f>AND(Liste!F480,"AAAAAGf+nWk=")</f>
        <v>#VALUE!</v>
      </c>
      <c r="DC66" t="e">
        <f>AND(Liste!G480,"AAAAAGf+nWo=")</f>
        <v>#VALUE!</v>
      </c>
      <c r="DD66" t="e">
        <f>AND(Liste!H480,"AAAAAGf+nWs=")</f>
        <v>#VALUE!</v>
      </c>
      <c r="DE66" t="e">
        <f>AND(Liste!I480,"AAAAAGf+nWw=")</f>
        <v>#VALUE!</v>
      </c>
      <c r="DF66" t="e">
        <f>AND(Liste!J480,"AAAAAGf+nW0=")</f>
        <v>#VALUE!</v>
      </c>
      <c r="DG66" t="e">
        <f>AND(Liste!#REF!,"AAAAAGf+nW4=")</f>
        <v>#REF!</v>
      </c>
      <c r="DH66" t="e">
        <f>AND(Liste!#REF!,"AAAAAGf+nW8=")</f>
        <v>#REF!</v>
      </c>
      <c r="DI66" t="e">
        <f>AND(Liste!#REF!,"AAAAAGf+nXA=")</f>
        <v>#REF!</v>
      </c>
      <c r="DJ66" t="e">
        <f>AND(Liste!#REF!,"AAAAAGf+nXE=")</f>
        <v>#REF!</v>
      </c>
      <c r="DK66" t="e">
        <f>AND(Liste!#REF!,"AAAAAGf+nXI=")</f>
        <v>#REF!</v>
      </c>
      <c r="DL66" t="e">
        <f>AND(Liste!#REF!,"AAAAAGf+nXM=")</f>
        <v>#REF!</v>
      </c>
      <c r="DM66" t="e">
        <f>AND(Liste!#REF!,"AAAAAGf+nXQ=")</f>
        <v>#REF!</v>
      </c>
      <c r="DN66" t="e">
        <f>AND(Liste!#REF!,"AAAAAGf+nXU=")</f>
        <v>#REF!</v>
      </c>
      <c r="DO66" t="e">
        <f>AND(Liste!#REF!,"AAAAAGf+nXY=")</f>
        <v>#REF!</v>
      </c>
      <c r="DP66" t="e">
        <f>AND(Liste!#REF!,"AAAAAGf+nXc=")</f>
        <v>#REF!</v>
      </c>
      <c r="DQ66" t="e">
        <f>AND(Liste!#REF!,"AAAAAGf+nXg=")</f>
        <v>#REF!</v>
      </c>
      <c r="DR66" t="e">
        <f>AND(Liste!#REF!,"AAAAAGf+nXk=")</f>
        <v>#REF!</v>
      </c>
      <c r="DS66" t="e">
        <f>AND(Liste!#REF!,"AAAAAGf+nXo=")</f>
        <v>#REF!</v>
      </c>
      <c r="DT66" t="e">
        <f>AND(Liste!#REF!,"AAAAAGf+nXs=")</f>
        <v>#REF!</v>
      </c>
      <c r="DU66" t="e">
        <f>AND(Liste!#REF!,"AAAAAGf+nXw=")</f>
        <v>#REF!</v>
      </c>
      <c r="DV66" t="e">
        <f>AND(Liste!#REF!,"AAAAAGf+nX0=")</f>
        <v>#REF!</v>
      </c>
      <c r="DW66" t="e">
        <f>AND(Liste!#REF!,"AAAAAGf+nX4=")</f>
        <v>#REF!</v>
      </c>
      <c r="DX66" t="e">
        <f>AND(Liste!#REF!,"AAAAAGf+nX8=")</f>
        <v>#REF!</v>
      </c>
      <c r="DY66" t="e">
        <f>AND(Liste!#REF!,"AAAAAGf+nYA=")</f>
        <v>#REF!</v>
      </c>
      <c r="DZ66" t="e">
        <f>AND(Liste!#REF!,"AAAAAGf+nYE=")</f>
        <v>#REF!</v>
      </c>
      <c r="EA66" t="e">
        <f>AND(Liste!#REF!,"AAAAAGf+nYI=")</f>
        <v>#REF!</v>
      </c>
      <c r="EB66">
        <f>IF(Liste!481:481,"AAAAAGf+nYM=",0)</f>
        <v>0</v>
      </c>
      <c r="EC66" t="b">
        <f>AND(Liste!A481,"AAAAAGf+nYQ=")</f>
        <v>1</v>
      </c>
      <c r="ED66" t="e">
        <f>AND(Liste!#REF!,"AAAAAGf+nYU=")</f>
        <v>#REF!</v>
      </c>
      <c r="EE66" t="e">
        <f>AND(Liste!#REF!,"AAAAAGf+nYY=")</f>
        <v>#REF!</v>
      </c>
      <c r="EF66" t="e">
        <f>AND(Liste!#REF!,"AAAAAGf+nYc=")</f>
        <v>#REF!</v>
      </c>
      <c r="EG66" t="e">
        <f>AND(Liste!F481,"AAAAAGf+nYg=")</f>
        <v>#VALUE!</v>
      </c>
      <c r="EH66" t="e">
        <f>AND(Liste!G481,"AAAAAGf+nYk=")</f>
        <v>#VALUE!</v>
      </c>
      <c r="EI66" t="e">
        <f>AND(Liste!H481,"AAAAAGf+nYo=")</f>
        <v>#VALUE!</v>
      </c>
      <c r="EJ66" t="e">
        <f>AND(Liste!I481,"AAAAAGf+nYs=")</f>
        <v>#VALUE!</v>
      </c>
      <c r="EK66" t="e">
        <f>AND(Liste!J481,"AAAAAGf+nYw=")</f>
        <v>#VALUE!</v>
      </c>
      <c r="EL66" t="e">
        <f>AND(Liste!#REF!,"AAAAAGf+nY0=")</f>
        <v>#REF!</v>
      </c>
      <c r="EM66" t="e">
        <f>AND(Liste!#REF!,"AAAAAGf+nY4=")</f>
        <v>#REF!</v>
      </c>
      <c r="EN66" t="e">
        <f>AND(Liste!#REF!,"AAAAAGf+nY8=")</f>
        <v>#REF!</v>
      </c>
      <c r="EO66" t="e">
        <f>AND(Liste!#REF!,"AAAAAGf+nZA=")</f>
        <v>#REF!</v>
      </c>
      <c r="EP66" t="e">
        <f>AND(Liste!#REF!,"AAAAAGf+nZE=")</f>
        <v>#REF!</v>
      </c>
      <c r="EQ66" t="e">
        <f>AND(Liste!#REF!,"AAAAAGf+nZI=")</f>
        <v>#REF!</v>
      </c>
      <c r="ER66" t="e">
        <f>AND(Liste!#REF!,"AAAAAGf+nZM=")</f>
        <v>#REF!</v>
      </c>
      <c r="ES66" t="e">
        <f>AND(Liste!#REF!,"AAAAAGf+nZQ=")</f>
        <v>#REF!</v>
      </c>
      <c r="ET66" t="e">
        <f>AND(Liste!#REF!,"AAAAAGf+nZU=")</f>
        <v>#REF!</v>
      </c>
      <c r="EU66" t="e">
        <f>AND(Liste!#REF!,"AAAAAGf+nZY=")</f>
        <v>#REF!</v>
      </c>
      <c r="EV66" t="e">
        <f>AND(Liste!#REF!,"AAAAAGf+nZc=")</f>
        <v>#REF!</v>
      </c>
      <c r="EW66" t="e">
        <f>AND(Liste!#REF!,"AAAAAGf+nZg=")</f>
        <v>#REF!</v>
      </c>
      <c r="EX66" t="e">
        <f>AND(Liste!#REF!,"AAAAAGf+nZk=")</f>
        <v>#REF!</v>
      </c>
      <c r="EY66" t="e">
        <f>AND(Liste!#REF!,"AAAAAGf+nZo=")</f>
        <v>#REF!</v>
      </c>
      <c r="EZ66" t="e">
        <f>AND(Liste!#REF!,"AAAAAGf+nZs=")</f>
        <v>#REF!</v>
      </c>
      <c r="FA66" t="e">
        <f>AND(Liste!#REF!,"AAAAAGf+nZw=")</f>
        <v>#REF!</v>
      </c>
      <c r="FB66" t="e">
        <f>AND(Liste!#REF!,"AAAAAGf+nZ0=")</f>
        <v>#REF!</v>
      </c>
      <c r="FC66" t="e">
        <f>AND(Liste!#REF!,"AAAAAGf+nZ4=")</f>
        <v>#REF!</v>
      </c>
      <c r="FD66" t="e">
        <f>AND(Liste!#REF!,"AAAAAGf+nZ8=")</f>
        <v>#REF!</v>
      </c>
      <c r="FE66" t="e">
        <f>AND(Liste!#REF!,"AAAAAGf+naA=")</f>
        <v>#REF!</v>
      </c>
      <c r="FF66" t="e">
        <f>AND(Liste!#REF!,"AAAAAGf+naE=")</f>
        <v>#REF!</v>
      </c>
      <c r="FG66">
        <f>IF(Liste!482:482,"AAAAAGf+naI=",0)</f>
        <v>0</v>
      </c>
      <c r="FH66" t="b">
        <f>AND(Liste!A482,"AAAAAGf+naM=")</f>
        <v>1</v>
      </c>
      <c r="FI66" t="e">
        <f>AND(Liste!#REF!,"AAAAAGf+naQ=")</f>
        <v>#REF!</v>
      </c>
      <c r="FJ66" t="e">
        <f>AND(Liste!#REF!,"AAAAAGf+naU=")</f>
        <v>#REF!</v>
      </c>
      <c r="FK66" t="e">
        <f>AND(Liste!#REF!,"AAAAAGf+naY=")</f>
        <v>#REF!</v>
      </c>
      <c r="FL66" t="e">
        <f>AND(Liste!F482,"AAAAAGf+nac=")</f>
        <v>#VALUE!</v>
      </c>
      <c r="FM66" t="e">
        <f>AND(Liste!G482,"AAAAAGf+nag=")</f>
        <v>#VALUE!</v>
      </c>
      <c r="FN66" t="e">
        <f>AND(Liste!H482,"AAAAAGf+nak=")</f>
        <v>#VALUE!</v>
      </c>
      <c r="FO66" t="e">
        <f>AND(Liste!I482,"AAAAAGf+nao=")</f>
        <v>#VALUE!</v>
      </c>
      <c r="FP66" t="e">
        <f>AND(Liste!J482,"AAAAAGf+nas=")</f>
        <v>#VALUE!</v>
      </c>
      <c r="FQ66" t="e">
        <f>AND(Liste!#REF!,"AAAAAGf+naw=")</f>
        <v>#REF!</v>
      </c>
      <c r="FR66" t="e">
        <f>AND(Liste!#REF!,"AAAAAGf+na0=")</f>
        <v>#REF!</v>
      </c>
      <c r="FS66" t="e">
        <f>AND(Liste!#REF!,"AAAAAGf+na4=")</f>
        <v>#REF!</v>
      </c>
      <c r="FT66" t="e">
        <f>AND(Liste!#REF!,"AAAAAGf+na8=")</f>
        <v>#REF!</v>
      </c>
      <c r="FU66" t="e">
        <f>AND(Liste!#REF!,"AAAAAGf+nbA=")</f>
        <v>#REF!</v>
      </c>
      <c r="FV66" t="e">
        <f>AND(Liste!#REF!,"AAAAAGf+nbE=")</f>
        <v>#REF!</v>
      </c>
      <c r="FW66" t="e">
        <f>AND(Liste!#REF!,"AAAAAGf+nbI=")</f>
        <v>#REF!</v>
      </c>
      <c r="FX66" t="e">
        <f>AND(Liste!#REF!,"AAAAAGf+nbM=")</f>
        <v>#REF!</v>
      </c>
      <c r="FY66" t="e">
        <f>AND(Liste!#REF!,"AAAAAGf+nbQ=")</f>
        <v>#REF!</v>
      </c>
      <c r="FZ66" t="e">
        <f>AND(Liste!#REF!,"AAAAAGf+nbU=")</f>
        <v>#REF!</v>
      </c>
      <c r="GA66" t="e">
        <f>AND(Liste!#REF!,"AAAAAGf+nbY=")</f>
        <v>#REF!</v>
      </c>
      <c r="GB66" t="e">
        <f>AND(Liste!#REF!,"AAAAAGf+nbc=")</f>
        <v>#REF!</v>
      </c>
      <c r="GC66" t="e">
        <f>AND(Liste!#REF!,"AAAAAGf+nbg=")</f>
        <v>#REF!</v>
      </c>
      <c r="GD66" t="e">
        <f>AND(Liste!#REF!,"AAAAAGf+nbk=")</f>
        <v>#REF!</v>
      </c>
      <c r="GE66" t="e">
        <f>AND(Liste!#REF!,"AAAAAGf+nbo=")</f>
        <v>#REF!</v>
      </c>
      <c r="GF66" t="e">
        <f>AND(Liste!#REF!,"AAAAAGf+nbs=")</f>
        <v>#REF!</v>
      </c>
      <c r="GG66" t="e">
        <f>AND(Liste!#REF!,"AAAAAGf+nbw=")</f>
        <v>#REF!</v>
      </c>
      <c r="GH66" t="e">
        <f>AND(Liste!#REF!,"AAAAAGf+nb0=")</f>
        <v>#REF!</v>
      </c>
      <c r="GI66" t="e">
        <f>AND(Liste!#REF!,"AAAAAGf+nb4=")</f>
        <v>#REF!</v>
      </c>
      <c r="GJ66" t="e">
        <f>AND(Liste!#REF!,"AAAAAGf+nb8=")</f>
        <v>#REF!</v>
      </c>
      <c r="GK66" t="e">
        <f>AND(Liste!#REF!,"AAAAAGf+ncA=")</f>
        <v>#REF!</v>
      </c>
      <c r="GL66">
        <f>IF(Liste!484:484,"AAAAAGf+ncE=",0)</f>
        <v>0</v>
      </c>
      <c r="GM66" t="b">
        <f>AND(Liste!A484,"AAAAAGf+ncI=")</f>
        <v>1</v>
      </c>
      <c r="GN66" t="e">
        <f>AND(Liste!#REF!,"AAAAAGf+ncM=")</f>
        <v>#REF!</v>
      </c>
      <c r="GO66" t="e">
        <f>AND(Liste!#REF!,"AAAAAGf+ncQ=")</f>
        <v>#REF!</v>
      </c>
      <c r="GP66" t="e">
        <f>AND(Liste!#REF!,"AAAAAGf+ncU=")</f>
        <v>#REF!</v>
      </c>
      <c r="GQ66" t="e">
        <f>AND(Liste!F484,"AAAAAGf+ncY=")</f>
        <v>#VALUE!</v>
      </c>
      <c r="GR66" t="e">
        <f>AND(Liste!G484,"AAAAAGf+ncc=")</f>
        <v>#VALUE!</v>
      </c>
      <c r="GS66" t="e">
        <f>AND(Liste!H484,"AAAAAGf+ncg=")</f>
        <v>#VALUE!</v>
      </c>
      <c r="GT66" t="e">
        <f>AND(Liste!I484,"AAAAAGf+nck=")</f>
        <v>#VALUE!</v>
      </c>
      <c r="GU66" t="e">
        <f>AND(Liste!J484,"AAAAAGf+nco=")</f>
        <v>#VALUE!</v>
      </c>
      <c r="GV66" t="e">
        <f>AND(Liste!#REF!,"AAAAAGf+ncs=")</f>
        <v>#REF!</v>
      </c>
      <c r="GW66" t="e">
        <f>AND(Liste!#REF!,"AAAAAGf+ncw=")</f>
        <v>#REF!</v>
      </c>
      <c r="GX66" t="e">
        <f>AND(Liste!#REF!,"AAAAAGf+nc0=")</f>
        <v>#REF!</v>
      </c>
      <c r="GY66" t="e">
        <f>AND(Liste!#REF!,"AAAAAGf+nc4=")</f>
        <v>#REF!</v>
      </c>
      <c r="GZ66" t="e">
        <f>AND(Liste!#REF!,"AAAAAGf+nc8=")</f>
        <v>#REF!</v>
      </c>
      <c r="HA66" t="e">
        <f>AND(Liste!#REF!,"AAAAAGf+ndA=")</f>
        <v>#REF!</v>
      </c>
      <c r="HB66" t="e">
        <f>AND(Liste!#REF!,"AAAAAGf+ndE=")</f>
        <v>#REF!</v>
      </c>
      <c r="HC66" t="e">
        <f>AND(Liste!#REF!,"AAAAAGf+ndI=")</f>
        <v>#REF!</v>
      </c>
      <c r="HD66" t="e">
        <f>AND(Liste!#REF!,"AAAAAGf+ndM=")</f>
        <v>#REF!</v>
      </c>
      <c r="HE66" t="e">
        <f>AND(Liste!#REF!,"AAAAAGf+ndQ=")</f>
        <v>#REF!</v>
      </c>
      <c r="HF66" t="e">
        <f>AND(Liste!#REF!,"AAAAAGf+ndU=")</f>
        <v>#REF!</v>
      </c>
      <c r="HG66" t="e">
        <f>AND(Liste!#REF!,"AAAAAGf+ndY=")</f>
        <v>#REF!</v>
      </c>
      <c r="HH66" t="e">
        <f>AND(Liste!#REF!,"AAAAAGf+ndc=")</f>
        <v>#REF!</v>
      </c>
      <c r="HI66" t="e">
        <f>AND(Liste!#REF!,"AAAAAGf+ndg=")</f>
        <v>#REF!</v>
      </c>
      <c r="HJ66" t="e">
        <f>AND(Liste!#REF!,"AAAAAGf+ndk=")</f>
        <v>#REF!</v>
      </c>
      <c r="HK66" t="e">
        <f>AND(Liste!#REF!,"AAAAAGf+ndo=")</f>
        <v>#REF!</v>
      </c>
      <c r="HL66" t="e">
        <f>AND(Liste!#REF!,"AAAAAGf+nds=")</f>
        <v>#REF!</v>
      </c>
      <c r="HM66" t="e">
        <f>AND(Liste!#REF!,"AAAAAGf+ndw=")</f>
        <v>#REF!</v>
      </c>
      <c r="HN66" t="e">
        <f>AND(Liste!#REF!,"AAAAAGf+nd0=")</f>
        <v>#REF!</v>
      </c>
      <c r="HO66" t="e">
        <f>AND(Liste!#REF!,"AAAAAGf+nd4=")</f>
        <v>#REF!</v>
      </c>
      <c r="HP66" t="e">
        <f>AND(Liste!#REF!,"AAAAAGf+nd8=")</f>
        <v>#REF!</v>
      </c>
      <c r="HQ66">
        <f>IF(Liste!485:485,"AAAAAGf+neA=",0)</f>
        <v>0</v>
      </c>
      <c r="HR66" t="b">
        <f>AND(Liste!A485,"AAAAAGf+neE=")</f>
        <v>1</v>
      </c>
      <c r="HS66" t="e">
        <f>AND(Liste!#REF!,"AAAAAGf+neI=")</f>
        <v>#REF!</v>
      </c>
      <c r="HT66" t="e">
        <f>AND(Liste!#REF!,"AAAAAGf+neM=")</f>
        <v>#REF!</v>
      </c>
      <c r="HU66" t="e">
        <f>AND(Liste!#REF!,"AAAAAGf+neQ=")</f>
        <v>#REF!</v>
      </c>
      <c r="HV66" t="e">
        <f>AND(Liste!F485,"AAAAAGf+neU=")</f>
        <v>#VALUE!</v>
      </c>
      <c r="HW66" t="e">
        <f>AND(Liste!G485,"AAAAAGf+neY=")</f>
        <v>#VALUE!</v>
      </c>
      <c r="HX66" t="e">
        <f>AND(Liste!H485,"AAAAAGf+nec=")</f>
        <v>#VALUE!</v>
      </c>
      <c r="HY66" t="e">
        <f>AND(Liste!I485,"AAAAAGf+neg=")</f>
        <v>#VALUE!</v>
      </c>
      <c r="HZ66" t="e">
        <f>AND(Liste!J485,"AAAAAGf+nek=")</f>
        <v>#VALUE!</v>
      </c>
      <c r="IA66" t="e">
        <f>AND(Liste!#REF!,"AAAAAGf+neo=")</f>
        <v>#REF!</v>
      </c>
      <c r="IB66" t="e">
        <f>AND(Liste!#REF!,"AAAAAGf+nes=")</f>
        <v>#REF!</v>
      </c>
      <c r="IC66" t="e">
        <f>AND(Liste!#REF!,"AAAAAGf+new=")</f>
        <v>#REF!</v>
      </c>
      <c r="ID66" t="e">
        <f>AND(Liste!#REF!,"AAAAAGf+ne0=")</f>
        <v>#REF!</v>
      </c>
      <c r="IE66" t="e">
        <f>AND(Liste!#REF!,"AAAAAGf+ne4=")</f>
        <v>#REF!</v>
      </c>
      <c r="IF66" t="e">
        <f>AND(Liste!#REF!,"AAAAAGf+ne8=")</f>
        <v>#REF!</v>
      </c>
      <c r="IG66" t="e">
        <f>AND(Liste!#REF!,"AAAAAGf+nfA=")</f>
        <v>#REF!</v>
      </c>
      <c r="IH66" t="e">
        <f>AND(Liste!#REF!,"AAAAAGf+nfE=")</f>
        <v>#REF!</v>
      </c>
      <c r="II66" t="e">
        <f>AND(Liste!#REF!,"AAAAAGf+nfI=")</f>
        <v>#REF!</v>
      </c>
      <c r="IJ66" t="e">
        <f>AND(Liste!#REF!,"AAAAAGf+nfM=")</f>
        <v>#REF!</v>
      </c>
      <c r="IK66" t="e">
        <f>AND(Liste!#REF!,"AAAAAGf+nfQ=")</f>
        <v>#REF!</v>
      </c>
      <c r="IL66" t="e">
        <f>AND(Liste!#REF!,"AAAAAGf+nfU=")</f>
        <v>#REF!</v>
      </c>
      <c r="IM66" t="e">
        <f>AND(Liste!#REF!,"AAAAAGf+nfY=")</f>
        <v>#REF!</v>
      </c>
      <c r="IN66" t="e">
        <f>AND(Liste!#REF!,"AAAAAGf+nfc=")</f>
        <v>#REF!</v>
      </c>
      <c r="IO66" t="e">
        <f>AND(Liste!#REF!,"AAAAAGf+nfg=")</f>
        <v>#REF!</v>
      </c>
      <c r="IP66" t="e">
        <f>AND(Liste!#REF!,"AAAAAGf+nfk=")</f>
        <v>#REF!</v>
      </c>
      <c r="IQ66" t="e">
        <f>AND(Liste!#REF!,"AAAAAGf+nfo=")</f>
        <v>#REF!</v>
      </c>
      <c r="IR66" t="e">
        <f>AND(Liste!#REF!,"AAAAAGf+nfs=")</f>
        <v>#REF!</v>
      </c>
      <c r="IS66" t="e">
        <f>AND(Liste!#REF!,"AAAAAGf+nfw=")</f>
        <v>#REF!</v>
      </c>
      <c r="IT66" t="e">
        <f>AND(Liste!#REF!,"AAAAAGf+nf0=")</f>
        <v>#REF!</v>
      </c>
      <c r="IU66" t="e">
        <f>AND(Liste!#REF!,"AAAAAGf+nf4=")</f>
        <v>#REF!</v>
      </c>
      <c r="IV66">
        <f>IF(Liste!486:486,"AAAAAGf+nf8=",0)</f>
        <v>0</v>
      </c>
    </row>
    <row r="67" spans="1:256" x14ac:dyDescent="0.2">
      <c r="A67" t="b">
        <f>AND(Liste!A486,"AAAAAHS/rwA=")</f>
        <v>1</v>
      </c>
      <c r="B67" t="e">
        <f>AND(Liste!#REF!,"AAAAAHS/rwE=")</f>
        <v>#REF!</v>
      </c>
      <c r="C67" t="e">
        <f>AND(Liste!#REF!,"AAAAAHS/rwI=")</f>
        <v>#REF!</v>
      </c>
      <c r="D67" t="e">
        <f>AND(Liste!#REF!,"AAAAAHS/rwM=")</f>
        <v>#REF!</v>
      </c>
      <c r="E67" t="e">
        <f>AND(Liste!F486,"AAAAAHS/rwQ=")</f>
        <v>#VALUE!</v>
      </c>
      <c r="F67" t="e">
        <f>AND(Liste!G486,"AAAAAHS/rwU=")</f>
        <v>#VALUE!</v>
      </c>
      <c r="G67" t="e">
        <f>AND(Liste!H486,"AAAAAHS/rwY=")</f>
        <v>#VALUE!</v>
      </c>
      <c r="H67" t="e">
        <f>AND(Liste!I486,"AAAAAHS/rwc=")</f>
        <v>#VALUE!</v>
      </c>
      <c r="I67" t="e">
        <f>AND(Liste!J486,"AAAAAHS/rwg=")</f>
        <v>#VALUE!</v>
      </c>
      <c r="J67" t="e">
        <f>AND(Liste!#REF!,"AAAAAHS/rwk=")</f>
        <v>#REF!</v>
      </c>
      <c r="K67" t="e">
        <f>AND(Liste!#REF!,"AAAAAHS/rwo=")</f>
        <v>#REF!</v>
      </c>
      <c r="L67" t="e">
        <f>AND(Liste!#REF!,"AAAAAHS/rws=")</f>
        <v>#REF!</v>
      </c>
      <c r="M67" t="e">
        <f>AND(Liste!#REF!,"AAAAAHS/rww=")</f>
        <v>#REF!</v>
      </c>
      <c r="N67" t="e">
        <f>AND(Liste!#REF!,"AAAAAHS/rw0=")</f>
        <v>#REF!</v>
      </c>
      <c r="O67" t="e">
        <f>AND(Liste!#REF!,"AAAAAHS/rw4=")</f>
        <v>#REF!</v>
      </c>
      <c r="P67" t="e">
        <f>AND(Liste!#REF!,"AAAAAHS/rw8=")</f>
        <v>#REF!</v>
      </c>
      <c r="Q67" t="e">
        <f>AND(Liste!#REF!,"AAAAAHS/rxA=")</f>
        <v>#REF!</v>
      </c>
      <c r="R67" t="e">
        <f>AND(Liste!#REF!,"AAAAAHS/rxE=")</f>
        <v>#REF!</v>
      </c>
      <c r="S67" t="e">
        <f>AND(Liste!#REF!,"AAAAAHS/rxI=")</f>
        <v>#REF!</v>
      </c>
      <c r="T67" t="e">
        <f>AND(Liste!#REF!,"AAAAAHS/rxM=")</f>
        <v>#REF!</v>
      </c>
      <c r="U67" t="e">
        <f>AND(Liste!#REF!,"AAAAAHS/rxQ=")</f>
        <v>#REF!</v>
      </c>
      <c r="V67" t="e">
        <f>AND(Liste!#REF!,"AAAAAHS/rxU=")</f>
        <v>#REF!</v>
      </c>
      <c r="W67" t="e">
        <f>AND(Liste!#REF!,"AAAAAHS/rxY=")</f>
        <v>#REF!</v>
      </c>
      <c r="X67" t="e">
        <f>AND(Liste!#REF!,"AAAAAHS/rxc=")</f>
        <v>#REF!</v>
      </c>
      <c r="Y67" t="e">
        <f>AND(Liste!#REF!,"AAAAAHS/rxg=")</f>
        <v>#REF!</v>
      </c>
      <c r="Z67" t="e">
        <f>AND(Liste!#REF!,"AAAAAHS/rxk=")</f>
        <v>#REF!</v>
      </c>
      <c r="AA67" t="e">
        <f>AND(Liste!#REF!,"AAAAAHS/rxo=")</f>
        <v>#REF!</v>
      </c>
      <c r="AB67" t="e">
        <f>AND(Liste!#REF!,"AAAAAHS/rxs=")</f>
        <v>#REF!</v>
      </c>
      <c r="AC67" t="e">
        <f>AND(Liste!#REF!,"AAAAAHS/rxw=")</f>
        <v>#REF!</v>
      </c>
      <c r="AD67" t="e">
        <f>AND(Liste!#REF!,"AAAAAHS/rx0=")</f>
        <v>#REF!</v>
      </c>
      <c r="AE67">
        <f>IF(Liste!487:487,"AAAAAHS/rx4=",0)</f>
        <v>0</v>
      </c>
      <c r="AF67" t="b">
        <f>AND(Liste!A487,"AAAAAHS/rx8=")</f>
        <v>1</v>
      </c>
      <c r="AG67" t="e">
        <f>AND(Liste!#REF!,"AAAAAHS/ryA=")</f>
        <v>#REF!</v>
      </c>
      <c r="AH67" t="e">
        <f>AND(Liste!#REF!,"AAAAAHS/ryE=")</f>
        <v>#REF!</v>
      </c>
      <c r="AI67" t="e">
        <f>AND(Liste!#REF!,"AAAAAHS/ryI=")</f>
        <v>#REF!</v>
      </c>
      <c r="AJ67" t="e">
        <f>AND(Liste!F487,"AAAAAHS/ryM=")</f>
        <v>#VALUE!</v>
      </c>
      <c r="AK67" t="e">
        <f>AND(Liste!G487,"AAAAAHS/ryQ=")</f>
        <v>#VALUE!</v>
      </c>
      <c r="AL67" t="e">
        <f>AND(Liste!H487,"AAAAAHS/ryU=")</f>
        <v>#VALUE!</v>
      </c>
      <c r="AM67" t="e">
        <f>AND(Liste!I487,"AAAAAHS/ryY=")</f>
        <v>#VALUE!</v>
      </c>
      <c r="AN67" t="e">
        <f>AND(Liste!J487,"AAAAAHS/ryc=")</f>
        <v>#VALUE!</v>
      </c>
      <c r="AO67" t="e">
        <f>AND(Liste!#REF!,"AAAAAHS/ryg=")</f>
        <v>#REF!</v>
      </c>
      <c r="AP67" t="e">
        <f>AND(Liste!#REF!,"AAAAAHS/ryk=")</f>
        <v>#REF!</v>
      </c>
      <c r="AQ67" t="e">
        <f>AND(Liste!#REF!,"AAAAAHS/ryo=")</f>
        <v>#REF!</v>
      </c>
      <c r="AR67" t="e">
        <f>AND(Liste!#REF!,"AAAAAHS/rys=")</f>
        <v>#REF!</v>
      </c>
      <c r="AS67" t="e">
        <f>AND(Liste!#REF!,"AAAAAHS/ryw=")</f>
        <v>#REF!</v>
      </c>
      <c r="AT67" t="e">
        <f>AND(Liste!#REF!,"AAAAAHS/ry0=")</f>
        <v>#REF!</v>
      </c>
      <c r="AU67" t="e">
        <f>AND(Liste!#REF!,"AAAAAHS/ry4=")</f>
        <v>#REF!</v>
      </c>
      <c r="AV67" t="e">
        <f>AND(Liste!#REF!,"AAAAAHS/ry8=")</f>
        <v>#REF!</v>
      </c>
      <c r="AW67" t="e">
        <f>AND(Liste!#REF!,"AAAAAHS/rzA=")</f>
        <v>#REF!</v>
      </c>
      <c r="AX67" t="e">
        <f>AND(Liste!#REF!,"AAAAAHS/rzE=")</f>
        <v>#REF!</v>
      </c>
      <c r="AY67" t="e">
        <f>AND(Liste!#REF!,"AAAAAHS/rzI=")</f>
        <v>#REF!</v>
      </c>
      <c r="AZ67" t="e">
        <f>AND(Liste!#REF!,"AAAAAHS/rzM=")</f>
        <v>#REF!</v>
      </c>
      <c r="BA67" t="e">
        <f>AND(Liste!#REF!,"AAAAAHS/rzQ=")</f>
        <v>#REF!</v>
      </c>
      <c r="BB67" t="e">
        <f>AND(Liste!#REF!,"AAAAAHS/rzU=")</f>
        <v>#REF!</v>
      </c>
      <c r="BC67" t="e">
        <f>AND(Liste!#REF!,"AAAAAHS/rzY=")</f>
        <v>#REF!</v>
      </c>
      <c r="BD67" t="e">
        <f>AND(Liste!#REF!,"AAAAAHS/rzc=")</f>
        <v>#REF!</v>
      </c>
      <c r="BE67" t="e">
        <f>AND(Liste!#REF!,"AAAAAHS/rzg=")</f>
        <v>#REF!</v>
      </c>
      <c r="BF67" t="e">
        <f>AND(Liste!#REF!,"AAAAAHS/rzk=")</f>
        <v>#REF!</v>
      </c>
      <c r="BG67" t="e">
        <f>AND(Liste!#REF!,"AAAAAHS/rzo=")</f>
        <v>#REF!</v>
      </c>
      <c r="BH67" t="e">
        <f>AND(Liste!#REF!,"AAAAAHS/rzs=")</f>
        <v>#REF!</v>
      </c>
      <c r="BI67" t="e">
        <f>AND(Liste!#REF!,"AAAAAHS/rzw=")</f>
        <v>#REF!</v>
      </c>
      <c r="BJ67">
        <f>IF(Liste!488:488,"AAAAAHS/rz0=",0)</f>
        <v>0</v>
      </c>
      <c r="BK67" t="b">
        <f>AND(Liste!A488,"AAAAAHS/rz4=")</f>
        <v>1</v>
      </c>
      <c r="BL67" t="e">
        <f>AND(Liste!#REF!,"AAAAAHS/rz8=")</f>
        <v>#REF!</v>
      </c>
      <c r="BM67" t="e">
        <f>AND(Liste!#REF!,"AAAAAHS/r0A=")</f>
        <v>#REF!</v>
      </c>
      <c r="BN67" t="e">
        <f>AND(Liste!#REF!,"AAAAAHS/r0E=")</f>
        <v>#REF!</v>
      </c>
      <c r="BO67" t="e">
        <f>AND(Liste!F488,"AAAAAHS/r0I=")</f>
        <v>#VALUE!</v>
      </c>
      <c r="BP67" t="e">
        <f>AND(Liste!G488,"AAAAAHS/r0M=")</f>
        <v>#VALUE!</v>
      </c>
      <c r="BQ67" t="e">
        <f>AND(Liste!H488,"AAAAAHS/r0Q=")</f>
        <v>#VALUE!</v>
      </c>
      <c r="BR67" t="e">
        <f>AND(Liste!I488,"AAAAAHS/r0U=")</f>
        <v>#VALUE!</v>
      </c>
      <c r="BS67" t="e">
        <f>AND(Liste!J488,"AAAAAHS/r0Y=")</f>
        <v>#VALUE!</v>
      </c>
      <c r="BT67" t="e">
        <f>AND(Liste!#REF!,"AAAAAHS/r0c=")</f>
        <v>#REF!</v>
      </c>
      <c r="BU67" t="e">
        <f>AND(Liste!#REF!,"AAAAAHS/r0g=")</f>
        <v>#REF!</v>
      </c>
      <c r="BV67" t="e">
        <f>AND(Liste!#REF!,"AAAAAHS/r0k=")</f>
        <v>#REF!</v>
      </c>
      <c r="BW67" t="e">
        <f>AND(Liste!#REF!,"AAAAAHS/r0o=")</f>
        <v>#REF!</v>
      </c>
      <c r="BX67" t="e">
        <f>AND(Liste!#REF!,"AAAAAHS/r0s=")</f>
        <v>#REF!</v>
      </c>
      <c r="BY67" t="e">
        <f>AND(Liste!#REF!,"AAAAAHS/r0w=")</f>
        <v>#REF!</v>
      </c>
      <c r="BZ67" t="e">
        <f>AND(Liste!#REF!,"AAAAAHS/r00=")</f>
        <v>#REF!</v>
      </c>
      <c r="CA67" t="e">
        <f>AND(Liste!#REF!,"AAAAAHS/r04=")</f>
        <v>#REF!</v>
      </c>
      <c r="CB67" t="e">
        <f>AND(Liste!#REF!,"AAAAAHS/r08=")</f>
        <v>#REF!</v>
      </c>
      <c r="CC67" t="e">
        <f>AND(Liste!#REF!,"AAAAAHS/r1A=")</f>
        <v>#REF!</v>
      </c>
      <c r="CD67" t="e">
        <f>AND(Liste!#REF!,"AAAAAHS/r1E=")</f>
        <v>#REF!</v>
      </c>
      <c r="CE67" t="e">
        <f>AND(Liste!#REF!,"AAAAAHS/r1I=")</f>
        <v>#REF!</v>
      </c>
      <c r="CF67" t="e">
        <f>AND(Liste!#REF!,"AAAAAHS/r1M=")</f>
        <v>#REF!</v>
      </c>
      <c r="CG67" t="e">
        <f>AND(Liste!#REF!,"AAAAAHS/r1Q=")</f>
        <v>#REF!</v>
      </c>
      <c r="CH67" t="e">
        <f>AND(Liste!#REF!,"AAAAAHS/r1U=")</f>
        <v>#REF!</v>
      </c>
      <c r="CI67" t="e">
        <f>AND(Liste!#REF!,"AAAAAHS/r1Y=")</f>
        <v>#REF!</v>
      </c>
      <c r="CJ67" t="e">
        <f>AND(Liste!#REF!,"AAAAAHS/r1c=")</f>
        <v>#REF!</v>
      </c>
      <c r="CK67" t="e">
        <f>AND(Liste!#REF!,"AAAAAHS/r1g=")</f>
        <v>#REF!</v>
      </c>
      <c r="CL67" t="e">
        <f>AND(Liste!#REF!,"AAAAAHS/r1k=")</f>
        <v>#REF!</v>
      </c>
      <c r="CM67" t="e">
        <f>AND(Liste!#REF!,"AAAAAHS/r1o=")</f>
        <v>#REF!</v>
      </c>
      <c r="CN67" t="e">
        <f>AND(Liste!#REF!,"AAAAAHS/r1s=")</f>
        <v>#REF!</v>
      </c>
      <c r="CO67">
        <f>IF(Liste!489:489,"AAAAAHS/r1w=",0)</f>
        <v>0</v>
      </c>
      <c r="CP67" t="b">
        <f>AND(Liste!A489,"AAAAAHS/r10=")</f>
        <v>1</v>
      </c>
      <c r="CQ67" t="e">
        <f>AND(Liste!#REF!,"AAAAAHS/r14=")</f>
        <v>#REF!</v>
      </c>
      <c r="CR67" t="e">
        <f>AND(Liste!#REF!,"AAAAAHS/r18=")</f>
        <v>#REF!</v>
      </c>
      <c r="CS67" t="e">
        <f>AND(Liste!#REF!,"AAAAAHS/r2A=")</f>
        <v>#REF!</v>
      </c>
      <c r="CT67" t="e">
        <f>AND(Liste!F489,"AAAAAHS/r2E=")</f>
        <v>#VALUE!</v>
      </c>
      <c r="CU67" t="e">
        <f>AND(Liste!G489,"AAAAAHS/r2I=")</f>
        <v>#VALUE!</v>
      </c>
      <c r="CV67" t="e">
        <f>AND(Liste!H489,"AAAAAHS/r2M=")</f>
        <v>#VALUE!</v>
      </c>
      <c r="CW67" t="e">
        <f>AND(Liste!I489,"AAAAAHS/r2Q=")</f>
        <v>#VALUE!</v>
      </c>
      <c r="CX67" t="e">
        <f>AND(Liste!J489,"AAAAAHS/r2U=")</f>
        <v>#VALUE!</v>
      </c>
      <c r="CY67" t="e">
        <f>AND(Liste!#REF!,"AAAAAHS/r2Y=")</f>
        <v>#REF!</v>
      </c>
      <c r="CZ67" t="e">
        <f>AND(Liste!#REF!,"AAAAAHS/r2c=")</f>
        <v>#REF!</v>
      </c>
      <c r="DA67" t="e">
        <f>AND(Liste!#REF!,"AAAAAHS/r2g=")</f>
        <v>#REF!</v>
      </c>
      <c r="DB67" t="e">
        <f>AND(Liste!#REF!,"AAAAAHS/r2k=")</f>
        <v>#REF!</v>
      </c>
      <c r="DC67" t="e">
        <f>AND(Liste!#REF!,"AAAAAHS/r2o=")</f>
        <v>#REF!</v>
      </c>
      <c r="DD67" t="e">
        <f>AND(Liste!#REF!,"AAAAAHS/r2s=")</f>
        <v>#REF!</v>
      </c>
      <c r="DE67" t="e">
        <f>AND(Liste!#REF!,"AAAAAHS/r2w=")</f>
        <v>#REF!</v>
      </c>
      <c r="DF67" t="e">
        <f>AND(Liste!#REF!,"AAAAAHS/r20=")</f>
        <v>#REF!</v>
      </c>
      <c r="DG67" t="e">
        <f>AND(Liste!#REF!,"AAAAAHS/r24=")</f>
        <v>#REF!</v>
      </c>
      <c r="DH67" t="e">
        <f>AND(Liste!#REF!,"AAAAAHS/r28=")</f>
        <v>#REF!</v>
      </c>
      <c r="DI67" t="e">
        <f>AND(Liste!#REF!,"AAAAAHS/r3A=")</f>
        <v>#REF!</v>
      </c>
      <c r="DJ67" t="e">
        <f>AND(Liste!#REF!,"AAAAAHS/r3E=")</f>
        <v>#REF!</v>
      </c>
      <c r="DK67" t="e">
        <f>AND(Liste!#REF!,"AAAAAHS/r3I=")</f>
        <v>#REF!</v>
      </c>
      <c r="DL67" t="e">
        <f>AND(Liste!#REF!,"AAAAAHS/r3M=")</f>
        <v>#REF!</v>
      </c>
      <c r="DM67" t="e">
        <f>AND(Liste!#REF!,"AAAAAHS/r3Q=")</f>
        <v>#REF!</v>
      </c>
      <c r="DN67" t="e">
        <f>AND(Liste!#REF!,"AAAAAHS/r3U=")</f>
        <v>#REF!</v>
      </c>
      <c r="DO67" t="e">
        <f>AND(Liste!#REF!,"AAAAAHS/r3Y=")</f>
        <v>#REF!</v>
      </c>
      <c r="DP67" t="e">
        <f>AND(Liste!#REF!,"AAAAAHS/r3c=")</f>
        <v>#REF!</v>
      </c>
      <c r="DQ67" t="e">
        <f>AND(Liste!#REF!,"AAAAAHS/r3g=")</f>
        <v>#REF!</v>
      </c>
      <c r="DR67" t="e">
        <f>AND(Liste!#REF!,"AAAAAHS/r3k=")</f>
        <v>#REF!</v>
      </c>
      <c r="DS67" t="e">
        <f>AND(Liste!#REF!,"AAAAAHS/r3o=")</f>
        <v>#REF!</v>
      </c>
      <c r="DT67">
        <f>IF(Liste!490:490,"AAAAAHS/r3s=",0)</f>
        <v>0</v>
      </c>
      <c r="DU67" t="b">
        <f>AND(Liste!A490,"AAAAAHS/r3w=")</f>
        <v>1</v>
      </c>
      <c r="DV67" t="e">
        <f>AND(Liste!#REF!,"AAAAAHS/r30=")</f>
        <v>#REF!</v>
      </c>
      <c r="DW67" t="e">
        <f>AND(Liste!#REF!,"AAAAAHS/r34=")</f>
        <v>#REF!</v>
      </c>
      <c r="DX67" t="e">
        <f>AND(Liste!#REF!,"AAAAAHS/r38=")</f>
        <v>#REF!</v>
      </c>
      <c r="DY67" t="e">
        <f>AND(Liste!F490,"AAAAAHS/r4A=")</f>
        <v>#VALUE!</v>
      </c>
      <c r="DZ67" t="e">
        <f>AND(Liste!G490,"AAAAAHS/r4E=")</f>
        <v>#VALUE!</v>
      </c>
      <c r="EA67" t="e">
        <f>AND(Liste!H490,"AAAAAHS/r4I=")</f>
        <v>#VALUE!</v>
      </c>
      <c r="EB67" t="e">
        <f>AND(Liste!I490,"AAAAAHS/r4M=")</f>
        <v>#VALUE!</v>
      </c>
      <c r="EC67" t="e">
        <f>AND(Liste!J490,"AAAAAHS/r4Q=")</f>
        <v>#VALUE!</v>
      </c>
      <c r="ED67" t="e">
        <f>AND(Liste!#REF!,"AAAAAHS/r4U=")</f>
        <v>#REF!</v>
      </c>
      <c r="EE67" t="e">
        <f>AND(Liste!#REF!,"AAAAAHS/r4Y=")</f>
        <v>#REF!</v>
      </c>
      <c r="EF67" t="e">
        <f>AND(Liste!#REF!,"AAAAAHS/r4c=")</f>
        <v>#REF!</v>
      </c>
      <c r="EG67" t="e">
        <f>AND(Liste!#REF!,"AAAAAHS/r4g=")</f>
        <v>#REF!</v>
      </c>
      <c r="EH67" t="e">
        <f>AND(Liste!#REF!,"AAAAAHS/r4k=")</f>
        <v>#REF!</v>
      </c>
      <c r="EI67" t="e">
        <f>AND(Liste!#REF!,"AAAAAHS/r4o=")</f>
        <v>#REF!</v>
      </c>
      <c r="EJ67" t="e">
        <f>AND(Liste!#REF!,"AAAAAHS/r4s=")</f>
        <v>#REF!</v>
      </c>
      <c r="EK67" t="e">
        <f>AND(Liste!#REF!,"AAAAAHS/r4w=")</f>
        <v>#REF!</v>
      </c>
      <c r="EL67" t="e">
        <f>AND(Liste!#REF!,"AAAAAHS/r40=")</f>
        <v>#REF!</v>
      </c>
      <c r="EM67" t="e">
        <f>AND(Liste!#REF!,"AAAAAHS/r44=")</f>
        <v>#REF!</v>
      </c>
      <c r="EN67" t="e">
        <f>AND(Liste!#REF!,"AAAAAHS/r48=")</f>
        <v>#REF!</v>
      </c>
      <c r="EO67" t="e">
        <f>AND(Liste!#REF!,"AAAAAHS/r5A=")</f>
        <v>#REF!</v>
      </c>
      <c r="EP67" t="e">
        <f>AND(Liste!#REF!,"AAAAAHS/r5E=")</f>
        <v>#REF!</v>
      </c>
      <c r="EQ67" t="e">
        <f>AND(Liste!#REF!,"AAAAAHS/r5I=")</f>
        <v>#REF!</v>
      </c>
      <c r="ER67" t="e">
        <f>AND(Liste!#REF!,"AAAAAHS/r5M=")</f>
        <v>#REF!</v>
      </c>
      <c r="ES67" t="e">
        <f>AND(Liste!#REF!,"AAAAAHS/r5Q=")</f>
        <v>#REF!</v>
      </c>
      <c r="ET67" t="e">
        <f>AND(Liste!#REF!,"AAAAAHS/r5U=")</f>
        <v>#REF!</v>
      </c>
      <c r="EU67" t="e">
        <f>AND(Liste!#REF!,"AAAAAHS/r5Y=")</f>
        <v>#REF!</v>
      </c>
      <c r="EV67" t="e">
        <f>AND(Liste!#REF!,"AAAAAHS/r5c=")</f>
        <v>#REF!</v>
      </c>
      <c r="EW67" t="e">
        <f>AND(Liste!#REF!,"AAAAAHS/r5g=")</f>
        <v>#REF!</v>
      </c>
      <c r="EX67" t="e">
        <f>AND(Liste!#REF!,"AAAAAHS/r5k=")</f>
        <v>#REF!</v>
      </c>
      <c r="EY67" t="e">
        <f>IF(Liste!#REF!,"AAAAAHS/r5o=",0)</f>
        <v>#REF!</v>
      </c>
      <c r="EZ67" t="e">
        <f>AND(Liste!#REF!,"AAAAAHS/r5s=")</f>
        <v>#REF!</v>
      </c>
      <c r="FA67" t="e">
        <f>AND(Liste!#REF!,"AAAAAHS/r5w=")</f>
        <v>#REF!</v>
      </c>
      <c r="FB67" t="e">
        <f>AND(Liste!#REF!,"AAAAAHS/r50=")</f>
        <v>#REF!</v>
      </c>
      <c r="FC67" t="e">
        <f>AND(Liste!#REF!,"AAAAAHS/r54=")</f>
        <v>#REF!</v>
      </c>
      <c r="FD67" t="e">
        <f>AND(Liste!#REF!,"AAAAAHS/r58=")</f>
        <v>#REF!</v>
      </c>
      <c r="FE67" t="e">
        <f>AND(Liste!#REF!,"AAAAAHS/r6A=")</f>
        <v>#REF!</v>
      </c>
      <c r="FF67" t="e">
        <f>AND(Liste!#REF!,"AAAAAHS/r6E=")</f>
        <v>#REF!</v>
      </c>
      <c r="FG67" t="e">
        <f>AND(Liste!#REF!,"AAAAAHS/r6I=")</f>
        <v>#REF!</v>
      </c>
      <c r="FH67" t="e">
        <f>AND(Liste!#REF!,"AAAAAHS/r6M=")</f>
        <v>#REF!</v>
      </c>
      <c r="FI67" t="e">
        <f>AND(Liste!#REF!,"AAAAAHS/r6Q=")</f>
        <v>#REF!</v>
      </c>
      <c r="FJ67" t="e">
        <f>AND(Liste!#REF!,"AAAAAHS/r6U=")</f>
        <v>#REF!</v>
      </c>
      <c r="FK67" t="e">
        <f>AND(Liste!#REF!,"AAAAAHS/r6Y=")</f>
        <v>#REF!</v>
      </c>
      <c r="FL67" t="e">
        <f>AND(Liste!#REF!,"AAAAAHS/r6c=")</f>
        <v>#REF!</v>
      </c>
      <c r="FM67" t="e">
        <f>AND(Liste!#REF!,"AAAAAHS/r6g=")</f>
        <v>#REF!</v>
      </c>
      <c r="FN67" t="e">
        <f>AND(Liste!#REF!,"AAAAAHS/r6k=")</f>
        <v>#REF!</v>
      </c>
      <c r="FO67" t="e">
        <f>AND(Liste!#REF!,"AAAAAHS/r6o=")</f>
        <v>#REF!</v>
      </c>
      <c r="FP67" t="e">
        <f>AND(Liste!#REF!,"AAAAAHS/r6s=")</f>
        <v>#REF!</v>
      </c>
      <c r="FQ67" t="e">
        <f>AND(Liste!#REF!,"AAAAAHS/r6w=")</f>
        <v>#REF!</v>
      </c>
      <c r="FR67" t="e">
        <f>AND(Liste!#REF!,"AAAAAHS/r60=")</f>
        <v>#REF!</v>
      </c>
      <c r="FS67" t="e">
        <f>AND(Liste!#REF!,"AAAAAHS/r64=")</f>
        <v>#REF!</v>
      </c>
      <c r="FT67" t="e">
        <f>AND(Liste!#REF!,"AAAAAHS/r68=")</f>
        <v>#REF!</v>
      </c>
      <c r="FU67" t="e">
        <f>AND(Liste!#REF!,"AAAAAHS/r7A=")</f>
        <v>#REF!</v>
      </c>
      <c r="FV67" t="e">
        <f>AND(Liste!#REF!,"AAAAAHS/r7E=")</f>
        <v>#REF!</v>
      </c>
      <c r="FW67" t="e">
        <f>AND(Liste!#REF!,"AAAAAHS/r7I=")</f>
        <v>#REF!</v>
      </c>
      <c r="FX67" t="e">
        <f>AND(Liste!#REF!,"AAAAAHS/r7M=")</f>
        <v>#REF!</v>
      </c>
      <c r="FY67" t="e">
        <f>AND(Liste!#REF!,"AAAAAHS/r7Q=")</f>
        <v>#REF!</v>
      </c>
      <c r="FZ67" t="e">
        <f>AND(Liste!#REF!,"AAAAAHS/r7U=")</f>
        <v>#REF!</v>
      </c>
      <c r="GA67" t="e">
        <f>AND(Liste!#REF!,"AAAAAHS/r7Y=")</f>
        <v>#REF!</v>
      </c>
      <c r="GB67" t="e">
        <f>AND(Liste!#REF!,"AAAAAHS/r7c=")</f>
        <v>#REF!</v>
      </c>
      <c r="GC67" t="e">
        <f>AND(Liste!#REF!,"AAAAAHS/r7g=")</f>
        <v>#REF!</v>
      </c>
      <c r="GD67" t="e">
        <f>IF(Liste!#REF!,"AAAAAHS/r7k=",0)</f>
        <v>#REF!</v>
      </c>
      <c r="GE67" t="e">
        <f>AND(Liste!#REF!,"AAAAAHS/r7o=")</f>
        <v>#REF!</v>
      </c>
      <c r="GF67" t="e">
        <f>AND(Liste!#REF!,"AAAAAHS/r7s=")</f>
        <v>#REF!</v>
      </c>
      <c r="GG67" t="e">
        <f>AND(Liste!#REF!,"AAAAAHS/r7w=")</f>
        <v>#REF!</v>
      </c>
      <c r="GH67" t="e">
        <f>AND(Liste!#REF!,"AAAAAHS/r70=")</f>
        <v>#REF!</v>
      </c>
      <c r="GI67" t="e">
        <f>AND(Liste!#REF!,"AAAAAHS/r74=")</f>
        <v>#REF!</v>
      </c>
      <c r="GJ67" t="e">
        <f>AND(Liste!#REF!,"AAAAAHS/r78=")</f>
        <v>#REF!</v>
      </c>
      <c r="GK67" t="e">
        <f>AND(Liste!#REF!,"AAAAAHS/r8A=")</f>
        <v>#REF!</v>
      </c>
      <c r="GL67" t="e">
        <f>AND(Liste!#REF!,"AAAAAHS/r8E=")</f>
        <v>#REF!</v>
      </c>
      <c r="GM67" t="e">
        <f>AND(Liste!#REF!,"AAAAAHS/r8I=")</f>
        <v>#REF!</v>
      </c>
      <c r="GN67" t="e">
        <f>AND(Liste!#REF!,"AAAAAHS/r8M=")</f>
        <v>#REF!</v>
      </c>
      <c r="GO67" t="e">
        <f>AND(Liste!#REF!,"AAAAAHS/r8Q=")</f>
        <v>#REF!</v>
      </c>
      <c r="GP67" t="e">
        <f>AND(Liste!#REF!,"AAAAAHS/r8U=")</f>
        <v>#REF!</v>
      </c>
      <c r="GQ67" t="e">
        <f>AND(Liste!#REF!,"AAAAAHS/r8Y=")</f>
        <v>#REF!</v>
      </c>
      <c r="GR67" t="e">
        <f>AND(Liste!#REF!,"AAAAAHS/r8c=")</f>
        <v>#REF!</v>
      </c>
      <c r="GS67" t="e">
        <f>AND(Liste!#REF!,"AAAAAHS/r8g=")</f>
        <v>#REF!</v>
      </c>
      <c r="GT67" t="e">
        <f>AND(Liste!#REF!,"AAAAAHS/r8k=")</f>
        <v>#REF!</v>
      </c>
      <c r="GU67" t="e">
        <f>AND(Liste!#REF!,"AAAAAHS/r8o=")</f>
        <v>#REF!</v>
      </c>
      <c r="GV67" t="e">
        <f>AND(Liste!#REF!,"AAAAAHS/r8s=")</f>
        <v>#REF!</v>
      </c>
      <c r="GW67" t="e">
        <f>AND(Liste!#REF!,"AAAAAHS/r8w=")</f>
        <v>#REF!</v>
      </c>
      <c r="GX67" t="e">
        <f>AND(Liste!#REF!,"AAAAAHS/r80=")</f>
        <v>#REF!</v>
      </c>
      <c r="GY67" t="e">
        <f>AND(Liste!#REF!,"AAAAAHS/r84=")</f>
        <v>#REF!</v>
      </c>
      <c r="GZ67" t="e">
        <f>AND(Liste!#REF!,"AAAAAHS/r88=")</f>
        <v>#REF!</v>
      </c>
      <c r="HA67" t="e">
        <f>AND(Liste!#REF!,"AAAAAHS/r9A=")</f>
        <v>#REF!</v>
      </c>
      <c r="HB67" t="e">
        <f>AND(Liste!#REF!,"AAAAAHS/r9E=")</f>
        <v>#REF!</v>
      </c>
      <c r="HC67" t="e">
        <f>AND(Liste!#REF!,"AAAAAHS/r9I=")</f>
        <v>#REF!</v>
      </c>
      <c r="HD67" t="e">
        <f>AND(Liste!#REF!,"AAAAAHS/r9M=")</f>
        <v>#REF!</v>
      </c>
      <c r="HE67" t="e">
        <f>AND(Liste!#REF!,"AAAAAHS/r9Q=")</f>
        <v>#REF!</v>
      </c>
      <c r="HF67" t="e">
        <f>AND(Liste!#REF!,"AAAAAHS/r9U=")</f>
        <v>#REF!</v>
      </c>
      <c r="HG67" t="e">
        <f>AND(Liste!#REF!,"AAAAAHS/r9Y=")</f>
        <v>#REF!</v>
      </c>
      <c r="HH67" t="e">
        <f>AND(Liste!#REF!,"AAAAAHS/r9c=")</f>
        <v>#REF!</v>
      </c>
      <c r="HI67" t="e">
        <f>IF(Liste!#REF!,"AAAAAHS/r9g=",0)</f>
        <v>#REF!</v>
      </c>
      <c r="HJ67" t="e">
        <f>AND(Liste!#REF!,"AAAAAHS/r9k=")</f>
        <v>#REF!</v>
      </c>
      <c r="HK67" t="e">
        <f>AND(Liste!#REF!,"AAAAAHS/r9o=")</f>
        <v>#REF!</v>
      </c>
      <c r="HL67" t="e">
        <f>AND(Liste!#REF!,"AAAAAHS/r9s=")</f>
        <v>#REF!</v>
      </c>
      <c r="HM67" t="e">
        <f>AND(Liste!#REF!,"AAAAAHS/r9w=")</f>
        <v>#REF!</v>
      </c>
      <c r="HN67" t="e">
        <f>AND(Liste!#REF!,"AAAAAHS/r90=")</f>
        <v>#REF!</v>
      </c>
      <c r="HO67" t="e">
        <f>AND(Liste!#REF!,"AAAAAHS/r94=")</f>
        <v>#REF!</v>
      </c>
      <c r="HP67" t="e">
        <f>AND(Liste!#REF!,"AAAAAHS/r98=")</f>
        <v>#REF!</v>
      </c>
      <c r="HQ67" t="e">
        <f>AND(Liste!#REF!,"AAAAAHS/r+A=")</f>
        <v>#REF!</v>
      </c>
      <c r="HR67" t="e">
        <f>AND(Liste!#REF!,"AAAAAHS/r+E=")</f>
        <v>#REF!</v>
      </c>
      <c r="HS67" t="e">
        <f>AND(Liste!#REF!,"AAAAAHS/r+I=")</f>
        <v>#REF!</v>
      </c>
      <c r="HT67" t="e">
        <f>AND(Liste!#REF!,"AAAAAHS/r+M=")</f>
        <v>#REF!</v>
      </c>
      <c r="HU67" t="e">
        <f>AND(Liste!#REF!,"AAAAAHS/r+Q=")</f>
        <v>#REF!</v>
      </c>
      <c r="HV67" t="e">
        <f>AND(Liste!#REF!,"AAAAAHS/r+U=")</f>
        <v>#REF!</v>
      </c>
      <c r="HW67" t="e">
        <f>AND(Liste!#REF!,"AAAAAHS/r+Y=")</f>
        <v>#REF!</v>
      </c>
      <c r="HX67" t="e">
        <f>AND(Liste!#REF!,"AAAAAHS/r+c=")</f>
        <v>#REF!</v>
      </c>
      <c r="HY67" t="e">
        <f>AND(Liste!#REF!,"AAAAAHS/r+g=")</f>
        <v>#REF!</v>
      </c>
      <c r="HZ67" t="e">
        <f>AND(Liste!#REF!,"AAAAAHS/r+k=")</f>
        <v>#REF!</v>
      </c>
      <c r="IA67" t="e">
        <f>AND(Liste!#REF!,"AAAAAHS/r+o=")</f>
        <v>#REF!</v>
      </c>
      <c r="IB67" t="e">
        <f>AND(Liste!#REF!,"AAAAAHS/r+s=")</f>
        <v>#REF!</v>
      </c>
      <c r="IC67" t="e">
        <f>AND(Liste!#REF!,"AAAAAHS/r+w=")</f>
        <v>#REF!</v>
      </c>
      <c r="ID67" t="e">
        <f>AND(Liste!#REF!,"AAAAAHS/r+0=")</f>
        <v>#REF!</v>
      </c>
      <c r="IE67" t="e">
        <f>AND(Liste!#REF!,"AAAAAHS/r+4=")</f>
        <v>#REF!</v>
      </c>
      <c r="IF67" t="e">
        <f>AND(Liste!#REF!,"AAAAAHS/r+8=")</f>
        <v>#REF!</v>
      </c>
      <c r="IG67" t="e">
        <f>AND(Liste!#REF!,"AAAAAHS/r/A=")</f>
        <v>#REF!</v>
      </c>
      <c r="IH67" t="e">
        <f>AND(Liste!#REF!,"AAAAAHS/r/E=")</f>
        <v>#REF!</v>
      </c>
      <c r="II67" t="e">
        <f>AND(Liste!#REF!,"AAAAAHS/r/I=")</f>
        <v>#REF!</v>
      </c>
      <c r="IJ67" t="e">
        <f>AND(Liste!#REF!,"AAAAAHS/r/M=")</f>
        <v>#REF!</v>
      </c>
      <c r="IK67" t="e">
        <f>AND(Liste!#REF!,"AAAAAHS/r/Q=")</f>
        <v>#REF!</v>
      </c>
      <c r="IL67" t="e">
        <f>AND(Liste!#REF!,"AAAAAHS/r/U=")</f>
        <v>#REF!</v>
      </c>
      <c r="IM67" t="e">
        <f>AND(Liste!#REF!,"AAAAAHS/r/Y=")</f>
        <v>#REF!</v>
      </c>
      <c r="IN67" t="e">
        <f>IF(Liste!#REF!,"AAAAAHS/r/c=",0)</f>
        <v>#REF!</v>
      </c>
      <c r="IO67" t="e">
        <f>AND(Liste!#REF!,"AAAAAHS/r/g=")</f>
        <v>#REF!</v>
      </c>
      <c r="IP67" t="e">
        <f>AND(Liste!#REF!,"AAAAAHS/r/k=")</f>
        <v>#REF!</v>
      </c>
      <c r="IQ67" t="e">
        <f>AND(Liste!#REF!,"AAAAAHS/r/o=")</f>
        <v>#REF!</v>
      </c>
      <c r="IR67" t="e">
        <f>AND(Liste!#REF!,"AAAAAHS/r/s=")</f>
        <v>#REF!</v>
      </c>
      <c r="IS67" t="e">
        <f>AND(Liste!#REF!,"AAAAAHS/r/w=")</f>
        <v>#REF!</v>
      </c>
      <c r="IT67" t="e">
        <f>AND(Liste!#REF!,"AAAAAHS/r/0=")</f>
        <v>#REF!</v>
      </c>
      <c r="IU67" t="e">
        <f>AND(Liste!#REF!,"AAAAAHS/r/4=")</f>
        <v>#REF!</v>
      </c>
      <c r="IV67" t="e">
        <f>AND(Liste!#REF!,"AAAAAHS/r/8=")</f>
        <v>#REF!</v>
      </c>
    </row>
    <row r="68" spans="1:256" x14ac:dyDescent="0.2">
      <c r="A68" t="e">
        <f>AND(Liste!#REF!,"AAAAADS/3AA=")</f>
        <v>#REF!</v>
      </c>
      <c r="B68" t="e">
        <f>AND(Liste!#REF!,"AAAAADS/3AE=")</f>
        <v>#REF!</v>
      </c>
      <c r="C68" t="e">
        <f>AND(Liste!#REF!,"AAAAADS/3AI=")</f>
        <v>#REF!</v>
      </c>
      <c r="D68" t="e">
        <f>AND(Liste!#REF!,"AAAAADS/3AM=")</f>
        <v>#REF!</v>
      </c>
      <c r="E68" t="e">
        <f>AND(Liste!#REF!,"AAAAADS/3AQ=")</f>
        <v>#REF!</v>
      </c>
      <c r="F68" t="e">
        <f>AND(Liste!#REF!,"AAAAADS/3AU=")</f>
        <v>#REF!</v>
      </c>
      <c r="G68" t="e">
        <f>AND(Liste!#REF!,"AAAAADS/3AY=")</f>
        <v>#REF!</v>
      </c>
      <c r="H68" t="e">
        <f>AND(Liste!#REF!,"AAAAADS/3Ac=")</f>
        <v>#REF!</v>
      </c>
      <c r="I68" t="e">
        <f>AND(Liste!#REF!,"AAAAADS/3Ag=")</f>
        <v>#REF!</v>
      </c>
      <c r="J68" t="e">
        <f>AND(Liste!#REF!,"AAAAADS/3Ak=")</f>
        <v>#REF!</v>
      </c>
      <c r="K68" t="e">
        <f>AND(Liste!#REF!,"AAAAADS/3Ao=")</f>
        <v>#REF!</v>
      </c>
      <c r="L68" t="e">
        <f>AND(Liste!#REF!,"AAAAADS/3As=")</f>
        <v>#REF!</v>
      </c>
      <c r="M68" t="e">
        <f>AND(Liste!#REF!,"AAAAADS/3Aw=")</f>
        <v>#REF!</v>
      </c>
      <c r="N68" t="e">
        <f>AND(Liste!#REF!,"AAAAADS/3A0=")</f>
        <v>#REF!</v>
      </c>
      <c r="O68" t="e">
        <f>AND(Liste!#REF!,"AAAAADS/3A4=")</f>
        <v>#REF!</v>
      </c>
      <c r="P68" t="e">
        <f>AND(Liste!#REF!,"AAAAADS/3A8=")</f>
        <v>#REF!</v>
      </c>
      <c r="Q68" t="e">
        <f>AND(Liste!#REF!,"AAAAADS/3BA=")</f>
        <v>#REF!</v>
      </c>
      <c r="R68" t="e">
        <f>AND(Liste!#REF!,"AAAAADS/3BE=")</f>
        <v>#REF!</v>
      </c>
      <c r="S68" t="e">
        <f>AND(Liste!#REF!,"AAAAADS/3BI=")</f>
        <v>#REF!</v>
      </c>
      <c r="T68" t="e">
        <f>AND(Liste!#REF!,"AAAAADS/3BM=")</f>
        <v>#REF!</v>
      </c>
      <c r="U68" t="e">
        <f>AND(Liste!#REF!,"AAAAADS/3BQ=")</f>
        <v>#REF!</v>
      </c>
      <c r="V68" t="e">
        <f>AND(Liste!#REF!,"AAAAADS/3BU=")</f>
        <v>#REF!</v>
      </c>
      <c r="W68" t="e">
        <f>IF(Liste!#REF!,"AAAAADS/3BY=",0)</f>
        <v>#REF!</v>
      </c>
      <c r="X68" t="e">
        <f>AND(Liste!#REF!,"AAAAADS/3Bc=")</f>
        <v>#REF!</v>
      </c>
      <c r="Y68" t="e">
        <f>AND(Liste!#REF!,"AAAAADS/3Bg=")</f>
        <v>#REF!</v>
      </c>
      <c r="Z68" t="e">
        <f>AND(Liste!#REF!,"AAAAADS/3Bk=")</f>
        <v>#REF!</v>
      </c>
      <c r="AA68" t="e">
        <f>AND(Liste!#REF!,"AAAAADS/3Bo=")</f>
        <v>#REF!</v>
      </c>
      <c r="AB68" t="e">
        <f>AND(Liste!#REF!,"AAAAADS/3Bs=")</f>
        <v>#REF!</v>
      </c>
      <c r="AC68" t="e">
        <f>AND(Liste!#REF!,"AAAAADS/3Bw=")</f>
        <v>#REF!</v>
      </c>
      <c r="AD68" t="e">
        <f>AND(Liste!#REF!,"AAAAADS/3B0=")</f>
        <v>#REF!</v>
      </c>
      <c r="AE68" t="e">
        <f>AND(Liste!#REF!,"AAAAADS/3B4=")</f>
        <v>#REF!</v>
      </c>
      <c r="AF68" t="e">
        <f>AND(Liste!#REF!,"AAAAADS/3B8=")</f>
        <v>#REF!</v>
      </c>
      <c r="AG68" t="e">
        <f>AND(Liste!#REF!,"AAAAADS/3CA=")</f>
        <v>#REF!</v>
      </c>
      <c r="AH68" t="e">
        <f>AND(Liste!#REF!,"AAAAADS/3CE=")</f>
        <v>#REF!</v>
      </c>
      <c r="AI68" t="e">
        <f>AND(Liste!#REF!,"AAAAADS/3CI=")</f>
        <v>#REF!</v>
      </c>
      <c r="AJ68" t="e">
        <f>AND(Liste!#REF!,"AAAAADS/3CM=")</f>
        <v>#REF!</v>
      </c>
      <c r="AK68" t="e">
        <f>AND(Liste!#REF!,"AAAAADS/3CQ=")</f>
        <v>#REF!</v>
      </c>
      <c r="AL68" t="e">
        <f>AND(Liste!#REF!,"AAAAADS/3CU=")</f>
        <v>#REF!</v>
      </c>
      <c r="AM68" t="e">
        <f>AND(Liste!#REF!,"AAAAADS/3CY=")</f>
        <v>#REF!</v>
      </c>
      <c r="AN68" t="e">
        <f>AND(Liste!#REF!,"AAAAADS/3Cc=")</f>
        <v>#REF!</v>
      </c>
      <c r="AO68" t="e">
        <f>AND(Liste!#REF!,"AAAAADS/3Cg=")</f>
        <v>#REF!</v>
      </c>
      <c r="AP68" t="e">
        <f>AND(Liste!#REF!,"AAAAADS/3Ck=")</f>
        <v>#REF!</v>
      </c>
      <c r="AQ68" t="e">
        <f>AND(Liste!#REF!,"AAAAADS/3Co=")</f>
        <v>#REF!</v>
      </c>
      <c r="AR68" t="e">
        <f>AND(Liste!#REF!,"AAAAADS/3Cs=")</f>
        <v>#REF!</v>
      </c>
      <c r="AS68" t="e">
        <f>AND(Liste!#REF!,"AAAAADS/3Cw=")</f>
        <v>#REF!</v>
      </c>
      <c r="AT68" t="e">
        <f>AND(Liste!#REF!,"AAAAADS/3C0=")</f>
        <v>#REF!</v>
      </c>
      <c r="AU68" t="e">
        <f>AND(Liste!#REF!,"AAAAADS/3C4=")</f>
        <v>#REF!</v>
      </c>
      <c r="AV68" t="e">
        <f>AND(Liste!#REF!,"AAAAADS/3C8=")</f>
        <v>#REF!</v>
      </c>
      <c r="AW68" t="e">
        <f>AND(Liste!#REF!,"AAAAADS/3DA=")</f>
        <v>#REF!</v>
      </c>
      <c r="AX68" t="e">
        <f>AND(Liste!#REF!,"AAAAADS/3DE=")</f>
        <v>#REF!</v>
      </c>
      <c r="AY68" t="e">
        <f>AND(Liste!#REF!,"AAAAADS/3DI=")</f>
        <v>#REF!</v>
      </c>
      <c r="AZ68" t="e">
        <f>AND(Liste!#REF!,"AAAAADS/3DM=")</f>
        <v>#REF!</v>
      </c>
      <c r="BA68" t="e">
        <f>AND(Liste!#REF!,"AAAAADS/3DQ=")</f>
        <v>#REF!</v>
      </c>
      <c r="BB68" t="e">
        <f>IF(Liste!#REF!,"AAAAADS/3DU=",0)</f>
        <v>#REF!</v>
      </c>
      <c r="BC68" t="e">
        <f>AND(Liste!#REF!,"AAAAADS/3DY=")</f>
        <v>#REF!</v>
      </c>
      <c r="BD68" t="e">
        <f>AND(Liste!#REF!,"AAAAADS/3Dc=")</f>
        <v>#REF!</v>
      </c>
      <c r="BE68" t="e">
        <f>AND(Liste!#REF!,"AAAAADS/3Dg=")</f>
        <v>#REF!</v>
      </c>
      <c r="BF68" t="e">
        <f>AND(Liste!#REF!,"AAAAADS/3Dk=")</f>
        <v>#REF!</v>
      </c>
      <c r="BG68" t="e">
        <f>AND(Liste!#REF!,"AAAAADS/3Do=")</f>
        <v>#REF!</v>
      </c>
      <c r="BH68" t="e">
        <f>AND(Liste!#REF!,"AAAAADS/3Ds=")</f>
        <v>#REF!</v>
      </c>
      <c r="BI68" t="e">
        <f>AND(Liste!#REF!,"AAAAADS/3Dw=")</f>
        <v>#REF!</v>
      </c>
      <c r="BJ68" t="e">
        <f>AND(Liste!#REF!,"AAAAADS/3D0=")</f>
        <v>#REF!</v>
      </c>
      <c r="BK68" t="e">
        <f>AND(Liste!#REF!,"AAAAADS/3D4=")</f>
        <v>#REF!</v>
      </c>
      <c r="BL68" t="e">
        <f>AND(Liste!#REF!,"AAAAADS/3D8=")</f>
        <v>#REF!</v>
      </c>
      <c r="BM68" t="e">
        <f>AND(Liste!#REF!,"AAAAADS/3EA=")</f>
        <v>#REF!</v>
      </c>
      <c r="BN68" t="e">
        <f>AND(Liste!#REF!,"AAAAADS/3EE=")</f>
        <v>#REF!</v>
      </c>
      <c r="BO68" t="e">
        <f>AND(Liste!#REF!,"AAAAADS/3EI=")</f>
        <v>#REF!</v>
      </c>
      <c r="BP68" t="e">
        <f>AND(Liste!#REF!,"AAAAADS/3EM=")</f>
        <v>#REF!</v>
      </c>
      <c r="BQ68" t="e">
        <f>AND(Liste!#REF!,"AAAAADS/3EQ=")</f>
        <v>#REF!</v>
      </c>
      <c r="BR68" t="e">
        <f>AND(Liste!#REF!,"AAAAADS/3EU=")</f>
        <v>#REF!</v>
      </c>
      <c r="BS68" t="e">
        <f>AND(Liste!#REF!,"AAAAADS/3EY=")</f>
        <v>#REF!</v>
      </c>
      <c r="BT68" t="e">
        <f>AND(Liste!#REF!,"AAAAADS/3Ec=")</f>
        <v>#REF!</v>
      </c>
      <c r="BU68" t="e">
        <f>AND(Liste!#REF!,"AAAAADS/3Eg=")</f>
        <v>#REF!</v>
      </c>
      <c r="BV68" t="e">
        <f>AND(Liste!#REF!,"AAAAADS/3Ek=")</f>
        <v>#REF!</v>
      </c>
      <c r="BW68" t="e">
        <f>AND(Liste!#REF!,"AAAAADS/3Eo=")</f>
        <v>#REF!</v>
      </c>
      <c r="BX68" t="e">
        <f>AND(Liste!#REF!,"AAAAADS/3Es=")</f>
        <v>#REF!</v>
      </c>
      <c r="BY68" t="e">
        <f>AND(Liste!#REF!,"AAAAADS/3Ew=")</f>
        <v>#REF!</v>
      </c>
      <c r="BZ68" t="e">
        <f>AND(Liste!#REF!,"AAAAADS/3E0=")</f>
        <v>#REF!</v>
      </c>
      <c r="CA68" t="e">
        <f>AND(Liste!#REF!,"AAAAADS/3E4=")</f>
        <v>#REF!</v>
      </c>
      <c r="CB68" t="e">
        <f>AND(Liste!#REF!,"AAAAADS/3E8=")</f>
        <v>#REF!</v>
      </c>
      <c r="CC68" t="e">
        <f>AND(Liste!#REF!,"AAAAADS/3FA=")</f>
        <v>#REF!</v>
      </c>
      <c r="CD68" t="e">
        <f>AND(Liste!#REF!,"AAAAADS/3FE=")</f>
        <v>#REF!</v>
      </c>
      <c r="CE68" t="e">
        <f>AND(Liste!#REF!,"AAAAADS/3FI=")</f>
        <v>#REF!</v>
      </c>
      <c r="CF68" t="e">
        <f>AND(Liste!#REF!,"AAAAADS/3FM=")</f>
        <v>#REF!</v>
      </c>
      <c r="CG68" t="e">
        <f>IF(Liste!#REF!,"AAAAADS/3FQ=",0)</f>
        <v>#REF!</v>
      </c>
      <c r="CH68" t="e">
        <f>AND(Liste!#REF!,"AAAAADS/3FU=")</f>
        <v>#REF!</v>
      </c>
      <c r="CI68" t="e">
        <f>AND(Liste!#REF!,"AAAAADS/3FY=")</f>
        <v>#REF!</v>
      </c>
      <c r="CJ68" t="e">
        <f>AND(Liste!#REF!,"AAAAADS/3Fc=")</f>
        <v>#REF!</v>
      </c>
      <c r="CK68" t="e">
        <f>AND(Liste!#REF!,"AAAAADS/3Fg=")</f>
        <v>#REF!</v>
      </c>
      <c r="CL68" t="e">
        <f>AND(Liste!#REF!,"AAAAADS/3Fk=")</f>
        <v>#REF!</v>
      </c>
      <c r="CM68" t="e">
        <f>AND(Liste!#REF!,"AAAAADS/3Fo=")</f>
        <v>#REF!</v>
      </c>
      <c r="CN68" t="e">
        <f>AND(Liste!#REF!,"AAAAADS/3Fs=")</f>
        <v>#REF!</v>
      </c>
      <c r="CO68" t="e">
        <f>AND(Liste!#REF!,"AAAAADS/3Fw=")</f>
        <v>#REF!</v>
      </c>
      <c r="CP68" t="e">
        <f>AND(Liste!#REF!,"AAAAADS/3F0=")</f>
        <v>#REF!</v>
      </c>
      <c r="CQ68" t="e">
        <f>AND(Liste!#REF!,"AAAAADS/3F4=")</f>
        <v>#REF!</v>
      </c>
      <c r="CR68" t="e">
        <f>AND(Liste!#REF!,"AAAAADS/3F8=")</f>
        <v>#REF!</v>
      </c>
      <c r="CS68" t="e">
        <f>AND(Liste!#REF!,"AAAAADS/3GA=")</f>
        <v>#REF!</v>
      </c>
      <c r="CT68" t="e">
        <f>AND(Liste!#REF!,"AAAAADS/3GE=")</f>
        <v>#REF!</v>
      </c>
      <c r="CU68" t="e">
        <f>AND(Liste!#REF!,"AAAAADS/3GI=")</f>
        <v>#REF!</v>
      </c>
      <c r="CV68" t="e">
        <f>AND(Liste!#REF!,"AAAAADS/3GM=")</f>
        <v>#REF!</v>
      </c>
      <c r="CW68" t="e">
        <f>AND(Liste!#REF!,"AAAAADS/3GQ=")</f>
        <v>#REF!</v>
      </c>
      <c r="CX68" t="e">
        <f>AND(Liste!#REF!,"AAAAADS/3GU=")</f>
        <v>#REF!</v>
      </c>
      <c r="CY68" t="e">
        <f>AND(Liste!#REF!,"AAAAADS/3GY=")</f>
        <v>#REF!</v>
      </c>
      <c r="CZ68" t="e">
        <f>AND(Liste!#REF!,"AAAAADS/3Gc=")</f>
        <v>#REF!</v>
      </c>
      <c r="DA68" t="e">
        <f>AND(Liste!#REF!,"AAAAADS/3Gg=")</f>
        <v>#REF!</v>
      </c>
      <c r="DB68" t="e">
        <f>AND(Liste!#REF!,"AAAAADS/3Gk=")</f>
        <v>#REF!</v>
      </c>
      <c r="DC68" t="e">
        <f>AND(Liste!#REF!,"AAAAADS/3Go=")</f>
        <v>#REF!</v>
      </c>
      <c r="DD68" t="e">
        <f>AND(Liste!#REF!,"AAAAADS/3Gs=")</f>
        <v>#REF!</v>
      </c>
      <c r="DE68" t="e">
        <f>AND(Liste!#REF!,"AAAAADS/3Gw=")</f>
        <v>#REF!</v>
      </c>
      <c r="DF68" t="e">
        <f>AND(Liste!#REF!,"AAAAADS/3G0=")</f>
        <v>#REF!</v>
      </c>
      <c r="DG68" t="e">
        <f>AND(Liste!#REF!,"AAAAADS/3G4=")</f>
        <v>#REF!</v>
      </c>
      <c r="DH68" t="e">
        <f>AND(Liste!#REF!,"AAAAADS/3G8=")</f>
        <v>#REF!</v>
      </c>
      <c r="DI68" t="e">
        <f>AND(Liste!#REF!,"AAAAADS/3HA=")</f>
        <v>#REF!</v>
      </c>
      <c r="DJ68" t="e">
        <f>AND(Liste!#REF!,"AAAAADS/3HE=")</f>
        <v>#REF!</v>
      </c>
      <c r="DK68" t="e">
        <f>AND(Liste!#REF!,"AAAAADS/3HI=")</f>
        <v>#REF!</v>
      </c>
      <c r="DL68" t="e">
        <f>IF(Liste!#REF!,"AAAAADS/3HM=",0)</f>
        <v>#REF!</v>
      </c>
      <c r="DM68" t="e">
        <f>AND(Liste!#REF!,"AAAAADS/3HQ=")</f>
        <v>#REF!</v>
      </c>
      <c r="DN68" t="e">
        <f>AND(Liste!#REF!,"AAAAADS/3HU=")</f>
        <v>#REF!</v>
      </c>
      <c r="DO68" t="e">
        <f>AND(Liste!#REF!,"AAAAADS/3HY=")</f>
        <v>#REF!</v>
      </c>
      <c r="DP68" t="e">
        <f>AND(Liste!#REF!,"AAAAADS/3Hc=")</f>
        <v>#REF!</v>
      </c>
      <c r="DQ68" t="e">
        <f>AND(Liste!#REF!,"AAAAADS/3Hg=")</f>
        <v>#REF!</v>
      </c>
      <c r="DR68" t="e">
        <f>AND(Liste!#REF!,"AAAAADS/3Hk=")</f>
        <v>#REF!</v>
      </c>
      <c r="DS68" t="e">
        <f>AND(Liste!#REF!,"AAAAADS/3Ho=")</f>
        <v>#REF!</v>
      </c>
      <c r="DT68" t="e">
        <f>AND(Liste!#REF!,"AAAAADS/3Hs=")</f>
        <v>#REF!</v>
      </c>
      <c r="DU68" t="e">
        <f>AND(Liste!#REF!,"AAAAADS/3Hw=")</f>
        <v>#REF!</v>
      </c>
      <c r="DV68" t="e">
        <f>AND(Liste!#REF!,"AAAAADS/3H0=")</f>
        <v>#REF!</v>
      </c>
      <c r="DW68" t="e">
        <f>AND(Liste!#REF!,"AAAAADS/3H4=")</f>
        <v>#REF!</v>
      </c>
      <c r="DX68" t="e">
        <f>AND(Liste!#REF!,"AAAAADS/3H8=")</f>
        <v>#REF!</v>
      </c>
      <c r="DY68" t="e">
        <f>AND(Liste!#REF!,"AAAAADS/3IA=")</f>
        <v>#REF!</v>
      </c>
      <c r="DZ68" t="e">
        <f>AND(Liste!#REF!,"AAAAADS/3IE=")</f>
        <v>#REF!</v>
      </c>
      <c r="EA68" t="e">
        <f>AND(Liste!#REF!,"AAAAADS/3II=")</f>
        <v>#REF!</v>
      </c>
      <c r="EB68" t="e">
        <f>AND(Liste!#REF!,"AAAAADS/3IM=")</f>
        <v>#REF!</v>
      </c>
      <c r="EC68" t="e">
        <f>AND(Liste!#REF!,"AAAAADS/3IQ=")</f>
        <v>#REF!</v>
      </c>
      <c r="ED68" t="e">
        <f>AND(Liste!#REF!,"AAAAADS/3IU=")</f>
        <v>#REF!</v>
      </c>
      <c r="EE68" t="e">
        <f>AND(Liste!#REF!,"AAAAADS/3IY=")</f>
        <v>#REF!</v>
      </c>
      <c r="EF68" t="e">
        <f>AND(Liste!#REF!,"AAAAADS/3Ic=")</f>
        <v>#REF!</v>
      </c>
      <c r="EG68" t="e">
        <f>AND(Liste!#REF!,"AAAAADS/3Ig=")</f>
        <v>#REF!</v>
      </c>
      <c r="EH68" t="e">
        <f>AND(Liste!#REF!,"AAAAADS/3Ik=")</f>
        <v>#REF!</v>
      </c>
      <c r="EI68" t="e">
        <f>AND(Liste!#REF!,"AAAAADS/3Io=")</f>
        <v>#REF!</v>
      </c>
      <c r="EJ68" t="e">
        <f>AND(Liste!#REF!,"AAAAADS/3Is=")</f>
        <v>#REF!</v>
      </c>
      <c r="EK68" t="e">
        <f>AND(Liste!#REF!,"AAAAADS/3Iw=")</f>
        <v>#REF!</v>
      </c>
      <c r="EL68" t="e">
        <f>AND(Liste!#REF!,"AAAAADS/3I0=")</f>
        <v>#REF!</v>
      </c>
      <c r="EM68" t="e">
        <f>AND(Liste!#REF!,"AAAAADS/3I4=")</f>
        <v>#REF!</v>
      </c>
      <c r="EN68" t="e">
        <f>AND(Liste!#REF!,"AAAAADS/3I8=")</f>
        <v>#REF!</v>
      </c>
      <c r="EO68" t="e">
        <f>AND(Liste!#REF!,"AAAAADS/3JA=")</f>
        <v>#REF!</v>
      </c>
      <c r="EP68" t="e">
        <f>AND(Liste!#REF!,"AAAAADS/3JE=")</f>
        <v>#REF!</v>
      </c>
      <c r="EQ68" t="e">
        <f>IF(Liste!#REF!,"AAAAADS/3JI=",0)</f>
        <v>#REF!</v>
      </c>
      <c r="ER68" t="e">
        <f>AND(Liste!#REF!,"AAAAADS/3JM=")</f>
        <v>#REF!</v>
      </c>
      <c r="ES68" t="e">
        <f>AND(Liste!#REF!,"AAAAADS/3JQ=")</f>
        <v>#REF!</v>
      </c>
      <c r="ET68" t="e">
        <f>AND(Liste!#REF!,"AAAAADS/3JU=")</f>
        <v>#REF!</v>
      </c>
      <c r="EU68" t="e">
        <f>AND(Liste!#REF!,"AAAAADS/3JY=")</f>
        <v>#REF!</v>
      </c>
      <c r="EV68" t="e">
        <f>AND(Liste!#REF!,"AAAAADS/3Jc=")</f>
        <v>#REF!</v>
      </c>
      <c r="EW68" t="e">
        <f>AND(Liste!#REF!,"AAAAADS/3Jg=")</f>
        <v>#REF!</v>
      </c>
      <c r="EX68" t="e">
        <f>AND(Liste!#REF!,"AAAAADS/3Jk=")</f>
        <v>#REF!</v>
      </c>
      <c r="EY68" t="e">
        <f>AND(Liste!#REF!,"AAAAADS/3Jo=")</f>
        <v>#REF!</v>
      </c>
      <c r="EZ68" t="e">
        <f>AND(Liste!#REF!,"AAAAADS/3Js=")</f>
        <v>#REF!</v>
      </c>
      <c r="FA68" t="e">
        <f>AND(Liste!#REF!,"AAAAADS/3Jw=")</f>
        <v>#REF!</v>
      </c>
      <c r="FB68" t="e">
        <f>AND(Liste!#REF!,"AAAAADS/3J0=")</f>
        <v>#REF!</v>
      </c>
      <c r="FC68" t="e">
        <f>AND(Liste!#REF!,"AAAAADS/3J4=")</f>
        <v>#REF!</v>
      </c>
      <c r="FD68" t="e">
        <f>AND(Liste!#REF!,"AAAAADS/3J8=")</f>
        <v>#REF!</v>
      </c>
      <c r="FE68" t="e">
        <f>AND(Liste!#REF!,"AAAAADS/3KA=")</f>
        <v>#REF!</v>
      </c>
      <c r="FF68" t="e">
        <f>AND(Liste!#REF!,"AAAAADS/3KE=")</f>
        <v>#REF!</v>
      </c>
      <c r="FG68" t="e">
        <f>AND(Liste!#REF!,"AAAAADS/3KI=")</f>
        <v>#REF!</v>
      </c>
      <c r="FH68" t="e">
        <f>AND(Liste!#REF!,"AAAAADS/3KM=")</f>
        <v>#REF!</v>
      </c>
      <c r="FI68" t="e">
        <f>AND(Liste!#REF!,"AAAAADS/3KQ=")</f>
        <v>#REF!</v>
      </c>
      <c r="FJ68" t="e">
        <f>AND(Liste!#REF!,"AAAAADS/3KU=")</f>
        <v>#REF!</v>
      </c>
      <c r="FK68" t="e">
        <f>AND(Liste!#REF!,"AAAAADS/3KY=")</f>
        <v>#REF!</v>
      </c>
      <c r="FL68" t="e">
        <f>AND(Liste!#REF!,"AAAAADS/3Kc=")</f>
        <v>#REF!</v>
      </c>
      <c r="FM68" t="e">
        <f>AND(Liste!#REF!,"AAAAADS/3Kg=")</f>
        <v>#REF!</v>
      </c>
      <c r="FN68" t="e">
        <f>AND(Liste!#REF!,"AAAAADS/3Kk=")</f>
        <v>#REF!</v>
      </c>
      <c r="FO68" t="e">
        <f>AND(Liste!#REF!,"AAAAADS/3Ko=")</f>
        <v>#REF!</v>
      </c>
      <c r="FP68" t="e">
        <f>AND(Liste!#REF!,"AAAAADS/3Ks=")</f>
        <v>#REF!</v>
      </c>
      <c r="FQ68" t="e">
        <f>AND(Liste!#REF!,"AAAAADS/3Kw=")</f>
        <v>#REF!</v>
      </c>
      <c r="FR68" t="e">
        <f>AND(Liste!#REF!,"AAAAADS/3K0=")</f>
        <v>#REF!</v>
      </c>
      <c r="FS68" t="e">
        <f>AND(Liste!#REF!,"AAAAADS/3K4=")</f>
        <v>#REF!</v>
      </c>
      <c r="FT68" t="e">
        <f>AND(Liste!#REF!,"AAAAADS/3K8=")</f>
        <v>#REF!</v>
      </c>
      <c r="FU68" t="e">
        <f>AND(Liste!#REF!,"AAAAADS/3LA=")</f>
        <v>#REF!</v>
      </c>
      <c r="FV68" t="e">
        <f>IF(Liste!#REF!,"AAAAADS/3LE=",0)</f>
        <v>#REF!</v>
      </c>
      <c r="FW68" t="e">
        <f>AND(Liste!#REF!,"AAAAADS/3LI=")</f>
        <v>#REF!</v>
      </c>
      <c r="FX68" t="e">
        <f>AND(Liste!#REF!,"AAAAADS/3LM=")</f>
        <v>#REF!</v>
      </c>
      <c r="FY68" t="e">
        <f>AND(Liste!#REF!,"AAAAADS/3LQ=")</f>
        <v>#REF!</v>
      </c>
      <c r="FZ68" t="e">
        <f>AND(Liste!#REF!,"AAAAADS/3LU=")</f>
        <v>#REF!</v>
      </c>
      <c r="GA68" t="e">
        <f>AND(Liste!#REF!,"AAAAADS/3LY=")</f>
        <v>#REF!</v>
      </c>
      <c r="GB68" t="e">
        <f>AND(Liste!#REF!,"AAAAADS/3Lc=")</f>
        <v>#REF!</v>
      </c>
      <c r="GC68" t="e">
        <f>AND(Liste!#REF!,"AAAAADS/3Lg=")</f>
        <v>#REF!</v>
      </c>
      <c r="GD68" t="e">
        <f>AND(Liste!#REF!,"AAAAADS/3Lk=")</f>
        <v>#REF!</v>
      </c>
      <c r="GE68" t="e">
        <f>AND(Liste!#REF!,"AAAAADS/3Lo=")</f>
        <v>#REF!</v>
      </c>
      <c r="GF68" t="e">
        <f>AND(Liste!#REF!,"AAAAADS/3Ls=")</f>
        <v>#REF!</v>
      </c>
      <c r="GG68" t="e">
        <f>AND(Liste!#REF!,"AAAAADS/3Lw=")</f>
        <v>#REF!</v>
      </c>
      <c r="GH68" t="e">
        <f>AND(Liste!#REF!,"AAAAADS/3L0=")</f>
        <v>#REF!</v>
      </c>
      <c r="GI68" t="e">
        <f>AND(Liste!#REF!,"AAAAADS/3L4=")</f>
        <v>#REF!</v>
      </c>
      <c r="GJ68" t="e">
        <f>AND(Liste!#REF!,"AAAAADS/3L8=")</f>
        <v>#REF!</v>
      </c>
      <c r="GK68" t="e">
        <f>AND(Liste!#REF!,"AAAAADS/3MA=")</f>
        <v>#REF!</v>
      </c>
      <c r="GL68" t="e">
        <f>AND(Liste!#REF!,"AAAAADS/3ME=")</f>
        <v>#REF!</v>
      </c>
      <c r="GM68" t="e">
        <f>AND(Liste!#REF!,"AAAAADS/3MI=")</f>
        <v>#REF!</v>
      </c>
      <c r="GN68" t="e">
        <f>AND(Liste!#REF!,"AAAAADS/3MM=")</f>
        <v>#REF!</v>
      </c>
      <c r="GO68" t="e">
        <f>AND(Liste!#REF!,"AAAAADS/3MQ=")</f>
        <v>#REF!</v>
      </c>
      <c r="GP68" t="e">
        <f>AND(Liste!#REF!,"AAAAADS/3MU=")</f>
        <v>#REF!</v>
      </c>
      <c r="GQ68" t="e">
        <f>AND(Liste!#REF!,"AAAAADS/3MY=")</f>
        <v>#REF!</v>
      </c>
      <c r="GR68" t="e">
        <f>AND(Liste!#REF!,"AAAAADS/3Mc=")</f>
        <v>#REF!</v>
      </c>
      <c r="GS68" t="e">
        <f>AND(Liste!#REF!,"AAAAADS/3Mg=")</f>
        <v>#REF!</v>
      </c>
      <c r="GT68" t="e">
        <f>AND(Liste!#REF!,"AAAAADS/3Mk=")</f>
        <v>#REF!</v>
      </c>
      <c r="GU68" t="e">
        <f>AND(Liste!#REF!,"AAAAADS/3Mo=")</f>
        <v>#REF!</v>
      </c>
      <c r="GV68" t="e">
        <f>AND(Liste!#REF!,"AAAAADS/3Ms=")</f>
        <v>#REF!</v>
      </c>
      <c r="GW68" t="e">
        <f>AND(Liste!#REF!,"AAAAADS/3Mw=")</f>
        <v>#REF!</v>
      </c>
      <c r="GX68" t="e">
        <f>AND(Liste!#REF!,"AAAAADS/3M0=")</f>
        <v>#REF!</v>
      </c>
      <c r="GY68" t="e">
        <f>AND(Liste!#REF!,"AAAAADS/3M4=")</f>
        <v>#REF!</v>
      </c>
      <c r="GZ68" t="e">
        <f>AND(Liste!#REF!,"AAAAADS/3M8=")</f>
        <v>#REF!</v>
      </c>
      <c r="HA68" t="e">
        <f>IF(Liste!#REF!,"AAAAADS/3NA=",0)</f>
        <v>#REF!</v>
      </c>
      <c r="HB68" t="e">
        <f>AND(Liste!#REF!,"AAAAADS/3NE=")</f>
        <v>#REF!</v>
      </c>
      <c r="HC68" t="e">
        <f>AND(Liste!#REF!,"AAAAADS/3NI=")</f>
        <v>#REF!</v>
      </c>
      <c r="HD68" t="e">
        <f>AND(Liste!#REF!,"AAAAADS/3NM=")</f>
        <v>#REF!</v>
      </c>
      <c r="HE68" t="e">
        <f>AND(Liste!#REF!,"AAAAADS/3NQ=")</f>
        <v>#REF!</v>
      </c>
      <c r="HF68" t="e">
        <f>AND(Liste!#REF!,"AAAAADS/3NU=")</f>
        <v>#REF!</v>
      </c>
      <c r="HG68" t="e">
        <f>AND(Liste!#REF!,"AAAAADS/3NY=")</f>
        <v>#REF!</v>
      </c>
      <c r="HH68" t="e">
        <f>AND(Liste!#REF!,"AAAAADS/3Nc=")</f>
        <v>#REF!</v>
      </c>
      <c r="HI68" t="e">
        <f>AND(Liste!#REF!,"AAAAADS/3Ng=")</f>
        <v>#REF!</v>
      </c>
      <c r="HJ68" t="e">
        <f>AND(Liste!#REF!,"AAAAADS/3Nk=")</f>
        <v>#REF!</v>
      </c>
      <c r="HK68" t="e">
        <f>AND(Liste!#REF!,"AAAAADS/3No=")</f>
        <v>#REF!</v>
      </c>
      <c r="HL68" t="e">
        <f>AND(Liste!#REF!,"AAAAADS/3Ns=")</f>
        <v>#REF!</v>
      </c>
      <c r="HM68" t="e">
        <f>AND(Liste!#REF!,"AAAAADS/3Nw=")</f>
        <v>#REF!</v>
      </c>
      <c r="HN68" t="e">
        <f>AND(Liste!#REF!,"AAAAADS/3N0=")</f>
        <v>#REF!</v>
      </c>
      <c r="HO68" t="e">
        <f>AND(Liste!#REF!,"AAAAADS/3N4=")</f>
        <v>#REF!</v>
      </c>
      <c r="HP68" t="e">
        <f>AND(Liste!#REF!,"AAAAADS/3N8=")</f>
        <v>#REF!</v>
      </c>
      <c r="HQ68" t="e">
        <f>AND(Liste!#REF!,"AAAAADS/3OA=")</f>
        <v>#REF!</v>
      </c>
      <c r="HR68" t="e">
        <f>AND(Liste!#REF!,"AAAAADS/3OE=")</f>
        <v>#REF!</v>
      </c>
      <c r="HS68" t="e">
        <f>AND(Liste!#REF!,"AAAAADS/3OI=")</f>
        <v>#REF!</v>
      </c>
      <c r="HT68" t="e">
        <f>AND(Liste!#REF!,"AAAAADS/3OM=")</f>
        <v>#REF!</v>
      </c>
      <c r="HU68" t="e">
        <f>AND(Liste!#REF!,"AAAAADS/3OQ=")</f>
        <v>#REF!</v>
      </c>
      <c r="HV68" t="e">
        <f>AND(Liste!#REF!,"AAAAADS/3OU=")</f>
        <v>#REF!</v>
      </c>
      <c r="HW68" t="e">
        <f>AND(Liste!#REF!,"AAAAADS/3OY=")</f>
        <v>#REF!</v>
      </c>
      <c r="HX68" t="e">
        <f>AND(Liste!#REF!,"AAAAADS/3Oc=")</f>
        <v>#REF!</v>
      </c>
      <c r="HY68" t="e">
        <f>AND(Liste!#REF!,"AAAAADS/3Og=")</f>
        <v>#REF!</v>
      </c>
      <c r="HZ68" t="e">
        <f>AND(Liste!#REF!,"AAAAADS/3Ok=")</f>
        <v>#REF!</v>
      </c>
      <c r="IA68" t="e">
        <f>AND(Liste!#REF!,"AAAAADS/3Oo=")</f>
        <v>#REF!</v>
      </c>
      <c r="IB68" t="e">
        <f>AND(Liste!#REF!,"AAAAADS/3Os=")</f>
        <v>#REF!</v>
      </c>
      <c r="IC68" t="e">
        <f>AND(Liste!#REF!,"AAAAADS/3Ow=")</f>
        <v>#REF!</v>
      </c>
      <c r="ID68" t="e">
        <f>AND(Liste!#REF!,"AAAAADS/3O0=")</f>
        <v>#REF!</v>
      </c>
      <c r="IE68" t="e">
        <f>AND(Liste!#REF!,"AAAAADS/3O4=")</f>
        <v>#REF!</v>
      </c>
      <c r="IF68" t="e">
        <f>IF(Liste!#REF!,"AAAAADS/3O8=",0)</f>
        <v>#REF!</v>
      </c>
      <c r="IG68" t="e">
        <f>AND(Liste!#REF!,"AAAAADS/3PA=")</f>
        <v>#REF!</v>
      </c>
      <c r="IH68" t="e">
        <f>AND(Liste!#REF!,"AAAAADS/3PE=")</f>
        <v>#REF!</v>
      </c>
      <c r="II68" t="e">
        <f>AND(Liste!#REF!,"AAAAADS/3PI=")</f>
        <v>#REF!</v>
      </c>
      <c r="IJ68" t="e">
        <f>AND(Liste!#REF!,"AAAAADS/3PM=")</f>
        <v>#REF!</v>
      </c>
      <c r="IK68" t="e">
        <f>AND(Liste!#REF!,"AAAAADS/3PQ=")</f>
        <v>#REF!</v>
      </c>
      <c r="IL68" t="e">
        <f>AND(Liste!#REF!,"AAAAADS/3PU=")</f>
        <v>#REF!</v>
      </c>
      <c r="IM68" t="e">
        <f>AND(Liste!#REF!,"AAAAADS/3PY=")</f>
        <v>#REF!</v>
      </c>
      <c r="IN68" t="e">
        <f>AND(Liste!#REF!,"AAAAADS/3Pc=")</f>
        <v>#REF!</v>
      </c>
      <c r="IO68" t="e">
        <f>AND(Liste!#REF!,"AAAAADS/3Pg=")</f>
        <v>#REF!</v>
      </c>
      <c r="IP68" t="e">
        <f>AND(Liste!#REF!,"AAAAADS/3Pk=")</f>
        <v>#REF!</v>
      </c>
      <c r="IQ68" t="e">
        <f>AND(Liste!#REF!,"AAAAADS/3Po=")</f>
        <v>#REF!</v>
      </c>
      <c r="IR68" t="e">
        <f>AND(Liste!#REF!,"AAAAADS/3Ps=")</f>
        <v>#REF!</v>
      </c>
      <c r="IS68" t="e">
        <f>AND(Liste!#REF!,"AAAAADS/3Pw=")</f>
        <v>#REF!</v>
      </c>
      <c r="IT68" t="e">
        <f>AND(Liste!#REF!,"AAAAADS/3P0=")</f>
        <v>#REF!</v>
      </c>
      <c r="IU68" t="e">
        <f>AND(Liste!#REF!,"AAAAADS/3P4=")</f>
        <v>#REF!</v>
      </c>
      <c r="IV68" t="e">
        <f>AND(Liste!#REF!,"AAAAADS/3P8=")</f>
        <v>#REF!</v>
      </c>
    </row>
    <row r="69" spans="1:256" x14ac:dyDescent="0.2">
      <c r="A69" t="e">
        <f>AND(Liste!#REF!,"AAAAAG79+wA=")</f>
        <v>#REF!</v>
      </c>
      <c r="B69" t="e">
        <f>AND(Liste!#REF!,"AAAAAG79+wE=")</f>
        <v>#REF!</v>
      </c>
      <c r="C69" t="e">
        <f>AND(Liste!#REF!,"AAAAAG79+wI=")</f>
        <v>#REF!</v>
      </c>
      <c r="D69" t="e">
        <f>AND(Liste!#REF!,"AAAAAG79+wM=")</f>
        <v>#REF!</v>
      </c>
      <c r="E69" t="e">
        <f>AND(Liste!#REF!,"AAAAAG79+wQ=")</f>
        <v>#REF!</v>
      </c>
      <c r="F69" t="e">
        <f>AND(Liste!#REF!,"AAAAAG79+wU=")</f>
        <v>#REF!</v>
      </c>
      <c r="G69" t="e">
        <f>AND(Liste!#REF!,"AAAAAG79+wY=")</f>
        <v>#REF!</v>
      </c>
      <c r="H69" t="e">
        <f>AND(Liste!#REF!,"AAAAAG79+wc=")</f>
        <v>#REF!</v>
      </c>
      <c r="I69" t="e">
        <f>AND(Liste!#REF!,"AAAAAG79+wg=")</f>
        <v>#REF!</v>
      </c>
      <c r="J69" t="e">
        <f>AND(Liste!#REF!,"AAAAAG79+wk=")</f>
        <v>#REF!</v>
      </c>
      <c r="K69" t="e">
        <f>AND(Liste!#REF!,"AAAAAG79+wo=")</f>
        <v>#REF!</v>
      </c>
      <c r="L69" t="e">
        <f>AND(Liste!#REF!,"AAAAAG79+ws=")</f>
        <v>#REF!</v>
      </c>
      <c r="M69" t="e">
        <f>AND(Liste!#REF!,"AAAAAG79+ww=")</f>
        <v>#REF!</v>
      </c>
      <c r="N69" t="e">
        <f>AND(Liste!#REF!,"AAAAAG79+w0=")</f>
        <v>#REF!</v>
      </c>
      <c r="O69" t="e">
        <f>IF(Liste!#REF!,"AAAAAG79+w4=",0)</f>
        <v>#REF!</v>
      </c>
      <c r="P69" t="e">
        <f>AND(Liste!#REF!,"AAAAAG79+w8=")</f>
        <v>#REF!</v>
      </c>
      <c r="Q69" t="e">
        <f>AND(Liste!#REF!,"AAAAAG79+xA=")</f>
        <v>#REF!</v>
      </c>
      <c r="R69" t="e">
        <f>AND(Liste!#REF!,"AAAAAG79+xE=")</f>
        <v>#REF!</v>
      </c>
      <c r="S69" t="e">
        <f>AND(Liste!#REF!,"AAAAAG79+xI=")</f>
        <v>#REF!</v>
      </c>
      <c r="T69" t="e">
        <f>AND(Liste!#REF!,"AAAAAG79+xM=")</f>
        <v>#REF!</v>
      </c>
      <c r="U69" t="e">
        <f>AND(Liste!#REF!,"AAAAAG79+xQ=")</f>
        <v>#REF!</v>
      </c>
      <c r="V69" t="e">
        <f>AND(Liste!#REF!,"AAAAAG79+xU=")</f>
        <v>#REF!</v>
      </c>
      <c r="W69" t="e">
        <f>AND(Liste!#REF!,"AAAAAG79+xY=")</f>
        <v>#REF!</v>
      </c>
      <c r="X69" t="e">
        <f>AND(Liste!#REF!,"AAAAAG79+xc=")</f>
        <v>#REF!</v>
      </c>
      <c r="Y69" t="e">
        <f>AND(Liste!#REF!,"AAAAAG79+xg=")</f>
        <v>#REF!</v>
      </c>
      <c r="Z69" t="e">
        <f>AND(Liste!#REF!,"AAAAAG79+xk=")</f>
        <v>#REF!</v>
      </c>
      <c r="AA69" t="e">
        <f>AND(Liste!#REF!,"AAAAAG79+xo=")</f>
        <v>#REF!</v>
      </c>
      <c r="AB69" t="e">
        <f>AND(Liste!#REF!,"AAAAAG79+xs=")</f>
        <v>#REF!</v>
      </c>
      <c r="AC69" t="e">
        <f>AND(Liste!#REF!,"AAAAAG79+xw=")</f>
        <v>#REF!</v>
      </c>
      <c r="AD69" t="e">
        <f>AND(Liste!#REF!,"AAAAAG79+x0=")</f>
        <v>#REF!</v>
      </c>
      <c r="AE69" t="e">
        <f>AND(Liste!#REF!,"AAAAAG79+x4=")</f>
        <v>#REF!</v>
      </c>
      <c r="AF69" t="e">
        <f>AND(Liste!#REF!,"AAAAAG79+x8=")</f>
        <v>#REF!</v>
      </c>
      <c r="AG69" t="e">
        <f>AND(Liste!#REF!,"AAAAAG79+yA=")</f>
        <v>#REF!</v>
      </c>
      <c r="AH69" t="e">
        <f>AND(Liste!#REF!,"AAAAAG79+yE=")</f>
        <v>#REF!</v>
      </c>
      <c r="AI69" t="e">
        <f>AND(Liste!#REF!,"AAAAAG79+yI=")</f>
        <v>#REF!</v>
      </c>
      <c r="AJ69" t="e">
        <f>AND(Liste!#REF!,"AAAAAG79+yM=")</f>
        <v>#REF!</v>
      </c>
      <c r="AK69" t="e">
        <f>AND(Liste!#REF!,"AAAAAG79+yQ=")</f>
        <v>#REF!</v>
      </c>
      <c r="AL69" t="e">
        <f>AND(Liste!#REF!,"AAAAAG79+yU=")</f>
        <v>#REF!</v>
      </c>
      <c r="AM69" t="e">
        <f>AND(Liste!#REF!,"AAAAAG79+yY=")</f>
        <v>#REF!</v>
      </c>
      <c r="AN69" t="e">
        <f>AND(Liste!#REF!,"AAAAAG79+yc=")</f>
        <v>#REF!</v>
      </c>
      <c r="AO69" t="e">
        <f>AND(Liste!#REF!,"AAAAAG79+yg=")</f>
        <v>#REF!</v>
      </c>
      <c r="AP69" t="e">
        <f>AND(Liste!#REF!,"AAAAAG79+yk=")</f>
        <v>#REF!</v>
      </c>
      <c r="AQ69" t="e">
        <f>AND(Liste!#REF!,"AAAAAG79+yo=")</f>
        <v>#REF!</v>
      </c>
      <c r="AR69" t="e">
        <f>AND(Liste!#REF!,"AAAAAG79+ys=")</f>
        <v>#REF!</v>
      </c>
      <c r="AS69" t="e">
        <f>AND(Liste!#REF!,"AAAAAG79+yw=")</f>
        <v>#REF!</v>
      </c>
      <c r="AT69" t="e">
        <f>IF(Liste!#REF!,"AAAAAG79+y0=",0)</f>
        <v>#REF!</v>
      </c>
      <c r="AU69" t="e">
        <f>AND(Liste!#REF!,"AAAAAG79+y4=")</f>
        <v>#REF!</v>
      </c>
      <c r="AV69" t="e">
        <f>AND(Liste!#REF!,"AAAAAG79+y8=")</f>
        <v>#REF!</v>
      </c>
      <c r="AW69" t="e">
        <f>AND(Liste!#REF!,"AAAAAG79+zA=")</f>
        <v>#REF!</v>
      </c>
      <c r="AX69" t="e">
        <f>AND(Liste!#REF!,"AAAAAG79+zE=")</f>
        <v>#REF!</v>
      </c>
      <c r="AY69" t="e">
        <f>AND(Liste!#REF!,"AAAAAG79+zI=")</f>
        <v>#REF!</v>
      </c>
      <c r="AZ69" t="e">
        <f>AND(Liste!#REF!,"AAAAAG79+zM=")</f>
        <v>#REF!</v>
      </c>
      <c r="BA69" t="e">
        <f>AND(Liste!#REF!,"AAAAAG79+zQ=")</f>
        <v>#REF!</v>
      </c>
      <c r="BB69" t="e">
        <f>AND(Liste!#REF!,"AAAAAG79+zU=")</f>
        <v>#REF!</v>
      </c>
      <c r="BC69" t="e">
        <f>AND(Liste!#REF!,"AAAAAG79+zY=")</f>
        <v>#REF!</v>
      </c>
      <c r="BD69" t="e">
        <f>AND(Liste!#REF!,"AAAAAG79+zc=")</f>
        <v>#REF!</v>
      </c>
      <c r="BE69" t="e">
        <f>AND(Liste!#REF!,"AAAAAG79+zg=")</f>
        <v>#REF!</v>
      </c>
      <c r="BF69" t="e">
        <f>AND(Liste!#REF!,"AAAAAG79+zk=")</f>
        <v>#REF!</v>
      </c>
      <c r="BG69" t="e">
        <f>AND(Liste!#REF!,"AAAAAG79+zo=")</f>
        <v>#REF!</v>
      </c>
      <c r="BH69" t="e">
        <f>AND(Liste!#REF!,"AAAAAG79+zs=")</f>
        <v>#REF!</v>
      </c>
      <c r="BI69" t="e">
        <f>AND(Liste!#REF!,"AAAAAG79+zw=")</f>
        <v>#REF!</v>
      </c>
      <c r="BJ69" t="e">
        <f>AND(Liste!#REF!,"AAAAAG79+z0=")</f>
        <v>#REF!</v>
      </c>
      <c r="BK69" t="e">
        <f>AND(Liste!#REF!,"AAAAAG79+z4=")</f>
        <v>#REF!</v>
      </c>
      <c r="BL69" t="e">
        <f>AND(Liste!#REF!,"AAAAAG79+z8=")</f>
        <v>#REF!</v>
      </c>
      <c r="BM69" t="e">
        <f>AND(Liste!#REF!,"AAAAAG79+0A=")</f>
        <v>#REF!</v>
      </c>
      <c r="BN69" t="e">
        <f>AND(Liste!#REF!,"AAAAAG79+0E=")</f>
        <v>#REF!</v>
      </c>
      <c r="BO69" t="e">
        <f>AND(Liste!#REF!,"AAAAAG79+0I=")</f>
        <v>#REF!</v>
      </c>
      <c r="BP69" t="e">
        <f>AND(Liste!#REF!,"AAAAAG79+0M=")</f>
        <v>#REF!</v>
      </c>
      <c r="BQ69" t="e">
        <f>AND(Liste!#REF!,"AAAAAG79+0Q=")</f>
        <v>#REF!</v>
      </c>
      <c r="BR69" t="e">
        <f>AND(Liste!#REF!,"AAAAAG79+0U=")</f>
        <v>#REF!</v>
      </c>
      <c r="BS69" t="e">
        <f>AND(Liste!#REF!,"AAAAAG79+0Y=")</f>
        <v>#REF!</v>
      </c>
      <c r="BT69" t="e">
        <f>AND(Liste!#REF!,"AAAAAG79+0c=")</f>
        <v>#REF!</v>
      </c>
      <c r="BU69" t="e">
        <f>AND(Liste!#REF!,"AAAAAG79+0g=")</f>
        <v>#REF!</v>
      </c>
      <c r="BV69" t="e">
        <f>AND(Liste!#REF!,"AAAAAG79+0k=")</f>
        <v>#REF!</v>
      </c>
      <c r="BW69" t="e">
        <f>AND(Liste!#REF!,"AAAAAG79+0o=")</f>
        <v>#REF!</v>
      </c>
      <c r="BX69" t="e">
        <f>AND(Liste!#REF!,"AAAAAG79+0s=")</f>
        <v>#REF!</v>
      </c>
      <c r="BY69" t="e">
        <f>IF(Liste!#REF!,"AAAAAG79+0w=",0)</f>
        <v>#REF!</v>
      </c>
      <c r="BZ69" t="e">
        <f>AND(Liste!#REF!,"AAAAAG79+00=")</f>
        <v>#REF!</v>
      </c>
      <c r="CA69" t="e">
        <f>AND(Liste!#REF!,"AAAAAG79+04=")</f>
        <v>#REF!</v>
      </c>
      <c r="CB69" t="e">
        <f>AND(Liste!#REF!,"AAAAAG79+08=")</f>
        <v>#REF!</v>
      </c>
      <c r="CC69" t="e">
        <f>AND(Liste!#REF!,"AAAAAG79+1A=")</f>
        <v>#REF!</v>
      </c>
      <c r="CD69" t="e">
        <f>AND(Liste!#REF!,"AAAAAG79+1E=")</f>
        <v>#REF!</v>
      </c>
      <c r="CE69" t="e">
        <f>AND(Liste!#REF!,"AAAAAG79+1I=")</f>
        <v>#REF!</v>
      </c>
      <c r="CF69" t="e">
        <f>AND(Liste!#REF!,"AAAAAG79+1M=")</f>
        <v>#REF!</v>
      </c>
      <c r="CG69" t="e">
        <f>AND(Liste!#REF!,"AAAAAG79+1Q=")</f>
        <v>#REF!</v>
      </c>
      <c r="CH69" t="e">
        <f>AND(Liste!#REF!,"AAAAAG79+1U=")</f>
        <v>#REF!</v>
      </c>
      <c r="CI69" t="e">
        <f>AND(Liste!#REF!,"AAAAAG79+1Y=")</f>
        <v>#REF!</v>
      </c>
      <c r="CJ69" t="e">
        <f>AND(Liste!#REF!,"AAAAAG79+1c=")</f>
        <v>#REF!</v>
      </c>
      <c r="CK69" t="e">
        <f>AND(Liste!#REF!,"AAAAAG79+1g=")</f>
        <v>#REF!</v>
      </c>
      <c r="CL69" t="e">
        <f>AND(Liste!#REF!,"AAAAAG79+1k=")</f>
        <v>#REF!</v>
      </c>
      <c r="CM69" t="e">
        <f>AND(Liste!#REF!,"AAAAAG79+1o=")</f>
        <v>#REF!</v>
      </c>
      <c r="CN69" t="e">
        <f>AND(Liste!#REF!,"AAAAAG79+1s=")</f>
        <v>#REF!</v>
      </c>
      <c r="CO69" t="e">
        <f>AND(Liste!#REF!,"AAAAAG79+1w=")</f>
        <v>#REF!</v>
      </c>
      <c r="CP69" t="e">
        <f>AND(Liste!#REF!,"AAAAAG79+10=")</f>
        <v>#REF!</v>
      </c>
      <c r="CQ69" t="e">
        <f>AND(Liste!#REF!,"AAAAAG79+14=")</f>
        <v>#REF!</v>
      </c>
      <c r="CR69" t="e">
        <f>AND(Liste!#REF!,"AAAAAG79+18=")</f>
        <v>#REF!</v>
      </c>
      <c r="CS69" t="e">
        <f>AND(Liste!#REF!,"AAAAAG79+2A=")</f>
        <v>#REF!</v>
      </c>
      <c r="CT69" t="e">
        <f>AND(Liste!#REF!,"AAAAAG79+2E=")</f>
        <v>#REF!</v>
      </c>
      <c r="CU69" t="e">
        <f>AND(Liste!#REF!,"AAAAAG79+2I=")</f>
        <v>#REF!</v>
      </c>
      <c r="CV69" t="e">
        <f>AND(Liste!#REF!,"AAAAAG79+2M=")</f>
        <v>#REF!</v>
      </c>
      <c r="CW69" t="e">
        <f>AND(Liste!#REF!,"AAAAAG79+2Q=")</f>
        <v>#REF!</v>
      </c>
      <c r="CX69" t="e">
        <f>AND(Liste!#REF!,"AAAAAG79+2U=")</f>
        <v>#REF!</v>
      </c>
      <c r="CY69" t="e">
        <f>AND(Liste!#REF!,"AAAAAG79+2Y=")</f>
        <v>#REF!</v>
      </c>
      <c r="CZ69" t="e">
        <f>AND(Liste!#REF!,"AAAAAG79+2c=")</f>
        <v>#REF!</v>
      </c>
      <c r="DA69" t="e">
        <f>AND(Liste!#REF!,"AAAAAG79+2g=")</f>
        <v>#REF!</v>
      </c>
      <c r="DB69" t="e">
        <f>AND(Liste!#REF!,"AAAAAG79+2k=")</f>
        <v>#REF!</v>
      </c>
      <c r="DC69" t="e">
        <f>AND(Liste!#REF!,"AAAAAG79+2o=")</f>
        <v>#REF!</v>
      </c>
      <c r="DD69">
        <f>IF(Liste!491:491,"AAAAAG79+2s=",0)</f>
        <v>0</v>
      </c>
      <c r="DE69" t="e">
        <f>AND(Liste!A491,"AAAAAG79+2w=")</f>
        <v>#VALUE!</v>
      </c>
      <c r="DF69" t="e">
        <f>AND(Liste!#REF!,"AAAAAG79+20=")</f>
        <v>#REF!</v>
      </c>
      <c r="DG69" t="e">
        <f>AND(Liste!#REF!,"AAAAAG79+24=")</f>
        <v>#REF!</v>
      </c>
      <c r="DH69" t="e">
        <f>AND(Liste!#REF!,"AAAAAG79+28=")</f>
        <v>#REF!</v>
      </c>
      <c r="DI69" t="e">
        <f>AND(Liste!F491,"AAAAAG79+3A=")</f>
        <v>#VALUE!</v>
      </c>
      <c r="DJ69" t="e">
        <f>AND(Liste!G491,"AAAAAG79+3E=")</f>
        <v>#VALUE!</v>
      </c>
      <c r="DK69" t="e">
        <f>AND(Liste!H491,"AAAAAG79+3I=")</f>
        <v>#VALUE!</v>
      </c>
      <c r="DL69" t="e">
        <f>AND(Liste!I491,"AAAAAG79+3M=")</f>
        <v>#VALUE!</v>
      </c>
      <c r="DM69" t="e">
        <f>AND(Liste!J491,"AAAAAG79+3Q=")</f>
        <v>#VALUE!</v>
      </c>
      <c r="DN69" t="e">
        <f>AND(Liste!#REF!,"AAAAAG79+3U=")</f>
        <v>#REF!</v>
      </c>
      <c r="DO69" t="e">
        <f>AND(Liste!#REF!,"AAAAAG79+3Y=")</f>
        <v>#REF!</v>
      </c>
      <c r="DP69" t="e">
        <f>AND(Liste!#REF!,"AAAAAG79+3c=")</f>
        <v>#REF!</v>
      </c>
      <c r="DQ69" t="e">
        <f>AND(Liste!#REF!,"AAAAAG79+3g=")</f>
        <v>#REF!</v>
      </c>
      <c r="DR69" t="e">
        <f>AND(Liste!#REF!,"AAAAAG79+3k=")</f>
        <v>#REF!</v>
      </c>
      <c r="DS69" t="e">
        <f>AND(Liste!#REF!,"AAAAAG79+3o=")</f>
        <v>#REF!</v>
      </c>
      <c r="DT69" t="e">
        <f>AND(Liste!#REF!,"AAAAAG79+3s=")</f>
        <v>#REF!</v>
      </c>
      <c r="DU69" t="e">
        <f>AND(Liste!#REF!,"AAAAAG79+3w=")</f>
        <v>#REF!</v>
      </c>
      <c r="DV69" t="e">
        <f>AND(Liste!#REF!,"AAAAAG79+30=")</f>
        <v>#REF!</v>
      </c>
      <c r="DW69" t="e">
        <f>AND(Liste!#REF!,"AAAAAG79+34=")</f>
        <v>#REF!</v>
      </c>
      <c r="DX69" t="e">
        <f>AND(Liste!#REF!,"AAAAAG79+38=")</f>
        <v>#REF!</v>
      </c>
      <c r="DY69" t="e">
        <f>AND(Liste!#REF!,"AAAAAG79+4A=")</f>
        <v>#REF!</v>
      </c>
      <c r="DZ69" t="e">
        <f>AND(Liste!#REF!,"AAAAAG79+4E=")</f>
        <v>#REF!</v>
      </c>
      <c r="EA69" t="e">
        <f>AND(Liste!#REF!,"AAAAAG79+4I=")</f>
        <v>#REF!</v>
      </c>
      <c r="EB69" t="e">
        <f>AND(Liste!#REF!,"AAAAAG79+4M=")</f>
        <v>#REF!</v>
      </c>
      <c r="EC69" t="e">
        <f>AND(Liste!#REF!,"AAAAAG79+4Q=")</f>
        <v>#REF!</v>
      </c>
      <c r="ED69" t="e">
        <f>AND(Liste!#REF!,"AAAAAG79+4U=")</f>
        <v>#REF!</v>
      </c>
      <c r="EE69" t="e">
        <f>AND(Liste!#REF!,"AAAAAG79+4Y=")</f>
        <v>#REF!</v>
      </c>
      <c r="EF69" t="e">
        <f>AND(Liste!#REF!,"AAAAAG79+4c=")</f>
        <v>#REF!</v>
      </c>
      <c r="EG69" t="e">
        <f>AND(Liste!#REF!,"AAAAAG79+4g=")</f>
        <v>#REF!</v>
      </c>
      <c r="EH69" t="e">
        <f>AND(Liste!#REF!,"AAAAAG79+4k=")</f>
        <v>#REF!</v>
      </c>
      <c r="EI69">
        <f>IF(Liste!492:492,"AAAAAG79+4o=",0)</f>
        <v>0</v>
      </c>
      <c r="EJ69" t="e">
        <f>AND(Liste!A492,"AAAAAG79+4s=")</f>
        <v>#VALUE!</v>
      </c>
      <c r="EK69" t="e">
        <f>AND(Liste!#REF!,"AAAAAG79+4w=")</f>
        <v>#REF!</v>
      </c>
      <c r="EL69" t="e">
        <f>AND(Liste!#REF!,"AAAAAG79+40=")</f>
        <v>#REF!</v>
      </c>
      <c r="EM69" t="e">
        <f>AND(Liste!#REF!,"AAAAAG79+44=")</f>
        <v>#REF!</v>
      </c>
      <c r="EN69" t="e">
        <f>AND(Liste!F492,"AAAAAG79+48=")</f>
        <v>#VALUE!</v>
      </c>
      <c r="EO69" t="e">
        <f>AND(Liste!G492,"AAAAAG79+5A=")</f>
        <v>#VALUE!</v>
      </c>
      <c r="EP69" t="e">
        <f>AND(Liste!H492,"AAAAAG79+5E=")</f>
        <v>#VALUE!</v>
      </c>
      <c r="EQ69" t="e">
        <f>AND(Liste!I492,"AAAAAG79+5I=")</f>
        <v>#VALUE!</v>
      </c>
      <c r="ER69" t="e">
        <f>AND(Liste!J492,"AAAAAG79+5M=")</f>
        <v>#VALUE!</v>
      </c>
      <c r="ES69" t="e">
        <f>AND(Liste!#REF!,"AAAAAG79+5Q=")</f>
        <v>#REF!</v>
      </c>
      <c r="ET69" t="e">
        <f>AND(Liste!#REF!,"AAAAAG79+5U=")</f>
        <v>#REF!</v>
      </c>
      <c r="EU69" t="e">
        <f>AND(Liste!#REF!,"AAAAAG79+5Y=")</f>
        <v>#REF!</v>
      </c>
      <c r="EV69" t="e">
        <f>AND(Liste!#REF!,"AAAAAG79+5c=")</f>
        <v>#REF!</v>
      </c>
      <c r="EW69" t="e">
        <f>AND(Liste!#REF!,"AAAAAG79+5g=")</f>
        <v>#REF!</v>
      </c>
      <c r="EX69" t="e">
        <f>AND(Liste!#REF!,"AAAAAG79+5k=")</f>
        <v>#REF!</v>
      </c>
      <c r="EY69" t="e">
        <f>AND(Liste!#REF!,"AAAAAG79+5o=")</f>
        <v>#REF!</v>
      </c>
      <c r="EZ69" t="e">
        <f>AND(Liste!#REF!,"AAAAAG79+5s=")</f>
        <v>#REF!</v>
      </c>
      <c r="FA69" t="e">
        <f>AND(Liste!#REF!,"AAAAAG79+5w=")</f>
        <v>#REF!</v>
      </c>
      <c r="FB69" t="e">
        <f>AND(Liste!#REF!,"AAAAAG79+50=")</f>
        <v>#REF!</v>
      </c>
      <c r="FC69" t="e">
        <f>AND(Liste!#REF!,"AAAAAG79+54=")</f>
        <v>#REF!</v>
      </c>
      <c r="FD69" t="e">
        <f>AND(Liste!#REF!,"AAAAAG79+58=")</f>
        <v>#REF!</v>
      </c>
      <c r="FE69" t="e">
        <f>AND(Liste!#REF!,"AAAAAG79+6A=")</f>
        <v>#REF!</v>
      </c>
      <c r="FF69" t="e">
        <f>AND(Liste!#REF!,"AAAAAG79+6E=")</f>
        <v>#REF!</v>
      </c>
      <c r="FG69" t="e">
        <f>AND(Liste!#REF!,"AAAAAG79+6I=")</f>
        <v>#REF!</v>
      </c>
      <c r="FH69" t="e">
        <f>AND(Liste!#REF!,"AAAAAG79+6M=")</f>
        <v>#REF!</v>
      </c>
      <c r="FI69" t="e">
        <f>AND(Liste!#REF!,"AAAAAG79+6Q=")</f>
        <v>#REF!</v>
      </c>
      <c r="FJ69" t="e">
        <f>AND(Liste!#REF!,"AAAAAG79+6U=")</f>
        <v>#REF!</v>
      </c>
      <c r="FK69" t="e">
        <f>AND(Liste!#REF!,"AAAAAG79+6Y=")</f>
        <v>#REF!</v>
      </c>
      <c r="FL69" t="e">
        <f>AND(Liste!#REF!,"AAAAAG79+6c=")</f>
        <v>#REF!</v>
      </c>
      <c r="FM69" t="e">
        <f>AND(Liste!#REF!,"AAAAAG79+6g=")</f>
        <v>#REF!</v>
      </c>
      <c r="FN69">
        <f>IF(Liste!493:493,"AAAAAG79+6k=",0)</f>
        <v>0</v>
      </c>
      <c r="FO69" t="b">
        <f>AND(Liste!A493,"AAAAAG79+6o=")</f>
        <v>1</v>
      </c>
      <c r="FP69" t="e">
        <f>AND(Liste!#REF!,"AAAAAG79+6s=")</f>
        <v>#REF!</v>
      </c>
      <c r="FQ69" t="e">
        <f>AND(Liste!#REF!,"AAAAAG79+6w=")</f>
        <v>#REF!</v>
      </c>
      <c r="FR69" t="e">
        <f>AND(Liste!#REF!,"AAAAAG79+60=")</f>
        <v>#REF!</v>
      </c>
      <c r="FS69" t="e">
        <f>AND(Liste!F493,"AAAAAG79+64=")</f>
        <v>#VALUE!</v>
      </c>
      <c r="FT69" t="e">
        <f>AND(Liste!G493,"AAAAAG79+68=")</f>
        <v>#VALUE!</v>
      </c>
      <c r="FU69" t="e">
        <f>AND(Liste!H493,"AAAAAG79+7A=")</f>
        <v>#VALUE!</v>
      </c>
      <c r="FV69" t="e">
        <f>AND(Liste!I493,"AAAAAG79+7E=")</f>
        <v>#VALUE!</v>
      </c>
      <c r="FW69" t="e">
        <f>AND(Liste!J493,"AAAAAG79+7I=")</f>
        <v>#VALUE!</v>
      </c>
      <c r="FX69" t="e">
        <f>AND(Liste!#REF!,"AAAAAG79+7M=")</f>
        <v>#REF!</v>
      </c>
      <c r="FY69" t="e">
        <f>AND(Liste!#REF!,"AAAAAG79+7Q=")</f>
        <v>#REF!</v>
      </c>
      <c r="FZ69" t="e">
        <f>AND(Liste!#REF!,"AAAAAG79+7U=")</f>
        <v>#REF!</v>
      </c>
      <c r="GA69" t="e">
        <f>AND(Liste!#REF!,"AAAAAG79+7Y=")</f>
        <v>#REF!</v>
      </c>
      <c r="GB69" t="e">
        <f>AND(Liste!#REF!,"AAAAAG79+7c=")</f>
        <v>#REF!</v>
      </c>
      <c r="GC69" t="e">
        <f>AND(Liste!#REF!,"AAAAAG79+7g=")</f>
        <v>#REF!</v>
      </c>
      <c r="GD69" t="e">
        <f>AND(Liste!#REF!,"AAAAAG79+7k=")</f>
        <v>#REF!</v>
      </c>
      <c r="GE69" t="e">
        <f>AND(Liste!#REF!,"AAAAAG79+7o=")</f>
        <v>#REF!</v>
      </c>
      <c r="GF69" t="e">
        <f>AND(Liste!#REF!,"AAAAAG79+7s=")</f>
        <v>#REF!</v>
      </c>
      <c r="GG69" t="e">
        <f>AND(Liste!#REF!,"AAAAAG79+7w=")</f>
        <v>#REF!</v>
      </c>
      <c r="GH69" t="e">
        <f>AND(Liste!#REF!,"AAAAAG79+70=")</f>
        <v>#REF!</v>
      </c>
      <c r="GI69" t="e">
        <f>AND(Liste!#REF!,"AAAAAG79+74=")</f>
        <v>#REF!</v>
      </c>
      <c r="GJ69" t="e">
        <f>AND(Liste!#REF!,"AAAAAG79+78=")</f>
        <v>#REF!</v>
      </c>
      <c r="GK69" t="e">
        <f>AND(Liste!#REF!,"AAAAAG79+8A=")</f>
        <v>#REF!</v>
      </c>
      <c r="GL69" t="e">
        <f>AND(Liste!#REF!,"AAAAAG79+8E=")</f>
        <v>#REF!</v>
      </c>
      <c r="GM69" t="e">
        <f>AND(Liste!#REF!,"AAAAAG79+8I=")</f>
        <v>#REF!</v>
      </c>
      <c r="GN69" t="e">
        <f>AND(Liste!#REF!,"AAAAAG79+8M=")</f>
        <v>#REF!</v>
      </c>
      <c r="GO69" t="e">
        <f>AND(Liste!#REF!,"AAAAAG79+8Q=")</f>
        <v>#REF!</v>
      </c>
      <c r="GP69" t="e">
        <f>AND(Liste!#REF!,"AAAAAG79+8U=")</f>
        <v>#REF!</v>
      </c>
      <c r="GQ69" t="e">
        <f>AND(Liste!#REF!,"AAAAAG79+8Y=")</f>
        <v>#REF!</v>
      </c>
      <c r="GR69" t="e">
        <f>AND(Liste!#REF!,"AAAAAG79+8c=")</f>
        <v>#REF!</v>
      </c>
      <c r="GS69" t="e">
        <f>IF(Liste!#REF!,"AAAAAG79+8g=",0)</f>
        <v>#REF!</v>
      </c>
      <c r="GT69" t="e">
        <f>AND(Liste!#REF!,"AAAAAG79+8k=")</f>
        <v>#REF!</v>
      </c>
      <c r="GU69" t="e">
        <f>AND(Liste!#REF!,"AAAAAG79+8o=")</f>
        <v>#REF!</v>
      </c>
      <c r="GV69" t="e">
        <f>AND(Liste!#REF!,"AAAAAG79+8s=")</f>
        <v>#REF!</v>
      </c>
      <c r="GW69" t="e">
        <f>AND(Liste!#REF!,"AAAAAG79+8w=")</f>
        <v>#REF!</v>
      </c>
      <c r="GX69" t="e">
        <f>AND(Liste!#REF!,"AAAAAG79+80=")</f>
        <v>#REF!</v>
      </c>
      <c r="GY69" t="e">
        <f>AND(Liste!#REF!,"AAAAAG79+84=")</f>
        <v>#REF!</v>
      </c>
      <c r="GZ69" t="e">
        <f>AND(Liste!#REF!,"AAAAAG79+88=")</f>
        <v>#REF!</v>
      </c>
      <c r="HA69" t="e">
        <f>AND(Liste!#REF!,"AAAAAG79+9A=")</f>
        <v>#REF!</v>
      </c>
      <c r="HB69" t="e">
        <f>AND(Liste!#REF!,"AAAAAG79+9E=")</f>
        <v>#REF!</v>
      </c>
      <c r="HC69" t="e">
        <f>AND(Liste!#REF!,"AAAAAG79+9I=")</f>
        <v>#REF!</v>
      </c>
      <c r="HD69" t="e">
        <f>AND(Liste!#REF!,"AAAAAG79+9M=")</f>
        <v>#REF!</v>
      </c>
      <c r="HE69" t="e">
        <f>AND(Liste!#REF!,"AAAAAG79+9Q=")</f>
        <v>#REF!</v>
      </c>
      <c r="HF69" t="e">
        <f>AND(Liste!#REF!,"AAAAAG79+9U=")</f>
        <v>#REF!</v>
      </c>
      <c r="HG69" t="e">
        <f>AND(Liste!#REF!,"AAAAAG79+9Y=")</f>
        <v>#REF!</v>
      </c>
      <c r="HH69" t="e">
        <f>AND(Liste!#REF!,"AAAAAG79+9c=")</f>
        <v>#REF!</v>
      </c>
      <c r="HI69" t="e">
        <f>AND(Liste!#REF!,"AAAAAG79+9g=")</f>
        <v>#REF!</v>
      </c>
      <c r="HJ69" t="e">
        <f>AND(Liste!#REF!,"AAAAAG79+9k=")</f>
        <v>#REF!</v>
      </c>
      <c r="HK69" t="e">
        <f>AND(Liste!#REF!,"AAAAAG79+9o=")</f>
        <v>#REF!</v>
      </c>
      <c r="HL69" t="e">
        <f>AND(Liste!#REF!,"AAAAAG79+9s=")</f>
        <v>#REF!</v>
      </c>
      <c r="HM69" t="e">
        <f>AND(Liste!#REF!,"AAAAAG79+9w=")</f>
        <v>#REF!</v>
      </c>
      <c r="HN69" t="e">
        <f>AND(Liste!#REF!,"AAAAAG79+90=")</f>
        <v>#REF!</v>
      </c>
      <c r="HO69" t="e">
        <f>AND(Liste!#REF!,"AAAAAG79+94=")</f>
        <v>#REF!</v>
      </c>
      <c r="HP69" t="e">
        <f>AND(Liste!#REF!,"AAAAAG79+98=")</f>
        <v>#REF!</v>
      </c>
      <c r="HQ69" t="e">
        <f>AND(Liste!#REF!,"AAAAAG79++A=")</f>
        <v>#REF!</v>
      </c>
      <c r="HR69" t="e">
        <f>AND(Liste!#REF!,"AAAAAG79++E=")</f>
        <v>#REF!</v>
      </c>
      <c r="HS69" t="e">
        <f>AND(Liste!#REF!,"AAAAAG79++I=")</f>
        <v>#REF!</v>
      </c>
      <c r="HT69" t="e">
        <f>AND(Liste!#REF!,"AAAAAG79++M=")</f>
        <v>#REF!</v>
      </c>
      <c r="HU69" t="e">
        <f>AND(Liste!#REF!,"AAAAAG79++Q=")</f>
        <v>#REF!</v>
      </c>
      <c r="HV69" t="e">
        <f>AND(Liste!#REF!,"AAAAAG79++U=")</f>
        <v>#REF!</v>
      </c>
      <c r="HW69" t="e">
        <f>AND(Liste!#REF!,"AAAAAG79++Y=")</f>
        <v>#REF!</v>
      </c>
      <c r="HX69">
        <f>IF(Liste!494:494,"AAAAAG79++c=",0)</f>
        <v>0</v>
      </c>
      <c r="HY69" t="b">
        <f>AND(Liste!A494,"AAAAAG79++g=")</f>
        <v>1</v>
      </c>
      <c r="HZ69" t="e">
        <f>AND(Liste!#REF!,"AAAAAG79++k=")</f>
        <v>#REF!</v>
      </c>
      <c r="IA69" t="e">
        <f>AND(Liste!#REF!,"AAAAAG79++o=")</f>
        <v>#REF!</v>
      </c>
      <c r="IB69" t="e">
        <f>AND(Liste!#REF!,"AAAAAG79++s=")</f>
        <v>#REF!</v>
      </c>
      <c r="IC69" t="e">
        <f>AND(Liste!F494,"AAAAAG79++w=")</f>
        <v>#VALUE!</v>
      </c>
      <c r="ID69" t="e">
        <f>AND(Liste!G494,"AAAAAG79++0=")</f>
        <v>#VALUE!</v>
      </c>
      <c r="IE69" t="e">
        <f>AND(Liste!H494,"AAAAAG79++4=")</f>
        <v>#VALUE!</v>
      </c>
      <c r="IF69" t="e">
        <f>AND(Liste!I494,"AAAAAG79++8=")</f>
        <v>#VALUE!</v>
      </c>
      <c r="IG69" t="e">
        <f>AND(Liste!J494,"AAAAAG79+/A=")</f>
        <v>#VALUE!</v>
      </c>
      <c r="IH69" t="e">
        <f>AND(Liste!#REF!,"AAAAAG79+/E=")</f>
        <v>#REF!</v>
      </c>
      <c r="II69" t="e">
        <f>AND(Liste!#REF!,"AAAAAG79+/I=")</f>
        <v>#REF!</v>
      </c>
      <c r="IJ69" t="e">
        <f>AND(Liste!#REF!,"AAAAAG79+/M=")</f>
        <v>#REF!</v>
      </c>
      <c r="IK69" t="e">
        <f>AND(Liste!#REF!,"AAAAAG79+/Q=")</f>
        <v>#REF!</v>
      </c>
      <c r="IL69" t="e">
        <f>AND(Liste!#REF!,"AAAAAG79+/U=")</f>
        <v>#REF!</v>
      </c>
      <c r="IM69" t="e">
        <f>AND(Liste!#REF!,"AAAAAG79+/Y=")</f>
        <v>#REF!</v>
      </c>
      <c r="IN69" t="e">
        <f>AND(Liste!#REF!,"AAAAAG79+/c=")</f>
        <v>#REF!</v>
      </c>
      <c r="IO69" t="e">
        <f>AND(Liste!#REF!,"AAAAAG79+/g=")</f>
        <v>#REF!</v>
      </c>
      <c r="IP69" t="e">
        <f>AND(Liste!#REF!,"AAAAAG79+/k=")</f>
        <v>#REF!</v>
      </c>
      <c r="IQ69" t="e">
        <f>AND(Liste!#REF!,"AAAAAG79+/o=")</f>
        <v>#REF!</v>
      </c>
      <c r="IR69" t="e">
        <f>AND(Liste!#REF!,"AAAAAG79+/s=")</f>
        <v>#REF!</v>
      </c>
      <c r="IS69" t="e">
        <f>AND(Liste!#REF!,"AAAAAG79+/w=")</f>
        <v>#REF!</v>
      </c>
      <c r="IT69" t="e">
        <f>AND(Liste!#REF!,"AAAAAG79+/0=")</f>
        <v>#REF!</v>
      </c>
      <c r="IU69" t="e">
        <f>AND(Liste!#REF!,"AAAAAG79+/4=")</f>
        <v>#REF!</v>
      </c>
      <c r="IV69" t="e">
        <f>AND(Liste!#REF!,"AAAAAG79+/8=")</f>
        <v>#REF!</v>
      </c>
    </row>
    <row r="70" spans="1:256" x14ac:dyDescent="0.2">
      <c r="A70" t="e">
        <f>AND(Liste!#REF!,"AAAAAD56mgA=")</f>
        <v>#REF!</v>
      </c>
      <c r="B70" t="e">
        <f>AND(Liste!#REF!,"AAAAAD56mgE=")</f>
        <v>#REF!</v>
      </c>
      <c r="C70" t="e">
        <f>AND(Liste!#REF!,"AAAAAD56mgI=")</f>
        <v>#REF!</v>
      </c>
      <c r="D70" t="e">
        <f>AND(Liste!#REF!,"AAAAAD56mgM=")</f>
        <v>#REF!</v>
      </c>
      <c r="E70" t="e">
        <f>AND(Liste!#REF!,"AAAAAD56mgQ=")</f>
        <v>#REF!</v>
      </c>
      <c r="F70" t="e">
        <f>AND(Liste!#REF!,"AAAAAD56mgU=")</f>
        <v>#REF!</v>
      </c>
      <c r="G70">
        <f>IF(Liste!495:495,"AAAAAD56mgY=",0)</f>
        <v>0</v>
      </c>
      <c r="H70" t="b">
        <f>AND(Liste!A495,"AAAAAD56mgc=")</f>
        <v>1</v>
      </c>
      <c r="I70" t="e">
        <f>AND(Liste!#REF!,"AAAAAD56mgg=")</f>
        <v>#REF!</v>
      </c>
      <c r="J70" t="e">
        <f>AND(Liste!#REF!,"AAAAAD56mgk=")</f>
        <v>#REF!</v>
      </c>
      <c r="K70" t="e">
        <f>AND(Liste!#REF!,"AAAAAD56mgo=")</f>
        <v>#REF!</v>
      </c>
      <c r="L70" t="e">
        <f>AND(Liste!F495,"AAAAAD56mgs=")</f>
        <v>#VALUE!</v>
      </c>
      <c r="M70" t="e">
        <f>AND(Liste!G495,"AAAAAD56mgw=")</f>
        <v>#VALUE!</v>
      </c>
      <c r="N70" t="e">
        <f>AND(Liste!H495,"AAAAAD56mg0=")</f>
        <v>#VALUE!</v>
      </c>
      <c r="O70" t="e">
        <f>AND(Liste!I495,"AAAAAD56mg4=")</f>
        <v>#VALUE!</v>
      </c>
      <c r="P70" t="e">
        <f>AND(Liste!J495,"AAAAAD56mg8=")</f>
        <v>#VALUE!</v>
      </c>
      <c r="Q70" t="e">
        <f>AND(Liste!#REF!,"AAAAAD56mhA=")</f>
        <v>#REF!</v>
      </c>
      <c r="R70" t="e">
        <f>AND(Liste!#REF!,"AAAAAD56mhE=")</f>
        <v>#REF!</v>
      </c>
      <c r="S70" t="e">
        <f>AND(Liste!#REF!,"AAAAAD56mhI=")</f>
        <v>#REF!</v>
      </c>
      <c r="T70" t="e">
        <f>AND(Liste!#REF!,"AAAAAD56mhM=")</f>
        <v>#REF!</v>
      </c>
      <c r="U70" t="e">
        <f>AND(Liste!#REF!,"AAAAAD56mhQ=")</f>
        <v>#REF!</v>
      </c>
      <c r="V70" t="e">
        <f>AND(Liste!#REF!,"AAAAAD56mhU=")</f>
        <v>#REF!</v>
      </c>
      <c r="W70" t="e">
        <f>AND(Liste!#REF!,"AAAAAD56mhY=")</f>
        <v>#REF!</v>
      </c>
      <c r="X70" t="e">
        <f>AND(Liste!#REF!,"AAAAAD56mhc=")</f>
        <v>#REF!</v>
      </c>
      <c r="Y70" t="e">
        <f>AND(Liste!#REF!,"AAAAAD56mhg=")</f>
        <v>#REF!</v>
      </c>
      <c r="Z70" t="e">
        <f>AND(Liste!#REF!,"AAAAAD56mhk=")</f>
        <v>#REF!</v>
      </c>
      <c r="AA70" t="e">
        <f>AND(Liste!#REF!,"AAAAAD56mho=")</f>
        <v>#REF!</v>
      </c>
      <c r="AB70" t="e">
        <f>AND(Liste!#REF!,"AAAAAD56mhs=")</f>
        <v>#REF!</v>
      </c>
      <c r="AC70" t="e">
        <f>AND(Liste!#REF!,"AAAAAD56mhw=")</f>
        <v>#REF!</v>
      </c>
      <c r="AD70" t="e">
        <f>AND(Liste!#REF!,"AAAAAD56mh0=")</f>
        <v>#REF!</v>
      </c>
      <c r="AE70" t="e">
        <f>AND(Liste!#REF!,"AAAAAD56mh4=")</f>
        <v>#REF!</v>
      </c>
      <c r="AF70" t="e">
        <f>AND(Liste!#REF!,"AAAAAD56mh8=")</f>
        <v>#REF!</v>
      </c>
      <c r="AG70" t="e">
        <f>AND(Liste!#REF!,"AAAAAD56miA=")</f>
        <v>#REF!</v>
      </c>
      <c r="AH70" t="e">
        <f>AND(Liste!#REF!,"AAAAAD56miE=")</f>
        <v>#REF!</v>
      </c>
      <c r="AI70" t="e">
        <f>AND(Liste!#REF!,"AAAAAD56miI=")</f>
        <v>#REF!</v>
      </c>
      <c r="AJ70" t="e">
        <f>AND(Liste!#REF!,"AAAAAD56miM=")</f>
        <v>#REF!</v>
      </c>
      <c r="AK70" t="e">
        <f>AND(Liste!#REF!,"AAAAAD56miQ=")</f>
        <v>#REF!</v>
      </c>
      <c r="AL70">
        <f>IF(Liste!496:496,"AAAAAD56miU=",0)</f>
        <v>0</v>
      </c>
      <c r="AM70" t="b">
        <f>AND(Liste!A496,"AAAAAD56miY=")</f>
        <v>1</v>
      </c>
      <c r="AN70" t="e">
        <f>AND(Liste!#REF!,"AAAAAD56mic=")</f>
        <v>#REF!</v>
      </c>
      <c r="AO70" t="e">
        <f>AND(Liste!#REF!,"AAAAAD56mig=")</f>
        <v>#REF!</v>
      </c>
      <c r="AP70" t="e">
        <f>AND(Liste!#REF!,"AAAAAD56mik=")</f>
        <v>#REF!</v>
      </c>
      <c r="AQ70" t="e">
        <f>AND(Liste!F496,"AAAAAD56mio=")</f>
        <v>#VALUE!</v>
      </c>
      <c r="AR70" t="e">
        <f>AND(Liste!G496,"AAAAAD56mis=")</f>
        <v>#VALUE!</v>
      </c>
      <c r="AS70" t="e">
        <f>AND(Liste!H496,"AAAAAD56miw=")</f>
        <v>#VALUE!</v>
      </c>
      <c r="AT70" t="e">
        <f>AND(Liste!I496,"AAAAAD56mi0=")</f>
        <v>#VALUE!</v>
      </c>
      <c r="AU70" t="e">
        <f>AND(Liste!J496,"AAAAAD56mi4=")</f>
        <v>#VALUE!</v>
      </c>
      <c r="AV70" t="e">
        <f>AND(Liste!#REF!,"AAAAAD56mi8=")</f>
        <v>#REF!</v>
      </c>
      <c r="AW70" t="e">
        <f>AND(Liste!#REF!,"AAAAAD56mjA=")</f>
        <v>#REF!</v>
      </c>
      <c r="AX70" t="e">
        <f>AND(Liste!#REF!,"AAAAAD56mjE=")</f>
        <v>#REF!</v>
      </c>
      <c r="AY70" t="e">
        <f>AND(Liste!#REF!,"AAAAAD56mjI=")</f>
        <v>#REF!</v>
      </c>
      <c r="AZ70" t="e">
        <f>AND(Liste!#REF!,"AAAAAD56mjM=")</f>
        <v>#REF!</v>
      </c>
      <c r="BA70" t="e">
        <f>AND(Liste!#REF!,"AAAAAD56mjQ=")</f>
        <v>#REF!</v>
      </c>
      <c r="BB70" t="e">
        <f>AND(Liste!#REF!,"AAAAAD56mjU=")</f>
        <v>#REF!</v>
      </c>
      <c r="BC70" t="e">
        <f>AND(Liste!#REF!,"AAAAAD56mjY=")</f>
        <v>#REF!</v>
      </c>
      <c r="BD70" t="e">
        <f>AND(Liste!#REF!,"AAAAAD56mjc=")</f>
        <v>#REF!</v>
      </c>
      <c r="BE70" t="e">
        <f>AND(Liste!#REF!,"AAAAAD56mjg=")</f>
        <v>#REF!</v>
      </c>
      <c r="BF70" t="e">
        <f>AND(Liste!#REF!,"AAAAAD56mjk=")</f>
        <v>#REF!</v>
      </c>
      <c r="BG70" t="e">
        <f>AND(Liste!#REF!,"AAAAAD56mjo=")</f>
        <v>#REF!</v>
      </c>
      <c r="BH70" t="e">
        <f>AND(Liste!#REF!,"AAAAAD56mjs=")</f>
        <v>#REF!</v>
      </c>
      <c r="BI70" t="e">
        <f>AND(Liste!#REF!,"AAAAAD56mjw=")</f>
        <v>#REF!</v>
      </c>
      <c r="BJ70" t="e">
        <f>AND(Liste!#REF!,"AAAAAD56mj0=")</f>
        <v>#REF!</v>
      </c>
      <c r="BK70" t="e">
        <f>AND(Liste!#REF!,"AAAAAD56mj4=")</f>
        <v>#REF!</v>
      </c>
      <c r="BL70" t="e">
        <f>AND(Liste!#REF!,"AAAAAD56mj8=")</f>
        <v>#REF!</v>
      </c>
      <c r="BM70" t="e">
        <f>AND(Liste!#REF!,"AAAAAD56mkA=")</f>
        <v>#REF!</v>
      </c>
      <c r="BN70" t="e">
        <f>AND(Liste!#REF!,"AAAAAD56mkE=")</f>
        <v>#REF!</v>
      </c>
      <c r="BO70" t="e">
        <f>AND(Liste!#REF!,"AAAAAD56mkI=")</f>
        <v>#REF!</v>
      </c>
      <c r="BP70" t="e">
        <f>AND(Liste!#REF!,"AAAAAD56mkM=")</f>
        <v>#REF!</v>
      </c>
      <c r="BQ70">
        <f>IF(Liste!497:497,"AAAAAD56mkQ=",0)</f>
        <v>0</v>
      </c>
      <c r="BR70" t="b">
        <f>AND(Liste!A497,"AAAAAD56mkU=")</f>
        <v>1</v>
      </c>
      <c r="BS70" t="e">
        <f>AND(Liste!#REF!,"AAAAAD56mkY=")</f>
        <v>#REF!</v>
      </c>
      <c r="BT70" t="e">
        <f>AND(Liste!#REF!,"AAAAAD56mkc=")</f>
        <v>#REF!</v>
      </c>
      <c r="BU70" t="e">
        <f>AND(Liste!#REF!,"AAAAAD56mkg=")</f>
        <v>#REF!</v>
      </c>
      <c r="BV70" t="e">
        <f>AND(Liste!F497,"AAAAAD56mkk=")</f>
        <v>#VALUE!</v>
      </c>
      <c r="BW70" t="e">
        <f>AND(Liste!G497,"AAAAAD56mko=")</f>
        <v>#VALUE!</v>
      </c>
      <c r="BX70" t="e">
        <f>AND(Liste!H497,"AAAAAD56mks=")</f>
        <v>#VALUE!</v>
      </c>
      <c r="BY70" t="e">
        <f>AND(Liste!I497,"AAAAAD56mkw=")</f>
        <v>#VALUE!</v>
      </c>
      <c r="BZ70" t="e">
        <f>AND(Liste!J497,"AAAAAD56mk0=")</f>
        <v>#VALUE!</v>
      </c>
      <c r="CA70" t="e">
        <f>AND(Liste!#REF!,"AAAAAD56mk4=")</f>
        <v>#REF!</v>
      </c>
      <c r="CB70" t="e">
        <f>AND(Liste!#REF!,"AAAAAD56mk8=")</f>
        <v>#REF!</v>
      </c>
      <c r="CC70" t="e">
        <f>AND(Liste!#REF!,"AAAAAD56mlA=")</f>
        <v>#REF!</v>
      </c>
      <c r="CD70" t="e">
        <f>AND(Liste!#REF!,"AAAAAD56mlE=")</f>
        <v>#REF!</v>
      </c>
      <c r="CE70" t="e">
        <f>AND(Liste!#REF!,"AAAAAD56mlI=")</f>
        <v>#REF!</v>
      </c>
      <c r="CF70" t="e">
        <f>AND(Liste!#REF!,"AAAAAD56mlM=")</f>
        <v>#REF!</v>
      </c>
      <c r="CG70" t="e">
        <f>AND(Liste!#REF!,"AAAAAD56mlQ=")</f>
        <v>#REF!</v>
      </c>
      <c r="CH70" t="e">
        <f>AND(Liste!#REF!,"AAAAAD56mlU=")</f>
        <v>#REF!</v>
      </c>
      <c r="CI70" t="e">
        <f>AND(Liste!#REF!,"AAAAAD56mlY=")</f>
        <v>#REF!</v>
      </c>
      <c r="CJ70" t="e">
        <f>AND(Liste!#REF!,"AAAAAD56mlc=")</f>
        <v>#REF!</v>
      </c>
      <c r="CK70" t="e">
        <f>AND(Liste!#REF!,"AAAAAD56mlg=")</f>
        <v>#REF!</v>
      </c>
      <c r="CL70" t="e">
        <f>AND(Liste!#REF!,"AAAAAD56mlk=")</f>
        <v>#REF!</v>
      </c>
      <c r="CM70" t="e">
        <f>AND(Liste!#REF!,"AAAAAD56mlo=")</f>
        <v>#REF!</v>
      </c>
      <c r="CN70" t="e">
        <f>AND(Liste!#REF!,"AAAAAD56mls=")</f>
        <v>#REF!</v>
      </c>
      <c r="CO70" t="e">
        <f>AND(Liste!#REF!,"AAAAAD56mlw=")</f>
        <v>#REF!</v>
      </c>
      <c r="CP70" t="e">
        <f>AND(Liste!#REF!,"AAAAAD56ml0=")</f>
        <v>#REF!</v>
      </c>
      <c r="CQ70" t="e">
        <f>AND(Liste!#REF!,"AAAAAD56ml4=")</f>
        <v>#REF!</v>
      </c>
      <c r="CR70" t="e">
        <f>AND(Liste!#REF!,"AAAAAD56ml8=")</f>
        <v>#REF!</v>
      </c>
      <c r="CS70" t="e">
        <f>AND(Liste!#REF!,"AAAAAD56mmA=")</f>
        <v>#REF!</v>
      </c>
      <c r="CT70" t="e">
        <f>AND(Liste!#REF!,"AAAAAD56mmE=")</f>
        <v>#REF!</v>
      </c>
      <c r="CU70" t="e">
        <f>AND(Liste!#REF!,"AAAAAD56mmI=")</f>
        <v>#REF!</v>
      </c>
      <c r="CV70">
        <f>IF(Liste!498:498,"AAAAAD56mmM=",0)</f>
        <v>0</v>
      </c>
      <c r="CW70" t="b">
        <f>AND(Liste!A498,"AAAAAD56mmQ=")</f>
        <v>1</v>
      </c>
      <c r="CX70" t="e">
        <f>AND(Liste!#REF!,"AAAAAD56mmU=")</f>
        <v>#REF!</v>
      </c>
      <c r="CY70" t="e">
        <f>AND(Liste!#REF!,"AAAAAD56mmY=")</f>
        <v>#REF!</v>
      </c>
      <c r="CZ70" t="e">
        <f>AND(Liste!#REF!,"AAAAAD56mmc=")</f>
        <v>#REF!</v>
      </c>
      <c r="DA70" t="e">
        <f>AND(Liste!F498,"AAAAAD56mmg=")</f>
        <v>#VALUE!</v>
      </c>
      <c r="DB70" t="e">
        <f>AND(Liste!G498,"AAAAAD56mmk=")</f>
        <v>#VALUE!</v>
      </c>
      <c r="DC70" t="e">
        <f>AND(Liste!H498,"AAAAAD56mmo=")</f>
        <v>#VALUE!</v>
      </c>
      <c r="DD70" t="e">
        <f>AND(Liste!I498,"AAAAAD56mms=")</f>
        <v>#VALUE!</v>
      </c>
      <c r="DE70" t="e">
        <f>AND(Liste!J498,"AAAAAD56mmw=")</f>
        <v>#VALUE!</v>
      </c>
      <c r="DF70" t="e">
        <f>AND(Liste!#REF!,"AAAAAD56mm0=")</f>
        <v>#REF!</v>
      </c>
      <c r="DG70" t="e">
        <f>AND(Liste!#REF!,"AAAAAD56mm4=")</f>
        <v>#REF!</v>
      </c>
      <c r="DH70" t="e">
        <f>AND(Liste!#REF!,"AAAAAD56mm8=")</f>
        <v>#REF!</v>
      </c>
      <c r="DI70" t="e">
        <f>AND(Liste!#REF!,"AAAAAD56mnA=")</f>
        <v>#REF!</v>
      </c>
      <c r="DJ70" t="e">
        <f>AND(Liste!#REF!,"AAAAAD56mnE=")</f>
        <v>#REF!</v>
      </c>
      <c r="DK70" t="e">
        <f>AND(Liste!#REF!,"AAAAAD56mnI=")</f>
        <v>#REF!</v>
      </c>
      <c r="DL70" t="e">
        <f>AND(Liste!#REF!,"AAAAAD56mnM=")</f>
        <v>#REF!</v>
      </c>
      <c r="DM70" t="e">
        <f>AND(Liste!#REF!,"AAAAAD56mnQ=")</f>
        <v>#REF!</v>
      </c>
      <c r="DN70" t="e">
        <f>AND(Liste!#REF!,"AAAAAD56mnU=")</f>
        <v>#REF!</v>
      </c>
      <c r="DO70" t="e">
        <f>AND(Liste!#REF!,"AAAAAD56mnY=")</f>
        <v>#REF!</v>
      </c>
      <c r="DP70" t="e">
        <f>AND(Liste!#REF!,"AAAAAD56mnc=")</f>
        <v>#REF!</v>
      </c>
      <c r="DQ70" t="e">
        <f>AND(Liste!#REF!,"AAAAAD56mng=")</f>
        <v>#REF!</v>
      </c>
      <c r="DR70" t="e">
        <f>AND(Liste!#REF!,"AAAAAD56mnk=")</f>
        <v>#REF!</v>
      </c>
      <c r="DS70" t="e">
        <f>AND(Liste!#REF!,"AAAAAD56mno=")</f>
        <v>#REF!</v>
      </c>
      <c r="DT70" t="e">
        <f>AND(Liste!#REF!,"AAAAAD56mns=")</f>
        <v>#REF!</v>
      </c>
      <c r="DU70" t="e">
        <f>AND(Liste!#REF!,"AAAAAD56mnw=")</f>
        <v>#REF!</v>
      </c>
      <c r="DV70" t="e">
        <f>AND(Liste!#REF!,"AAAAAD56mn0=")</f>
        <v>#REF!</v>
      </c>
      <c r="DW70" t="e">
        <f>AND(Liste!#REF!,"AAAAAD56mn4=")</f>
        <v>#REF!</v>
      </c>
      <c r="DX70" t="e">
        <f>AND(Liste!#REF!,"AAAAAD56mn8=")</f>
        <v>#REF!</v>
      </c>
      <c r="DY70" t="e">
        <f>AND(Liste!#REF!,"AAAAAD56moA=")</f>
        <v>#REF!</v>
      </c>
      <c r="DZ70" t="e">
        <f>AND(Liste!#REF!,"AAAAAD56moE=")</f>
        <v>#REF!</v>
      </c>
      <c r="EA70">
        <f>IF(Liste!499:499,"AAAAAD56moI=",0)</f>
        <v>0</v>
      </c>
      <c r="EB70" t="b">
        <f>AND(Liste!A499,"AAAAAD56moM=")</f>
        <v>1</v>
      </c>
      <c r="EC70" t="e">
        <f>AND(Liste!#REF!,"AAAAAD56moQ=")</f>
        <v>#REF!</v>
      </c>
      <c r="ED70" t="e">
        <f>AND(Liste!#REF!,"AAAAAD56moU=")</f>
        <v>#REF!</v>
      </c>
      <c r="EE70" t="e">
        <f>AND(Liste!#REF!,"AAAAAD56moY=")</f>
        <v>#REF!</v>
      </c>
      <c r="EF70" t="e">
        <f>AND(Liste!F499,"AAAAAD56moc=")</f>
        <v>#VALUE!</v>
      </c>
      <c r="EG70" t="e">
        <f>AND(Liste!G499,"AAAAAD56mog=")</f>
        <v>#VALUE!</v>
      </c>
      <c r="EH70" t="e">
        <f>AND(Liste!H499,"AAAAAD56mok=")</f>
        <v>#VALUE!</v>
      </c>
      <c r="EI70" t="e">
        <f>AND(Liste!I499,"AAAAAD56moo=")</f>
        <v>#VALUE!</v>
      </c>
      <c r="EJ70" t="e">
        <f>AND(Liste!J499,"AAAAAD56mos=")</f>
        <v>#VALUE!</v>
      </c>
      <c r="EK70" t="e">
        <f>AND(Liste!#REF!,"AAAAAD56mow=")</f>
        <v>#REF!</v>
      </c>
      <c r="EL70" t="e">
        <f>AND(Liste!#REF!,"AAAAAD56mo0=")</f>
        <v>#REF!</v>
      </c>
      <c r="EM70" t="e">
        <f>AND(Liste!#REF!,"AAAAAD56mo4=")</f>
        <v>#REF!</v>
      </c>
      <c r="EN70" t="e">
        <f>AND(Liste!#REF!,"AAAAAD56mo8=")</f>
        <v>#REF!</v>
      </c>
      <c r="EO70" t="e">
        <f>AND(Liste!#REF!,"AAAAAD56mpA=")</f>
        <v>#REF!</v>
      </c>
      <c r="EP70" t="e">
        <f>AND(Liste!#REF!,"AAAAAD56mpE=")</f>
        <v>#REF!</v>
      </c>
      <c r="EQ70" t="e">
        <f>AND(Liste!#REF!,"AAAAAD56mpI=")</f>
        <v>#REF!</v>
      </c>
      <c r="ER70" t="e">
        <f>AND(Liste!#REF!,"AAAAAD56mpM=")</f>
        <v>#REF!</v>
      </c>
      <c r="ES70" t="e">
        <f>AND(Liste!#REF!,"AAAAAD56mpQ=")</f>
        <v>#REF!</v>
      </c>
      <c r="ET70" t="e">
        <f>AND(Liste!#REF!,"AAAAAD56mpU=")</f>
        <v>#REF!</v>
      </c>
      <c r="EU70" t="e">
        <f>AND(Liste!#REF!,"AAAAAD56mpY=")</f>
        <v>#REF!</v>
      </c>
      <c r="EV70" t="e">
        <f>AND(Liste!#REF!,"AAAAAD56mpc=")</f>
        <v>#REF!</v>
      </c>
      <c r="EW70" t="e">
        <f>AND(Liste!#REF!,"AAAAAD56mpg=")</f>
        <v>#REF!</v>
      </c>
      <c r="EX70" t="e">
        <f>AND(Liste!#REF!,"AAAAAD56mpk=")</f>
        <v>#REF!</v>
      </c>
      <c r="EY70" t="e">
        <f>AND(Liste!#REF!,"AAAAAD56mpo=")</f>
        <v>#REF!</v>
      </c>
      <c r="EZ70" t="e">
        <f>AND(Liste!#REF!,"AAAAAD56mps=")</f>
        <v>#REF!</v>
      </c>
      <c r="FA70" t="e">
        <f>AND(Liste!#REF!,"AAAAAD56mpw=")</f>
        <v>#REF!</v>
      </c>
      <c r="FB70" t="e">
        <f>AND(Liste!#REF!,"AAAAAD56mp0=")</f>
        <v>#REF!</v>
      </c>
      <c r="FC70" t="e">
        <f>AND(Liste!#REF!,"AAAAAD56mp4=")</f>
        <v>#REF!</v>
      </c>
      <c r="FD70" t="e">
        <f>AND(Liste!#REF!,"AAAAAD56mp8=")</f>
        <v>#REF!</v>
      </c>
      <c r="FE70" t="e">
        <f>AND(Liste!#REF!,"AAAAAD56mqA=")</f>
        <v>#REF!</v>
      </c>
      <c r="FF70">
        <f>IF(Liste!500:500,"AAAAAD56mqE=",0)</f>
        <v>0</v>
      </c>
      <c r="FG70" t="b">
        <f>AND(Liste!A500,"AAAAAD56mqI=")</f>
        <v>1</v>
      </c>
      <c r="FH70" t="e">
        <f>AND(Liste!#REF!,"AAAAAD56mqM=")</f>
        <v>#REF!</v>
      </c>
      <c r="FI70" t="e">
        <f>AND(Liste!#REF!,"AAAAAD56mqQ=")</f>
        <v>#REF!</v>
      </c>
      <c r="FJ70" t="e">
        <f>AND(Liste!#REF!,"AAAAAD56mqU=")</f>
        <v>#REF!</v>
      </c>
      <c r="FK70" t="e">
        <f>AND(Liste!F500,"AAAAAD56mqY=")</f>
        <v>#VALUE!</v>
      </c>
      <c r="FL70" t="e">
        <f>AND(Liste!G500,"AAAAAD56mqc=")</f>
        <v>#VALUE!</v>
      </c>
      <c r="FM70" t="e">
        <f>AND(Liste!H500,"AAAAAD56mqg=")</f>
        <v>#VALUE!</v>
      </c>
      <c r="FN70" t="e">
        <f>AND(Liste!I500,"AAAAAD56mqk=")</f>
        <v>#VALUE!</v>
      </c>
      <c r="FO70" t="e">
        <f>AND(Liste!J500,"AAAAAD56mqo=")</f>
        <v>#VALUE!</v>
      </c>
      <c r="FP70" t="e">
        <f>AND(Liste!#REF!,"AAAAAD56mqs=")</f>
        <v>#REF!</v>
      </c>
      <c r="FQ70" t="e">
        <f>AND(Liste!#REF!,"AAAAAD56mqw=")</f>
        <v>#REF!</v>
      </c>
      <c r="FR70" t="e">
        <f>AND(Liste!#REF!,"AAAAAD56mq0=")</f>
        <v>#REF!</v>
      </c>
      <c r="FS70" t="e">
        <f>AND(Liste!#REF!,"AAAAAD56mq4=")</f>
        <v>#REF!</v>
      </c>
      <c r="FT70" t="e">
        <f>AND(Liste!#REF!,"AAAAAD56mq8=")</f>
        <v>#REF!</v>
      </c>
      <c r="FU70" t="e">
        <f>AND(Liste!#REF!,"AAAAAD56mrA=")</f>
        <v>#REF!</v>
      </c>
      <c r="FV70" t="e">
        <f>AND(Liste!#REF!,"AAAAAD56mrE=")</f>
        <v>#REF!</v>
      </c>
      <c r="FW70" t="e">
        <f>AND(Liste!#REF!,"AAAAAD56mrI=")</f>
        <v>#REF!</v>
      </c>
      <c r="FX70" t="e">
        <f>AND(Liste!#REF!,"AAAAAD56mrM=")</f>
        <v>#REF!</v>
      </c>
      <c r="FY70" t="e">
        <f>AND(Liste!#REF!,"AAAAAD56mrQ=")</f>
        <v>#REF!</v>
      </c>
      <c r="FZ70" t="e">
        <f>AND(Liste!#REF!,"AAAAAD56mrU=")</f>
        <v>#REF!</v>
      </c>
      <c r="GA70" t="e">
        <f>AND(Liste!#REF!,"AAAAAD56mrY=")</f>
        <v>#REF!</v>
      </c>
      <c r="GB70" t="e">
        <f>AND(Liste!#REF!,"AAAAAD56mrc=")</f>
        <v>#REF!</v>
      </c>
      <c r="GC70" t="e">
        <f>AND(Liste!#REF!,"AAAAAD56mrg=")</f>
        <v>#REF!</v>
      </c>
      <c r="GD70" t="e">
        <f>AND(Liste!#REF!,"AAAAAD56mrk=")</f>
        <v>#REF!</v>
      </c>
      <c r="GE70" t="e">
        <f>AND(Liste!#REF!,"AAAAAD56mro=")</f>
        <v>#REF!</v>
      </c>
      <c r="GF70" t="e">
        <f>AND(Liste!#REF!,"AAAAAD56mrs=")</f>
        <v>#REF!</v>
      </c>
      <c r="GG70" t="e">
        <f>AND(Liste!#REF!,"AAAAAD56mrw=")</f>
        <v>#REF!</v>
      </c>
      <c r="GH70" t="e">
        <f>AND(Liste!#REF!,"AAAAAD56mr0=")</f>
        <v>#REF!</v>
      </c>
      <c r="GI70" t="e">
        <f>AND(Liste!#REF!,"AAAAAD56mr4=")</f>
        <v>#REF!</v>
      </c>
      <c r="GJ70" t="e">
        <f>AND(Liste!#REF!,"AAAAAD56mr8=")</f>
        <v>#REF!</v>
      </c>
      <c r="GK70">
        <f>IF(Liste!501:501,"AAAAAD56msA=",0)</f>
        <v>0</v>
      </c>
      <c r="GL70" t="b">
        <f>AND(Liste!A501,"AAAAAD56msE=")</f>
        <v>1</v>
      </c>
      <c r="GM70" t="e">
        <f>AND(Liste!#REF!,"AAAAAD56msI=")</f>
        <v>#REF!</v>
      </c>
      <c r="GN70" t="e">
        <f>AND(Liste!#REF!,"AAAAAD56msM=")</f>
        <v>#REF!</v>
      </c>
      <c r="GO70" t="e">
        <f>AND(Liste!#REF!,"AAAAAD56msQ=")</f>
        <v>#REF!</v>
      </c>
      <c r="GP70" t="e">
        <f>AND(Liste!F501,"AAAAAD56msU=")</f>
        <v>#VALUE!</v>
      </c>
      <c r="GQ70" t="e">
        <f>AND(Liste!G501,"AAAAAD56msY=")</f>
        <v>#VALUE!</v>
      </c>
      <c r="GR70" t="e">
        <f>AND(Liste!H501,"AAAAAD56msc=")</f>
        <v>#VALUE!</v>
      </c>
      <c r="GS70" t="e">
        <f>AND(Liste!I501,"AAAAAD56msg=")</f>
        <v>#VALUE!</v>
      </c>
      <c r="GT70" t="e">
        <f>AND(Liste!J501,"AAAAAD56msk=")</f>
        <v>#VALUE!</v>
      </c>
      <c r="GU70" t="e">
        <f>AND(Liste!#REF!,"AAAAAD56mso=")</f>
        <v>#REF!</v>
      </c>
      <c r="GV70" t="e">
        <f>AND(Liste!#REF!,"AAAAAD56mss=")</f>
        <v>#REF!</v>
      </c>
      <c r="GW70" t="e">
        <f>AND(Liste!#REF!,"AAAAAD56msw=")</f>
        <v>#REF!</v>
      </c>
      <c r="GX70" t="e">
        <f>AND(Liste!#REF!,"AAAAAD56ms0=")</f>
        <v>#REF!</v>
      </c>
      <c r="GY70" t="e">
        <f>AND(Liste!#REF!,"AAAAAD56ms4=")</f>
        <v>#REF!</v>
      </c>
      <c r="GZ70" t="e">
        <f>AND(Liste!#REF!,"AAAAAD56ms8=")</f>
        <v>#REF!</v>
      </c>
      <c r="HA70" t="e">
        <f>AND(Liste!#REF!,"AAAAAD56mtA=")</f>
        <v>#REF!</v>
      </c>
      <c r="HB70" t="e">
        <f>AND(Liste!#REF!,"AAAAAD56mtE=")</f>
        <v>#REF!</v>
      </c>
      <c r="HC70" t="e">
        <f>AND(Liste!#REF!,"AAAAAD56mtI=")</f>
        <v>#REF!</v>
      </c>
      <c r="HD70" t="e">
        <f>AND(Liste!#REF!,"AAAAAD56mtM=")</f>
        <v>#REF!</v>
      </c>
      <c r="HE70" t="e">
        <f>AND(Liste!#REF!,"AAAAAD56mtQ=")</f>
        <v>#REF!</v>
      </c>
      <c r="HF70" t="e">
        <f>AND(Liste!#REF!,"AAAAAD56mtU=")</f>
        <v>#REF!</v>
      </c>
      <c r="HG70" t="e">
        <f>AND(Liste!#REF!,"AAAAAD56mtY=")</f>
        <v>#REF!</v>
      </c>
      <c r="HH70" t="e">
        <f>AND(Liste!#REF!,"AAAAAD56mtc=")</f>
        <v>#REF!</v>
      </c>
      <c r="HI70" t="e">
        <f>AND(Liste!#REF!,"AAAAAD56mtg=")</f>
        <v>#REF!</v>
      </c>
      <c r="HJ70" t="e">
        <f>AND(Liste!#REF!,"AAAAAD56mtk=")</f>
        <v>#REF!</v>
      </c>
      <c r="HK70" t="e">
        <f>AND(Liste!#REF!,"AAAAAD56mto=")</f>
        <v>#REF!</v>
      </c>
      <c r="HL70" t="e">
        <f>AND(Liste!#REF!,"AAAAAD56mts=")</f>
        <v>#REF!</v>
      </c>
      <c r="HM70" t="e">
        <f>AND(Liste!#REF!,"AAAAAD56mtw=")</f>
        <v>#REF!</v>
      </c>
      <c r="HN70" t="e">
        <f>AND(Liste!#REF!,"AAAAAD56mt0=")</f>
        <v>#REF!</v>
      </c>
      <c r="HO70" t="e">
        <f>AND(Liste!#REF!,"AAAAAD56mt4=")</f>
        <v>#REF!</v>
      </c>
      <c r="HP70">
        <f>IF(Liste!502:502,"AAAAAD56mt8=",0)</f>
        <v>0</v>
      </c>
      <c r="HQ70" t="b">
        <f>AND(Liste!A502,"AAAAAD56muA=")</f>
        <v>1</v>
      </c>
      <c r="HR70" t="e">
        <f>AND(Liste!#REF!,"AAAAAD56muE=")</f>
        <v>#REF!</v>
      </c>
      <c r="HS70" t="e">
        <f>AND(Liste!#REF!,"AAAAAD56muI=")</f>
        <v>#REF!</v>
      </c>
      <c r="HT70" t="e">
        <f>AND(Liste!#REF!,"AAAAAD56muM=")</f>
        <v>#REF!</v>
      </c>
      <c r="HU70" t="e">
        <f>AND(Liste!F502,"AAAAAD56muQ=")</f>
        <v>#VALUE!</v>
      </c>
      <c r="HV70" t="e">
        <f>AND(Liste!G502,"AAAAAD56muU=")</f>
        <v>#VALUE!</v>
      </c>
      <c r="HW70" t="e">
        <f>AND(Liste!H502,"AAAAAD56muY=")</f>
        <v>#VALUE!</v>
      </c>
      <c r="HX70" t="e">
        <f>AND(Liste!I502,"AAAAAD56muc=")</f>
        <v>#VALUE!</v>
      </c>
      <c r="HY70" t="e">
        <f>AND(Liste!J502,"AAAAAD56mug=")</f>
        <v>#VALUE!</v>
      </c>
      <c r="HZ70" t="e">
        <f>AND(Liste!#REF!,"AAAAAD56muk=")</f>
        <v>#REF!</v>
      </c>
      <c r="IA70" t="e">
        <f>AND(Liste!#REF!,"AAAAAD56muo=")</f>
        <v>#REF!</v>
      </c>
      <c r="IB70" t="e">
        <f>AND(Liste!#REF!,"AAAAAD56mus=")</f>
        <v>#REF!</v>
      </c>
      <c r="IC70" t="e">
        <f>AND(Liste!#REF!,"AAAAAD56muw=")</f>
        <v>#REF!</v>
      </c>
      <c r="ID70" t="e">
        <f>AND(Liste!#REF!,"AAAAAD56mu0=")</f>
        <v>#REF!</v>
      </c>
      <c r="IE70" t="e">
        <f>AND(Liste!#REF!,"AAAAAD56mu4=")</f>
        <v>#REF!</v>
      </c>
      <c r="IF70" t="e">
        <f>AND(Liste!#REF!,"AAAAAD56mu8=")</f>
        <v>#REF!</v>
      </c>
      <c r="IG70" t="e">
        <f>AND(Liste!#REF!,"AAAAAD56mvA=")</f>
        <v>#REF!</v>
      </c>
      <c r="IH70" t="e">
        <f>AND(Liste!#REF!,"AAAAAD56mvE=")</f>
        <v>#REF!</v>
      </c>
      <c r="II70" t="e">
        <f>AND(Liste!#REF!,"AAAAAD56mvI=")</f>
        <v>#REF!</v>
      </c>
      <c r="IJ70" t="e">
        <f>AND(Liste!#REF!,"AAAAAD56mvM=")</f>
        <v>#REF!</v>
      </c>
      <c r="IK70" t="e">
        <f>AND(Liste!#REF!,"AAAAAD56mvQ=")</f>
        <v>#REF!</v>
      </c>
      <c r="IL70" t="e">
        <f>AND(Liste!#REF!,"AAAAAD56mvU=")</f>
        <v>#REF!</v>
      </c>
      <c r="IM70" t="e">
        <f>AND(Liste!#REF!,"AAAAAD56mvY=")</f>
        <v>#REF!</v>
      </c>
      <c r="IN70" t="e">
        <f>AND(Liste!#REF!,"AAAAAD56mvc=")</f>
        <v>#REF!</v>
      </c>
      <c r="IO70" t="e">
        <f>AND(Liste!#REF!,"AAAAAD56mvg=")</f>
        <v>#REF!</v>
      </c>
      <c r="IP70" t="e">
        <f>AND(Liste!#REF!,"AAAAAD56mvk=")</f>
        <v>#REF!</v>
      </c>
      <c r="IQ70" t="e">
        <f>AND(Liste!#REF!,"AAAAAD56mvo=")</f>
        <v>#REF!</v>
      </c>
      <c r="IR70" t="e">
        <f>AND(Liste!#REF!,"AAAAAD56mvs=")</f>
        <v>#REF!</v>
      </c>
      <c r="IS70" t="e">
        <f>AND(Liste!#REF!,"AAAAAD56mvw=")</f>
        <v>#REF!</v>
      </c>
      <c r="IT70" t="e">
        <f>AND(Liste!#REF!,"AAAAAD56mv0=")</f>
        <v>#REF!</v>
      </c>
      <c r="IU70">
        <f>IF(Liste!503:503,"AAAAAD56mv4=",0)</f>
        <v>0</v>
      </c>
      <c r="IV70" t="b">
        <f>AND(Liste!A503,"AAAAAD56mv8=")</f>
        <v>1</v>
      </c>
    </row>
    <row r="71" spans="1:256" x14ac:dyDescent="0.2">
      <c r="A71" t="e">
        <f>AND(Liste!#REF!,"AAAAAG/+9QA=")</f>
        <v>#REF!</v>
      </c>
      <c r="B71" t="e">
        <f>AND(Liste!#REF!,"AAAAAG/+9QE=")</f>
        <v>#REF!</v>
      </c>
      <c r="C71" t="e">
        <f>AND(Liste!#REF!,"AAAAAG/+9QI=")</f>
        <v>#REF!</v>
      </c>
      <c r="D71" t="e">
        <f>AND(Liste!F503,"AAAAAG/+9QM=")</f>
        <v>#VALUE!</v>
      </c>
      <c r="E71" t="e">
        <f>AND(Liste!G503,"AAAAAG/+9QQ=")</f>
        <v>#VALUE!</v>
      </c>
      <c r="F71" t="e">
        <f>AND(Liste!H503,"AAAAAG/+9QU=")</f>
        <v>#VALUE!</v>
      </c>
      <c r="G71" t="e">
        <f>AND(Liste!I503,"AAAAAG/+9QY=")</f>
        <v>#VALUE!</v>
      </c>
      <c r="H71" t="e">
        <f>AND(Liste!J503,"AAAAAG/+9Qc=")</f>
        <v>#VALUE!</v>
      </c>
      <c r="I71" t="e">
        <f>AND(Liste!#REF!,"AAAAAG/+9Qg=")</f>
        <v>#REF!</v>
      </c>
      <c r="J71" t="e">
        <f>AND(Liste!#REF!,"AAAAAG/+9Qk=")</f>
        <v>#REF!</v>
      </c>
      <c r="K71" t="e">
        <f>AND(Liste!#REF!,"AAAAAG/+9Qo=")</f>
        <v>#REF!</v>
      </c>
      <c r="L71" t="e">
        <f>AND(Liste!#REF!,"AAAAAG/+9Qs=")</f>
        <v>#REF!</v>
      </c>
      <c r="M71" t="e">
        <f>AND(Liste!#REF!,"AAAAAG/+9Qw=")</f>
        <v>#REF!</v>
      </c>
      <c r="N71" t="e">
        <f>AND(Liste!#REF!,"AAAAAG/+9Q0=")</f>
        <v>#REF!</v>
      </c>
      <c r="O71" t="e">
        <f>AND(Liste!#REF!,"AAAAAG/+9Q4=")</f>
        <v>#REF!</v>
      </c>
      <c r="P71" t="e">
        <f>AND(Liste!#REF!,"AAAAAG/+9Q8=")</f>
        <v>#REF!</v>
      </c>
      <c r="Q71" t="e">
        <f>AND(Liste!#REF!,"AAAAAG/+9RA=")</f>
        <v>#REF!</v>
      </c>
      <c r="R71" t="e">
        <f>AND(Liste!#REF!,"AAAAAG/+9RE=")</f>
        <v>#REF!</v>
      </c>
      <c r="S71" t="e">
        <f>AND(Liste!#REF!,"AAAAAG/+9RI=")</f>
        <v>#REF!</v>
      </c>
      <c r="T71" t="e">
        <f>AND(Liste!#REF!,"AAAAAG/+9RM=")</f>
        <v>#REF!</v>
      </c>
      <c r="U71" t="e">
        <f>AND(Liste!#REF!,"AAAAAG/+9RQ=")</f>
        <v>#REF!</v>
      </c>
      <c r="V71" t="e">
        <f>AND(Liste!#REF!,"AAAAAG/+9RU=")</f>
        <v>#REF!</v>
      </c>
      <c r="W71" t="e">
        <f>AND(Liste!#REF!,"AAAAAG/+9RY=")</f>
        <v>#REF!</v>
      </c>
      <c r="X71" t="e">
        <f>AND(Liste!#REF!,"AAAAAG/+9Rc=")</f>
        <v>#REF!</v>
      </c>
      <c r="Y71" t="e">
        <f>AND(Liste!#REF!,"AAAAAG/+9Rg=")</f>
        <v>#REF!</v>
      </c>
      <c r="Z71" t="e">
        <f>AND(Liste!#REF!,"AAAAAG/+9Rk=")</f>
        <v>#REF!</v>
      </c>
      <c r="AA71" t="e">
        <f>AND(Liste!#REF!,"AAAAAG/+9Ro=")</f>
        <v>#REF!</v>
      </c>
      <c r="AB71" t="e">
        <f>AND(Liste!#REF!,"AAAAAG/+9Rs=")</f>
        <v>#REF!</v>
      </c>
      <c r="AC71" t="e">
        <f>AND(Liste!#REF!,"AAAAAG/+9Rw=")</f>
        <v>#REF!</v>
      </c>
      <c r="AD71">
        <f>IF(Liste!504:504,"AAAAAG/+9R0=",0)</f>
        <v>0</v>
      </c>
      <c r="AE71" t="b">
        <f>AND(Liste!A504,"AAAAAG/+9R4=")</f>
        <v>1</v>
      </c>
      <c r="AF71" t="e">
        <f>AND(Liste!#REF!,"AAAAAG/+9R8=")</f>
        <v>#REF!</v>
      </c>
      <c r="AG71" t="e">
        <f>AND(Liste!#REF!,"AAAAAG/+9SA=")</f>
        <v>#REF!</v>
      </c>
      <c r="AH71" t="e">
        <f>AND(Liste!#REF!,"AAAAAG/+9SE=")</f>
        <v>#REF!</v>
      </c>
      <c r="AI71" t="e">
        <f>AND(Liste!#REF!,"AAAAAG/+9SI=")</f>
        <v>#REF!</v>
      </c>
      <c r="AJ71" t="e">
        <f>AND(Liste!#REF!,"AAAAAG/+9SM=")</f>
        <v>#REF!</v>
      </c>
      <c r="AK71" t="e">
        <f>AND(Liste!#REF!,"AAAAAG/+9SQ=")</f>
        <v>#REF!</v>
      </c>
      <c r="AL71" t="e">
        <f>AND(Liste!I504,"AAAAAG/+9SU=")</f>
        <v>#VALUE!</v>
      </c>
      <c r="AM71" t="e">
        <f>AND(Liste!J504,"AAAAAG/+9SY=")</f>
        <v>#VALUE!</v>
      </c>
      <c r="AN71" t="e">
        <f>AND(Liste!#REF!,"AAAAAG/+9Sc=")</f>
        <v>#REF!</v>
      </c>
      <c r="AO71" t="e">
        <f>AND(Liste!#REF!,"AAAAAG/+9Sg=")</f>
        <v>#REF!</v>
      </c>
      <c r="AP71" t="e">
        <f>AND(Liste!#REF!,"AAAAAG/+9Sk=")</f>
        <v>#REF!</v>
      </c>
      <c r="AQ71" t="e">
        <f>AND(Liste!#REF!,"AAAAAG/+9So=")</f>
        <v>#REF!</v>
      </c>
      <c r="AR71" t="e">
        <f>AND(Liste!#REF!,"AAAAAG/+9Ss=")</f>
        <v>#REF!</v>
      </c>
      <c r="AS71" t="e">
        <f>AND(Liste!#REF!,"AAAAAG/+9Sw=")</f>
        <v>#REF!</v>
      </c>
      <c r="AT71" t="e">
        <f>AND(Liste!#REF!,"AAAAAG/+9S0=")</f>
        <v>#REF!</v>
      </c>
      <c r="AU71" t="e">
        <f>AND(Liste!#REF!,"AAAAAG/+9S4=")</f>
        <v>#REF!</v>
      </c>
      <c r="AV71" t="e">
        <f>AND(Liste!#REF!,"AAAAAG/+9S8=")</f>
        <v>#REF!</v>
      </c>
      <c r="AW71" t="e">
        <f>AND(Liste!#REF!,"AAAAAG/+9TA=")</f>
        <v>#REF!</v>
      </c>
      <c r="AX71" t="e">
        <f>AND(Liste!#REF!,"AAAAAG/+9TE=")</f>
        <v>#REF!</v>
      </c>
      <c r="AY71" t="e">
        <f>AND(Liste!#REF!,"AAAAAG/+9TI=")</f>
        <v>#REF!</v>
      </c>
      <c r="AZ71" t="e">
        <f>AND(Liste!#REF!,"AAAAAG/+9TM=")</f>
        <v>#REF!</v>
      </c>
      <c r="BA71" t="e">
        <f>AND(Liste!#REF!,"AAAAAG/+9TQ=")</f>
        <v>#REF!</v>
      </c>
      <c r="BB71" t="e">
        <f>AND(Liste!#REF!,"AAAAAG/+9TU=")</f>
        <v>#REF!</v>
      </c>
      <c r="BC71" t="e">
        <f>AND(Liste!#REF!,"AAAAAG/+9TY=")</f>
        <v>#REF!</v>
      </c>
      <c r="BD71" t="e">
        <f>AND(Liste!#REF!,"AAAAAG/+9Tc=")</f>
        <v>#REF!</v>
      </c>
      <c r="BE71" t="e">
        <f>AND(Liste!#REF!,"AAAAAG/+9Tg=")</f>
        <v>#REF!</v>
      </c>
      <c r="BF71" t="e">
        <f>AND(Liste!#REF!,"AAAAAG/+9Tk=")</f>
        <v>#REF!</v>
      </c>
      <c r="BG71" t="e">
        <f>AND(Liste!#REF!,"AAAAAG/+9To=")</f>
        <v>#REF!</v>
      </c>
      <c r="BH71" t="e">
        <f>AND(Liste!#REF!,"AAAAAG/+9Ts=")</f>
        <v>#REF!</v>
      </c>
      <c r="BI71">
        <f>IF(Liste!505:505,"AAAAAG/+9Tw=",0)</f>
        <v>0</v>
      </c>
      <c r="BJ71" t="b">
        <f>AND(Liste!A505,"AAAAAG/+9T0=")</f>
        <v>1</v>
      </c>
      <c r="BK71" t="e">
        <f>AND(Liste!#REF!,"AAAAAG/+9T4=")</f>
        <v>#REF!</v>
      </c>
      <c r="BL71" t="e">
        <f>AND(Liste!#REF!,"AAAAAG/+9T8=")</f>
        <v>#REF!</v>
      </c>
      <c r="BM71" t="e">
        <f>AND(Liste!#REF!,"AAAAAG/+9UA=")</f>
        <v>#REF!</v>
      </c>
      <c r="BN71" t="e">
        <f>AND(Liste!F505,"AAAAAG/+9UE=")</f>
        <v>#VALUE!</v>
      </c>
      <c r="BO71" t="e">
        <f>AND(Liste!G505,"AAAAAG/+9UI=")</f>
        <v>#VALUE!</v>
      </c>
      <c r="BP71" t="e">
        <f>AND(Liste!H505,"AAAAAG/+9UM=")</f>
        <v>#VALUE!</v>
      </c>
      <c r="BQ71" t="e">
        <f>AND(Liste!I505,"AAAAAG/+9UQ=")</f>
        <v>#VALUE!</v>
      </c>
      <c r="BR71" t="e">
        <f>AND(Liste!J505,"AAAAAG/+9UU=")</f>
        <v>#VALUE!</v>
      </c>
      <c r="BS71" t="e">
        <f>AND(Liste!#REF!,"AAAAAG/+9UY=")</f>
        <v>#REF!</v>
      </c>
      <c r="BT71" t="e">
        <f>AND(Liste!#REF!,"AAAAAG/+9Uc=")</f>
        <v>#REF!</v>
      </c>
      <c r="BU71" t="e">
        <f>AND(Liste!#REF!,"AAAAAG/+9Ug=")</f>
        <v>#REF!</v>
      </c>
      <c r="BV71" t="e">
        <f>AND(Liste!#REF!,"AAAAAG/+9Uk=")</f>
        <v>#REF!</v>
      </c>
      <c r="BW71" t="e">
        <f>AND(Liste!#REF!,"AAAAAG/+9Uo=")</f>
        <v>#REF!</v>
      </c>
      <c r="BX71" t="e">
        <f>AND(Liste!#REF!,"AAAAAG/+9Us=")</f>
        <v>#REF!</v>
      </c>
      <c r="BY71" t="e">
        <f>AND(Liste!#REF!,"AAAAAG/+9Uw=")</f>
        <v>#REF!</v>
      </c>
      <c r="BZ71" t="e">
        <f>AND(Liste!#REF!,"AAAAAG/+9U0=")</f>
        <v>#REF!</v>
      </c>
      <c r="CA71" t="e">
        <f>AND(Liste!#REF!,"AAAAAG/+9U4=")</f>
        <v>#REF!</v>
      </c>
      <c r="CB71" t="e">
        <f>AND(Liste!#REF!,"AAAAAG/+9U8=")</f>
        <v>#REF!</v>
      </c>
      <c r="CC71" t="e">
        <f>AND(Liste!#REF!,"AAAAAG/+9VA=")</f>
        <v>#REF!</v>
      </c>
      <c r="CD71" t="e">
        <f>AND(Liste!#REF!,"AAAAAG/+9VE=")</f>
        <v>#REF!</v>
      </c>
      <c r="CE71" t="e">
        <f>AND(Liste!#REF!,"AAAAAG/+9VI=")</f>
        <v>#REF!</v>
      </c>
      <c r="CF71" t="e">
        <f>AND(Liste!#REF!,"AAAAAG/+9VM=")</f>
        <v>#REF!</v>
      </c>
      <c r="CG71" t="e">
        <f>AND(Liste!#REF!,"AAAAAG/+9VQ=")</f>
        <v>#REF!</v>
      </c>
      <c r="CH71" t="e">
        <f>AND(Liste!#REF!,"AAAAAG/+9VU=")</f>
        <v>#REF!</v>
      </c>
      <c r="CI71" t="e">
        <f>AND(Liste!#REF!,"AAAAAG/+9VY=")</f>
        <v>#REF!</v>
      </c>
      <c r="CJ71" t="e">
        <f>AND(Liste!#REF!,"AAAAAG/+9Vc=")</f>
        <v>#REF!</v>
      </c>
      <c r="CK71" t="e">
        <f>AND(Liste!#REF!,"AAAAAG/+9Vg=")</f>
        <v>#REF!</v>
      </c>
      <c r="CL71" t="e">
        <f>AND(Liste!#REF!,"AAAAAG/+9Vk=")</f>
        <v>#REF!</v>
      </c>
      <c r="CM71" t="e">
        <f>AND(Liste!#REF!,"AAAAAG/+9Vo=")</f>
        <v>#REF!</v>
      </c>
      <c r="CN71">
        <f>IF(Liste!506:506,"AAAAAG/+9Vs=",0)</f>
        <v>0</v>
      </c>
      <c r="CO71" t="b">
        <f>AND(Liste!A506,"AAAAAG/+9Vw=")</f>
        <v>1</v>
      </c>
      <c r="CP71" t="e">
        <f>AND(Liste!#REF!,"AAAAAG/+9V0=")</f>
        <v>#REF!</v>
      </c>
      <c r="CQ71" t="e">
        <f>AND(Liste!#REF!,"AAAAAG/+9V4=")</f>
        <v>#REF!</v>
      </c>
      <c r="CR71" t="e">
        <f>AND(Liste!#REF!,"AAAAAG/+9V8=")</f>
        <v>#REF!</v>
      </c>
      <c r="CS71" t="e">
        <f>AND(Liste!F506,"AAAAAG/+9WA=")</f>
        <v>#VALUE!</v>
      </c>
      <c r="CT71" t="e">
        <f>AND(Liste!G506,"AAAAAG/+9WE=")</f>
        <v>#VALUE!</v>
      </c>
      <c r="CU71" t="e">
        <f>AND(Liste!H506,"AAAAAG/+9WI=")</f>
        <v>#VALUE!</v>
      </c>
      <c r="CV71" t="e">
        <f>AND(Liste!I506,"AAAAAG/+9WM=")</f>
        <v>#VALUE!</v>
      </c>
      <c r="CW71" t="e">
        <f>AND(Liste!J506,"AAAAAG/+9WQ=")</f>
        <v>#VALUE!</v>
      </c>
      <c r="CX71" t="e">
        <f>AND(Liste!#REF!,"AAAAAG/+9WU=")</f>
        <v>#REF!</v>
      </c>
      <c r="CY71" t="e">
        <f>AND(Liste!#REF!,"AAAAAG/+9WY=")</f>
        <v>#REF!</v>
      </c>
      <c r="CZ71" t="e">
        <f>AND(Liste!#REF!,"AAAAAG/+9Wc=")</f>
        <v>#REF!</v>
      </c>
      <c r="DA71" t="e">
        <f>AND(Liste!#REF!,"AAAAAG/+9Wg=")</f>
        <v>#REF!</v>
      </c>
      <c r="DB71" t="e">
        <f>AND(Liste!#REF!,"AAAAAG/+9Wk=")</f>
        <v>#REF!</v>
      </c>
      <c r="DC71" t="e">
        <f>AND(Liste!#REF!,"AAAAAG/+9Wo=")</f>
        <v>#REF!</v>
      </c>
      <c r="DD71" t="e">
        <f>AND(Liste!#REF!,"AAAAAG/+9Ws=")</f>
        <v>#REF!</v>
      </c>
      <c r="DE71" t="e">
        <f>AND(Liste!#REF!,"AAAAAG/+9Ww=")</f>
        <v>#REF!</v>
      </c>
      <c r="DF71" t="e">
        <f>AND(Liste!#REF!,"AAAAAG/+9W0=")</f>
        <v>#REF!</v>
      </c>
      <c r="DG71" t="e">
        <f>AND(Liste!#REF!,"AAAAAG/+9W4=")</f>
        <v>#REF!</v>
      </c>
      <c r="DH71" t="e">
        <f>AND(Liste!#REF!,"AAAAAG/+9W8=")</f>
        <v>#REF!</v>
      </c>
      <c r="DI71" t="e">
        <f>AND(Liste!#REF!,"AAAAAG/+9XA=")</f>
        <v>#REF!</v>
      </c>
      <c r="DJ71" t="e">
        <f>AND(Liste!#REF!,"AAAAAG/+9XE=")</f>
        <v>#REF!</v>
      </c>
      <c r="DK71" t="e">
        <f>AND(Liste!#REF!,"AAAAAG/+9XI=")</f>
        <v>#REF!</v>
      </c>
      <c r="DL71" t="e">
        <f>AND(Liste!#REF!,"AAAAAG/+9XM=")</f>
        <v>#REF!</v>
      </c>
      <c r="DM71" t="e">
        <f>AND(Liste!#REF!,"AAAAAG/+9XQ=")</f>
        <v>#REF!</v>
      </c>
      <c r="DN71" t="e">
        <f>AND(Liste!#REF!,"AAAAAG/+9XU=")</f>
        <v>#REF!</v>
      </c>
      <c r="DO71" t="e">
        <f>AND(Liste!#REF!,"AAAAAG/+9XY=")</f>
        <v>#REF!</v>
      </c>
      <c r="DP71" t="e">
        <f>AND(Liste!#REF!,"AAAAAG/+9Xc=")</f>
        <v>#REF!</v>
      </c>
      <c r="DQ71" t="e">
        <f>AND(Liste!#REF!,"AAAAAG/+9Xg=")</f>
        <v>#REF!</v>
      </c>
      <c r="DR71" t="e">
        <f>AND(Liste!#REF!,"AAAAAG/+9Xk=")</f>
        <v>#REF!</v>
      </c>
      <c r="DS71">
        <f>IF(Liste!507:507,"AAAAAG/+9Xo=",0)</f>
        <v>0</v>
      </c>
      <c r="DT71" t="b">
        <f>AND(Liste!A507,"AAAAAG/+9Xs=")</f>
        <v>1</v>
      </c>
      <c r="DU71" t="e">
        <f>AND(Liste!#REF!,"AAAAAG/+9Xw=")</f>
        <v>#REF!</v>
      </c>
      <c r="DV71" t="e">
        <f>AND(Liste!#REF!,"AAAAAG/+9X0=")</f>
        <v>#REF!</v>
      </c>
      <c r="DW71" t="e">
        <f>AND(Liste!#REF!,"AAAAAG/+9X4=")</f>
        <v>#REF!</v>
      </c>
      <c r="DX71" t="e">
        <f>AND(Liste!F507,"AAAAAG/+9X8=")</f>
        <v>#VALUE!</v>
      </c>
      <c r="DY71" t="e">
        <f>AND(Liste!G507,"AAAAAG/+9YA=")</f>
        <v>#VALUE!</v>
      </c>
      <c r="DZ71" t="e">
        <f>AND(Liste!H507,"AAAAAG/+9YE=")</f>
        <v>#VALUE!</v>
      </c>
      <c r="EA71" t="e">
        <f>AND(Liste!I507,"AAAAAG/+9YI=")</f>
        <v>#VALUE!</v>
      </c>
      <c r="EB71" t="e">
        <f>AND(Liste!J507,"AAAAAG/+9YM=")</f>
        <v>#VALUE!</v>
      </c>
      <c r="EC71" t="e">
        <f>AND(Liste!#REF!,"AAAAAG/+9YQ=")</f>
        <v>#REF!</v>
      </c>
      <c r="ED71" t="e">
        <f>AND(Liste!#REF!,"AAAAAG/+9YU=")</f>
        <v>#REF!</v>
      </c>
      <c r="EE71" t="e">
        <f>AND(Liste!#REF!,"AAAAAG/+9YY=")</f>
        <v>#REF!</v>
      </c>
      <c r="EF71" t="e">
        <f>AND(Liste!#REF!,"AAAAAG/+9Yc=")</f>
        <v>#REF!</v>
      </c>
      <c r="EG71" t="e">
        <f>AND(Liste!#REF!,"AAAAAG/+9Yg=")</f>
        <v>#REF!</v>
      </c>
      <c r="EH71" t="e">
        <f>AND(Liste!#REF!,"AAAAAG/+9Yk=")</f>
        <v>#REF!</v>
      </c>
      <c r="EI71" t="e">
        <f>AND(Liste!#REF!,"AAAAAG/+9Yo=")</f>
        <v>#REF!</v>
      </c>
      <c r="EJ71" t="e">
        <f>AND(Liste!#REF!,"AAAAAG/+9Ys=")</f>
        <v>#REF!</v>
      </c>
      <c r="EK71" t="e">
        <f>AND(Liste!#REF!,"AAAAAG/+9Yw=")</f>
        <v>#REF!</v>
      </c>
      <c r="EL71" t="e">
        <f>AND(Liste!#REF!,"AAAAAG/+9Y0=")</f>
        <v>#REF!</v>
      </c>
      <c r="EM71" t="e">
        <f>AND(Liste!#REF!,"AAAAAG/+9Y4=")</f>
        <v>#REF!</v>
      </c>
      <c r="EN71" t="e">
        <f>AND(Liste!#REF!,"AAAAAG/+9Y8=")</f>
        <v>#REF!</v>
      </c>
      <c r="EO71" t="e">
        <f>AND(Liste!#REF!,"AAAAAG/+9ZA=")</f>
        <v>#REF!</v>
      </c>
      <c r="EP71" t="e">
        <f>AND(Liste!#REF!,"AAAAAG/+9ZE=")</f>
        <v>#REF!</v>
      </c>
      <c r="EQ71" t="e">
        <f>AND(Liste!#REF!,"AAAAAG/+9ZI=")</f>
        <v>#REF!</v>
      </c>
      <c r="ER71" t="e">
        <f>AND(Liste!#REF!,"AAAAAG/+9ZM=")</f>
        <v>#REF!</v>
      </c>
      <c r="ES71" t="e">
        <f>AND(Liste!#REF!,"AAAAAG/+9ZQ=")</f>
        <v>#REF!</v>
      </c>
      <c r="ET71" t="e">
        <f>AND(Liste!#REF!,"AAAAAG/+9ZU=")</f>
        <v>#REF!</v>
      </c>
      <c r="EU71" t="e">
        <f>AND(Liste!#REF!,"AAAAAG/+9ZY=")</f>
        <v>#REF!</v>
      </c>
      <c r="EV71" t="e">
        <f>AND(Liste!#REF!,"AAAAAG/+9Zc=")</f>
        <v>#REF!</v>
      </c>
      <c r="EW71" t="e">
        <f>AND(Liste!#REF!,"AAAAAG/+9Zg=")</f>
        <v>#REF!</v>
      </c>
      <c r="EX71">
        <f>IF(Liste!508:508,"AAAAAG/+9Zk=",0)</f>
        <v>0</v>
      </c>
      <c r="EY71" t="b">
        <f>AND(Liste!A508,"AAAAAG/+9Zo=")</f>
        <v>1</v>
      </c>
      <c r="EZ71" t="e">
        <f>AND(Liste!#REF!,"AAAAAG/+9Zs=")</f>
        <v>#REF!</v>
      </c>
      <c r="FA71" t="e">
        <f>AND(Liste!#REF!,"AAAAAG/+9Zw=")</f>
        <v>#REF!</v>
      </c>
      <c r="FB71" t="e">
        <f>AND(Liste!#REF!,"AAAAAG/+9Z0=")</f>
        <v>#REF!</v>
      </c>
      <c r="FC71" t="e">
        <f>AND(Liste!#REF!,"AAAAAG/+9Z4=")</f>
        <v>#REF!</v>
      </c>
      <c r="FD71" t="e">
        <f>AND(Liste!#REF!,"AAAAAG/+9Z8=")</f>
        <v>#REF!</v>
      </c>
      <c r="FE71" t="e">
        <f>AND(Liste!#REF!,"AAAAAG/+9aA=")</f>
        <v>#REF!</v>
      </c>
      <c r="FF71" t="e">
        <f>AND(Liste!I508,"AAAAAG/+9aE=")</f>
        <v>#VALUE!</v>
      </c>
      <c r="FG71" t="e">
        <f>AND(Liste!J508,"AAAAAG/+9aI=")</f>
        <v>#VALUE!</v>
      </c>
      <c r="FH71" t="e">
        <f>AND(Liste!#REF!,"AAAAAG/+9aM=")</f>
        <v>#REF!</v>
      </c>
      <c r="FI71" t="e">
        <f>AND(Liste!#REF!,"AAAAAG/+9aQ=")</f>
        <v>#REF!</v>
      </c>
      <c r="FJ71" t="e">
        <f>AND(Liste!#REF!,"AAAAAG/+9aU=")</f>
        <v>#REF!</v>
      </c>
      <c r="FK71" t="e">
        <f>AND(Liste!#REF!,"AAAAAG/+9aY=")</f>
        <v>#REF!</v>
      </c>
      <c r="FL71" t="e">
        <f>AND(Liste!#REF!,"AAAAAG/+9ac=")</f>
        <v>#REF!</v>
      </c>
      <c r="FM71" t="e">
        <f>AND(Liste!#REF!,"AAAAAG/+9ag=")</f>
        <v>#REF!</v>
      </c>
      <c r="FN71" t="e">
        <f>AND(Liste!#REF!,"AAAAAG/+9ak=")</f>
        <v>#REF!</v>
      </c>
      <c r="FO71" t="e">
        <f>AND(Liste!#REF!,"AAAAAG/+9ao=")</f>
        <v>#REF!</v>
      </c>
      <c r="FP71" t="e">
        <f>AND(Liste!#REF!,"AAAAAG/+9as=")</f>
        <v>#REF!</v>
      </c>
      <c r="FQ71" t="e">
        <f>AND(Liste!#REF!,"AAAAAG/+9aw=")</f>
        <v>#REF!</v>
      </c>
      <c r="FR71" t="e">
        <f>AND(Liste!#REF!,"AAAAAG/+9a0=")</f>
        <v>#REF!</v>
      </c>
      <c r="FS71" t="e">
        <f>AND(Liste!#REF!,"AAAAAG/+9a4=")</f>
        <v>#REF!</v>
      </c>
      <c r="FT71" t="e">
        <f>AND(Liste!#REF!,"AAAAAG/+9a8=")</f>
        <v>#REF!</v>
      </c>
      <c r="FU71" t="e">
        <f>AND(Liste!#REF!,"AAAAAG/+9bA=")</f>
        <v>#REF!</v>
      </c>
      <c r="FV71" t="e">
        <f>AND(Liste!#REF!,"AAAAAG/+9bE=")</f>
        <v>#REF!</v>
      </c>
      <c r="FW71" t="e">
        <f>AND(Liste!#REF!,"AAAAAG/+9bI=")</f>
        <v>#REF!</v>
      </c>
      <c r="FX71" t="e">
        <f>AND(Liste!#REF!,"AAAAAG/+9bM=")</f>
        <v>#REF!</v>
      </c>
      <c r="FY71" t="e">
        <f>AND(Liste!#REF!,"AAAAAG/+9bQ=")</f>
        <v>#REF!</v>
      </c>
      <c r="FZ71" t="e">
        <f>AND(Liste!#REF!,"AAAAAG/+9bU=")</f>
        <v>#REF!</v>
      </c>
      <c r="GA71" t="e">
        <f>AND(Liste!#REF!,"AAAAAG/+9bY=")</f>
        <v>#REF!</v>
      </c>
      <c r="GB71" t="e">
        <f>AND(Liste!#REF!,"AAAAAG/+9bc=")</f>
        <v>#REF!</v>
      </c>
      <c r="GC71" t="e">
        <f>IF(Liste!#REF!,"AAAAAG/+9bg=",0)</f>
        <v>#REF!</v>
      </c>
      <c r="GD71" t="e">
        <f>AND(Liste!#REF!,"AAAAAG/+9bk=")</f>
        <v>#REF!</v>
      </c>
      <c r="GE71" t="e">
        <f>AND(Liste!#REF!,"AAAAAG/+9bo=")</f>
        <v>#REF!</v>
      </c>
      <c r="GF71" t="e">
        <f>AND(Liste!#REF!,"AAAAAG/+9bs=")</f>
        <v>#REF!</v>
      </c>
      <c r="GG71" t="e">
        <f>AND(Liste!#REF!,"AAAAAG/+9bw=")</f>
        <v>#REF!</v>
      </c>
      <c r="GH71" t="e">
        <f>AND(Liste!#REF!,"AAAAAG/+9b0=")</f>
        <v>#REF!</v>
      </c>
      <c r="GI71" t="e">
        <f>AND(Liste!#REF!,"AAAAAG/+9b4=")</f>
        <v>#REF!</v>
      </c>
      <c r="GJ71" t="e">
        <f>AND(Liste!#REF!,"AAAAAG/+9b8=")</f>
        <v>#REF!</v>
      </c>
      <c r="GK71" t="e">
        <f>AND(Liste!#REF!,"AAAAAG/+9cA=")</f>
        <v>#REF!</v>
      </c>
      <c r="GL71" t="e">
        <f>AND(Liste!#REF!,"AAAAAG/+9cE=")</f>
        <v>#REF!</v>
      </c>
      <c r="GM71" t="e">
        <f>AND(Liste!#REF!,"AAAAAG/+9cI=")</f>
        <v>#REF!</v>
      </c>
      <c r="GN71" t="e">
        <f>AND(Liste!#REF!,"AAAAAG/+9cM=")</f>
        <v>#REF!</v>
      </c>
      <c r="GO71" t="e">
        <f>AND(Liste!#REF!,"AAAAAG/+9cQ=")</f>
        <v>#REF!</v>
      </c>
      <c r="GP71" t="e">
        <f>AND(Liste!#REF!,"AAAAAG/+9cU=")</f>
        <v>#REF!</v>
      </c>
      <c r="GQ71" t="e">
        <f>AND(Liste!#REF!,"AAAAAG/+9cY=")</f>
        <v>#REF!</v>
      </c>
      <c r="GR71" t="e">
        <f>AND(Liste!#REF!,"AAAAAG/+9cc=")</f>
        <v>#REF!</v>
      </c>
      <c r="GS71" t="e">
        <f>AND(Liste!#REF!,"AAAAAG/+9cg=")</f>
        <v>#REF!</v>
      </c>
      <c r="GT71" t="e">
        <f>AND(Liste!#REF!,"AAAAAG/+9ck=")</f>
        <v>#REF!</v>
      </c>
      <c r="GU71" t="e">
        <f>AND(Liste!#REF!,"AAAAAG/+9co=")</f>
        <v>#REF!</v>
      </c>
      <c r="GV71" t="e">
        <f>AND(Liste!#REF!,"AAAAAG/+9cs=")</f>
        <v>#REF!</v>
      </c>
      <c r="GW71" t="e">
        <f>AND(Liste!#REF!,"AAAAAG/+9cw=")</f>
        <v>#REF!</v>
      </c>
      <c r="GX71" t="e">
        <f>AND(Liste!#REF!,"AAAAAG/+9c0=")</f>
        <v>#REF!</v>
      </c>
      <c r="GY71" t="e">
        <f>AND(Liste!#REF!,"AAAAAG/+9c4=")</f>
        <v>#REF!</v>
      </c>
      <c r="GZ71" t="e">
        <f>AND(Liste!#REF!,"AAAAAG/+9c8=")</f>
        <v>#REF!</v>
      </c>
      <c r="HA71" t="e">
        <f>AND(Liste!#REF!,"AAAAAG/+9dA=")</f>
        <v>#REF!</v>
      </c>
      <c r="HB71" t="e">
        <f>AND(Liste!#REF!,"AAAAAG/+9dE=")</f>
        <v>#REF!</v>
      </c>
      <c r="HC71" t="e">
        <f>AND(Liste!#REF!,"AAAAAG/+9dI=")</f>
        <v>#REF!</v>
      </c>
      <c r="HD71" t="e">
        <f>AND(Liste!#REF!,"AAAAAG/+9dM=")</f>
        <v>#REF!</v>
      </c>
      <c r="HE71" t="e">
        <f>AND(Liste!#REF!,"AAAAAG/+9dQ=")</f>
        <v>#REF!</v>
      </c>
      <c r="HF71" t="e">
        <f>AND(Liste!#REF!,"AAAAAG/+9dU=")</f>
        <v>#REF!</v>
      </c>
      <c r="HG71" t="e">
        <f>AND(Liste!#REF!,"AAAAAG/+9dY=")</f>
        <v>#REF!</v>
      </c>
      <c r="HH71" t="e">
        <f>IF(Liste!#REF!,"AAAAAG/+9dc=",0)</f>
        <v>#REF!</v>
      </c>
      <c r="HI71" t="e">
        <f>AND(Liste!#REF!,"AAAAAG/+9dg=")</f>
        <v>#REF!</v>
      </c>
      <c r="HJ71" t="e">
        <f>AND(Liste!#REF!,"AAAAAG/+9dk=")</f>
        <v>#REF!</v>
      </c>
      <c r="HK71" t="e">
        <f>AND(Liste!#REF!,"AAAAAG/+9do=")</f>
        <v>#REF!</v>
      </c>
      <c r="HL71" t="e">
        <f>AND(Liste!#REF!,"AAAAAG/+9ds=")</f>
        <v>#REF!</v>
      </c>
      <c r="HM71" t="e">
        <f>AND(Liste!#REF!,"AAAAAG/+9dw=")</f>
        <v>#REF!</v>
      </c>
      <c r="HN71" t="e">
        <f>AND(Liste!#REF!,"AAAAAG/+9d0=")</f>
        <v>#REF!</v>
      </c>
      <c r="HO71" t="e">
        <f>AND(Liste!#REF!,"AAAAAG/+9d4=")</f>
        <v>#REF!</v>
      </c>
      <c r="HP71" t="e">
        <f>AND(Liste!#REF!,"AAAAAG/+9d8=")</f>
        <v>#REF!</v>
      </c>
      <c r="HQ71" t="e">
        <f>AND(Liste!#REF!,"AAAAAG/+9eA=")</f>
        <v>#REF!</v>
      </c>
      <c r="HR71" t="e">
        <f>AND(Liste!#REF!,"AAAAAG/+9eE=")</f>
        <v>#REF!</v>
      </c>
      <c r="HS71" t="e">
        <f>AND(Liste!#REF!,"AAAAAG/+9eI=")</f>
        <v>#REF!</v>
      </c>
      <c r="HT71" t="e">
        <f>AND(Liste!#REF!,"AAAAAG/+9eM=")</f>
        <v>#REF!</v>
      </c>
      <c r="HU71" t="e">
        <f>AND(Liste!#REF!,"AAAAAG/+9eQ=")</f>
        <v>#REF!</v>
      </c>
      <c r="HV71" t="e">
        <f>AND(Liste!#REF!,"AAAAAG/+9eU=")</f>
        <v>#REF!</v>
      </c>
      <c r="HW71" t="e">
        <f>AND(Liste!#REF!,"AAAAAG/+9eY=")</f>
        <v>#REF!</v>
      </c>
      <c r="HX71" t="e">
        <f>AND(Liste!#REF!,"AAAAAG/+9ec=")</f>
        <v>#REF!</v>
      </c>
      <c r="HY71" t="e">
        <f>AND(Liste!#REF!,"AAAAAG/+9eg=")</f>
        <v>#REF!</v>
      </c>
      <c r="HZ71" t="e">
        <f>AND(Liste!#REF!,"AAAAAG/+9ek=")</f>
        <v>#REF!</v>
      </c>
      <c r="IA71" t="e">
        <f>AND(Liste!#REF!,"AAAAAG/+9eo=")</f>
        <v>#REF!</v>
      </c>
      <c r="IB71" t="e">
        <f>AND(Liste!#REF!,"AAAAAG/+9es=")</f>
        <v>#REF!</v>
      </c>
      <c r="IC71" t="e">
        <f>AND(Liste!#REF!,"AAAAAG/+9ew=")</f>
        <v>#REF!</v>
      </c>
      <c r="ID71" t="e">
        <f>AND(Liste!#REF!,"AAAAAG/+9e0=")</f>
        <v>#REF!</v>
      </c>
      <c r="IE71" t="e">
        <f>AND(Liste!#REF!,"AAAAAG/+9e4=")</f>
        <v>#REF!</v>
      </c>
      <c r="IF71" t="e">
        <f>AND(Liste!#REF!,"AAAAAG/+9e8=")</f>
        <v>#REF!</v>
      </c>
      <c r="IG71" t="e">
        <f>AND(Liste!#REF!,"AAAAAG/+9fA=")</f>
        <v>#REF!</v>
      </c>
      <c r="IH71" t="e">
        <f>AND(Liste!#REF!,"AAAAAG/+9fE=")</f>
        <v>#REF!</v>
      </c>
      <c r="II71" t="e">
        <f>AND(Liste!#REF!,"AAAAAG/+9fI=")</f>
        <v>#REF!</v>
      </c>
      <c r="IJ71" t="e">
        <f>AND(Liste!#REF!,"AAAAAG/+9fM=")</f>
        <v>#REF!</v>
      </c>
      <c r="IK71" t="e">
        <f>AND(Liste!#REF!,"AAAAAG/+9fQ=")</f>
        <v>#REF!</v>
      </c>
      <c r="IL71" t="e">
        <f>AND(Liste!#REF!,"AAAAAG/+9fU=")</f>
        <v>#REF!</v>
      </c>
      <c r="IM71" t="e">
        <f>IF(Liste!#REF!,"AAAAAG/+9fY=",0)</f>
        <v>#REF!</v>
      </c>
      <c r="IN71" t="e">
        <f>AND(Liste!#REF!,"AAAAAG/+9fc=")</f>
        <v>#REF!</v>
      </c>
      <c r="IO71" t="e">
        <f>AND(Liste!#REF!,"AAAAAG/+9fg=")</f>
        <v>#REF!</v>
      </c>
      <c r="IP71" t="e">
        <f>AND(Liste!#REF!,"AAAAAG/+9fk=")</f>
        <v>#REF!</v>
      </c>
      <c r="IQ71" t="e">
        <f>AND(Liste!#REF!,"AAAAAG/+9fo=")</f>
        <v>#REF!</v>
      </c>
      <c r="IR71" t="e">
        <f>AND(Liste!#REF!,"AAAAAG/+9fs=")</f>
        <v>#REF!</v>
      </c>
      <c r="IS71" t="e">
        <f>AND(Liste!#REF!,"AAAAAG/+9fw=")</f>
        <v>#REF!</v>
      </c>
      <c r="IT71" t="e">
        <f>AND(Liste!#REF!,"AAAAAG/+9f0=")</f>
        <v>#REF!</v>
      </c>
      <c r="IU71" t="e">
        <f>AND(Liste!#REF!,"AAAAAG/+9f4=")</f>
        <v>#REF!</v>
      </c>
      <c r="IV71" t="e">
        <f>AND(Liste!#REF!,"AAAAAG/+9f8=")</f>
        <v>#REF!</v>
      </c>
    </row>
    <row r="72" spans="1:256" x14ac:dyDescent="0.2">
      <c r="A72" t="e">
        <f>AND(Liste!#REF!,"AAAAAE3e/gA=")</f>
        <v>#REF!</v>
      </c>
      <c r="B72" t="e">
        <f>AND(Liste!#REF!,"AAAAAE3e/gE=")</f>
        <v>#REF!</v>
      </c>
      <c r="C72" t="e">
        <f>AND(Liste!#REF!,"AAAAAE3e/gI=")</f>
        <v>#REF!</v>
      </c>
      <c r="D72" t="e">
        <f>AND(Liste!#REF!,"AAAAAE3e/gM=")</f>
        <v>#REF!</v>
      </c>
      <c r="E72" t="e">
        <f>AND(Liste!#REF!,"AAAAAE3e/gQ=")</f>
        <v>#REF!</v>
      </c>
      <c r="F72" t="e">
        <f>AND(Liste!#REF!,"AAAAAE3e/gU=")</f>
        <v>#REF!</v>
      </c>
      <c r="G72" t="e">
        <f>AND(Liste!#REF!,"AAAAAE3e/gY=")</f>
        <v>#REF!</v>
      </c>
      <c r="H72" t="e">
        <f>AND(Liste!#REF!,"AAAAAE3e/gc=")</f>
        <v>#REF!</v>
      </c>
      <c r="I72" t="e">
        <f>AND(Liste!#REF!,"AAAAAE3e/gg=")</f>
        <v>#REF!</v>
      </c>
      <c r="J72" t="e">
        <f>AND(Liste!#REF!,"AAAAAE3e/gk=")</f>
        <v>#REF!</v>
      </c>
      <c r="K72" t="e">
        <f>AND(Liste!#REF!,"AAAAAE3e/go=")</f>
        <v>#REF!</v>
      </c>
      <c r="L72" t="e">
        <f>AND(Liste!#REF!,"AAAAAE3e/gs=")</f>
        <v>#REF!</v>
      </c>
      <c r="M72" t="e">
        <f>AND(Liste!#REF!,"AAAAAE3e/gw=")</f>
        <v>#REF!</v>
      </c>
      <c r="N72" t="e">
        <f>AND(Liste!#REF!,"AAAAAE3e/g0=")</f>
        <v>#REF!</v>
      </c>
      <c r="O72" t="e">
        <f>AND(Liste!#REF!,"AAAAAE3e/g4=")</f>
        <v>#REF!</v>
      </c>
      <c r="P72" t="e">
        <f>AND(Liste!#REF!,"AAAAAE3e/g8=")</f>
        <v>#REF!</v>
      </c>
      <c r="Q72" t="e">
        <f>AND(Liste!#REF!,"AAAAAE3e/hA=")</f>
        <v>#REF!</v>
      </c>
      <c r="R72" t="e">
        <f>AND(Liste!#REF!,"AAAAAE3e/hE=")</f>
        <v>#REF!</v>
      </c>
      <c r="S72" t="e">
        <f>AND(Liste!#REF!,"AAAAAE3e/hI=")</f>
        <v>#REF!</v>
      </c>
      <c r="T72" t="e">
        <f>AND(Liste!#REF!,"AAAAAE3e/hM=")</f>
        <v>#REF!</v>
      </c>
      <c r="U72" t="e">
        <f>AND(Liste!#REF!,"AAAAAE3e/hQ=")</f>
        <v>#REF!</v>
      </c>
      <c r="V72" t="e">
        <f>IF(Liste!#REF!,"AAAAAE3e/hU=",0)</f>
        <v>#REF!</v>
      </c>
      <c r="W72" t="e">
        <f>AND(Liste!#REF!,"AAAAAE3e/hY=")</f>
        <v>#REF!</v>
      </c>
      <c r="X72" t="e">
        <f>AND(Liste!#REF!,"AAAAAE3e/hc=")</f>
        <v>#REF!</v>
      </c>
      <c r="Y72" t="e">
        <f>AND(Liste!#REF!,"AAAAAE3e/hg=")</f>
        <v>#REF!</v>
      </c>
      <c r="Z72" t="e">
        <f>AND(Liste!#REF!,"AAAAAE3e/hk=")</f>
        <v>#REF!</v>
      </c>
      <c r="AA72" t="e">
        <f>AND(Liste!#REF!,"AAAAAE3e/ho=")</f>
        <v>#REF!</v>
      </c>
      <c r="AB72" t="e">
        <f>AND(Liste!#REF!,"AAAAAE3e/hs=")</f>
        <v>#REF!</v>
      </c>
      <c r="AC72" t="e">
        <f>AND(Liste!#REF!,"AAAAAE3e/hw=")</f>
        <v>#REF!</v>
      </c>
      <c r="AD72" t="e">
        <f>AND(Liste!#REF!,"AAAAAE3e/h0=")</f>
        <v>#REF!</v>
      </c>
      <c r="AE72" t="e">
        <f>AND(Liste!#REF!,"AAAAAE3e/h4=")</f>
        <v>#REF!</v>
      </c>
      <c r="AF72" t="e">
        <f>AND(Liste!#REF!,"AAAAAE3e/h8=")</f>
        <v>#REF!</v>
      </c>
      <c r="AG72" t="e">
        <f>AND(Liste!#REF!,"AAAAAE3e/iA=")</f>
        <v>#REF!</v>
      </c>
      <c r="AH72" t="e">
        <f>AND(Liste!#REF!,"AAAAAE3e/iE=")</f>
        <v>#REF!</v>
      </c>
      <c r="AI72" t="e">
        <f>AND(Liste!#REF!,"AAAAAE3e/iI=")</f>
        <v>#REF!</v>
      </c>
      <c r="AJ72" t="e">
        <f>AND(Liste!#REF!,"AAAAAE3e/iM=")</f>
        <v>#REF!</v>
      </c>
      <c r="AK72" t="e">
        <f>AND(Liste!#REF!,"AAAAAE3e/iQ=")</f>
        <v>#REF!</v>
      </c>
      <c r="AL72" t="e">
        <f>AND(Liste!#REF!,"AAAAAE3e/iU=")</f>
        <v>#REF!</v>
      </c>
      <c r="AM72" t="e">
        <f>AND(Liste!#REF!,"AAAAAE3e/iY=")</f>
        <v>#REF!</v>
      </c>
      <c r="AN72" t="e">
        <f>AND(Liste!#REF!,"AAAAAE3e/ic=")</f>
        <v>#REF!</v>
      </c>
      <c r="AO72" t="e">
        <f>AND(Liste!#REF!,"AAAAAE3e/ig=")</f>
        <v>#REF!</v>
      </c>
      <c r="AP72" t="e">
        <f>AND(Liste!#REF!,"AAAAAE3e/ik=")</f>
        <v>#REF!</v>
      </c>
      <c r="AQ72" t="e">
        <f>AND(Liste!#REF!,"AAAAAE3e/io=")</f>
        <v>#REF!</v>
      </c>
      <c r="AR72" t="e">
        <f>AND(Liste!#REF!,"AAAAAE3e/is=")</f>
        <v>#REF!</v>
      </c>
      <c r="AS72" t="e">
        <f>AND(Liste!#REF!,"AAAAAE3e/iw=")</f>
        <v>#REF!</v>
      </c>
      <c r="AT72" t="e">
        <f>AND(Liste!#REF!,"AAAAAE3e/i0=")</f>
        <v>#REF!</v>
      </c>
      <c r="AU72" t="e">
        <f>AND(Liste!#REF!,"AAAAAE3e/i4=")</f>
        <v>#REF!</v>
      </c>
      <c r="AV72" t="e">
        <f>AND(Liste!#REF!,"AAAAAE3e/i8=")</f>
        <v>#REF!</v>
      </c>
      <c r="AW72" t="e">
        <f>AND(Liste!#REF!,"AAAAAE3e/jA=")</f>
        <v>#REF!</v>
      </c>
      <c r="AX72" t="e">
        <f>AND(Liste!#REF!,"AAAAAE3e/jE=")</f>
        <v>#REF!</v>
      </c>
      <c r="AY72" t="e">
        <f>AND(Liste!#REF!,"AAAAAE3e/jI=")</f>
        <v>#REF!</v>
      </c>
      <c r="AZ72" t="e">
        <f>AND(Liste!#REF!,"AAAAAE3e/jM=")</f>
        <v>#REF!</v>
      </c>
      <c r="BA72" t="e">
        <f>IF(Liste!#REF!,"AAAAAE3e/jQ=",0)</f>
        <v>#REF!</v>
      </c>
      <c r="BB72" t="e">
        <f>AND(Liste!#REF!,"AAAAAE3e/jU=")</f>
        <v>#REF!</v>
      </c>
      <c r="BC72" t="e">
        <f>AND(Liste!#REF!,"AAAAAE3e/jY=")</f>
        <v>#REF!</v>
      </c>
      <c r="BD72" t="e">
        <f>AND(Liste!#REF!,"AAAAAE3e/jc=")</f>
        <v>#REF!</v>
      </c>
      <c r="BE72" t="e">
        <f>AND(Liste!#REF!,"AAAAAE3e/jg=")</f>
        <v>#REF!</v>
      </c>
      <c r="BF72" t="e">
        <f>AND(Liste!#REF!,"AAAAAE3e/jk=")</f>
        <v>#REF!</v>
      </c>
      <c r="BG72" t="e">
        <f>AND(Liste!#REF!,"AAAAAE3e/jo=")</f>
        <v>#REF!</v>
      </c>
      <c r="BH72" t="e">
        <f>AND(Liste!#REF!,"AAAAAE3e/js=")</f>
        <v>#REF!</v>
      </c>
      <c r="BI72" t="e">
        <f>AND(Liste!#REF!,"AAAAAE3e/jw=")</f>
        <v>#REF!</v>
      </c>
      <c r="BJ72" t="e">
        <f>AND(Liste!#REF!,"AAAAAE3e/j0=")</f>
        <v>#REF!</v>
      </c>
      <c r="BK72" t="e">
        <f>AND(Liste!#REF!,"AAAAAE3e/j4=")</f>
        <v>#REF!</v>
      </c>
      <c r="BL72" t="e">
        <f>AND(Liste!#REF!,"AAAAAE3e/j8=")</f>
        <v>#REF!</v>
      </c>
      <c r="BM72" t="e">
        <f>AND(Liste!#REF!,"AAAAAE3e/kA=")</f>
        <v>#REF!</v>
      </c>
      <c r="BN72" t="e">
        <f>AND(Liste!#REF!,"AAAAAE3e/kE=")</f>
        <v>#REF!</v>
      </c>
      <c r="BO72" t="e">
        <f>AND(Liste!#REF!,"AAAAAE3e/kI=")</f>
        <v>#REF!</v>
      </c>
      <c r="BP72" t="e">
        <f>AND(Liste!#REF!,"AAAAAE3e/kM=")</f>
        <v>#REF!</v>
      </c>
      <c r="BQ72" t="e">
        <f>AND(Liste!#REF!,"AAAAAE3e/kQ=")</f>
        <v>#REF!</v>
      </c>
      <c r="BR72" t="e">
        <f>AND(Liste!#REF!,"AAAAAE3e/kU=")</f>
        <v>#REF!</v>
      </c>
      <c r="BS72" t="e">
        <f>AND(Liste!#REF!,"AAAAAE3e/kY=")</f>
        <v>#REF!</v>
      </c>
      <c r="BT72" t="e">
        <f>AND(Liste!#REF!,"AAAAAE3e/kc=")</f>
        <v>#REF!</v>
      </c>
      <c r="BU72" t="e">
        <f>AND(Liste!#REF!,"AAAAAE3e/kg=")</f>
        <v>#REF!</v>
      </c>
      <c r="BV72" t="e">
        <f>AND(Liste!#REF!,"AAAAAE3e/kk=")</f>
        <v>#REF!</v>
      </c>
      <c r="BW72" t="e">
        <f>AND(Liste!#REF!,"AAAAAE3e/ko=")</f>
        <v>#REF!</v>
      </c>
      <c r="BX72" t="e">
        <f>AND(Liste!#REF!,"AAAAAE3e/ks=")</f>
        <v>#REF!</v>
      </c>
      <c r="BY72" t="e">
        <f>AND(Liste!#REF!,"AAAAAE3e/kw=")</f>
        <v>#REF!</v>
      </c>
      <c r="BZ72" t="e">
        <f>AND(Liste!#REF!,"AAAAAE3e/k0=")</f>
        <v>#REF!</v>
      </c>
      <c r="CA72" t="e">
        <f>AND(Liste!#REF!,"AAAAAE3e/k4=")</f>
        <v>#REF!</v>
      </c>
      <c r="CB72" t="e">
        <f>AND(Liste!#REF!,"AAAAAE3e/k8=")</f>
        <v>#REF!</v>
      </c>
      <c r="CC72" t="e">
        <f>AND(Liste!#REF!,"AAAAAE3e/lA=")</f>
        <v>#REF!</v>
      </c>
      <c r="CD72" t="e">
        <f>AND(Liste!#REF!,"AAAAAE3e/lE=")</f>
        <v>#REF!</v>
      </c>
      <c r="CE72" t="e">
        <f>AND(Liste!#REF!,"AAAAAE3e/lI=")</f>
        <v>#REF!</v>
      </c>
      <c r="CF72" t="e">
        <f>IF(Liste!#REF!,"AAAAAE3e/lM=",0)</f>
        <v>#REF!</v>
      </c>
      <c r="CG72" t="e">
        <f>AND(Liste!#REF!,"AAAAAE3e/lQ=")</f>
        <v>#REF!</v>
      </c>
      <c r="CH72" t="e">
        <f>AND(Liste!#REF!,"AAAAAE3e/lU=")</f>
        <v>#REF!</v>
      </c>
      <c r="CI72" t="e">
        <f>AND(Liste!#REF!,"AAAAAE3e/lY=")</f>
        <v>#REF!</v>
      </c>
      <c r="CJ72" t="e">
        <f>AND(Liste!#REF!,"AAAAAE3e/lc=")</f>
        <v>#REF!</v>
      </c>
      <c r="CK72" t="e">
        <f>AND(Liste!#REF!,"AAAAAE3e/lg=")</f>
        <v>#REF!</v>
      </c>
      <c r="CL72" t="e">
        <f>AND(Liste!#REF!,"AAAAAE3e/lk=")</f>
        <v>#REF!</v>
      </c>
      <c r="CM72" t="e">
        <f>AND(Liste!#REF!,"AAAAAE3e/lo=")</f>
        <v>#REF!</v>
      </c>
      <c r="CN72" t="e">
        <f>AND(Liste!#REF!,"AAAAAE3e/ls=")</f>
        <v>#REF!</v>
      </c>
      <c r="CO72" t="e">
        <f>AND(Liste!#REF!,"AAAAAE3e/lw=")</f>
        <v>#REF!</v>
      </c>
      <c r="CP72" t="e">
        <f>AND(Liste!#REF!,"AAAAAE3e/l0=")</f>
        <v>#REF!</v>
      </c>
      <c r="CQ72" t="e">
        <f>AND(Liste!#REF!,"AAAAAE3e/l4=")</f>
        <v>#REF!</v>
      </c>
      <c r="CR72" t="e">
        <f>AND(Liste!#REF!,"AAAAAE3e/l8=")</f>
        <v>#REF!</v>
      </c>
      <c r="CS72" t="e">
        <f>AND(Liste!#REF!,"AAAAAE3e/mA=")</f>
        <v>#REF!</v>
      </c>
      <c r="CT72" t="e">
        <f>AND(Liste!#REF!,"AAAAAE3e/mE=")</f>
        <v>#REF!</v>
      </c>
      <c r="CU72" t="e">
        <f>AND(Liste!#REF!,"AAAAAE3e/mI=")</f>
        <v>#REF!</v>
      </c>
      <c r="CV72" t="e">
        <f>AND(Liste!#REF!,"AAAAAE3e/mM=")</f>
        <v>#REF!</v>
      </c>
      <c r="CW72" t="e">
        <f>AND(Liste!#REF!,"AAAAAE3e/mQ=")</f>
        <v>#REF!</v>
      </c>
      <c r="CX72" t="e">
        <f>AND(Liste!#REF!,"AAAAAE3e/mU=")</f>
        <v>#REF!</v>
      </c>
      <c r="CY72" t="e">
        <f>AND(Liste!#REF!,"AAAAAE3e/mY=")</f>
        <v>#REF!</v>
      </c>
      <c r="CZ72" t="e">
        <f>AND(Liste!#REF!,"AAAAAE3e/mc=")</f>
        <v>#REF!</v>
      </c>
      <c r="DA72" t="e">
        <f>AND(Liste!#REF!,"AAAAAE3e/mg=")</f>
        <v>#REF!</v>
      </c>
      <c r="DB72" t="e">
        <f>AND(Liste!#REF!,"AAAAAE3e/mk=")</f>
        <v>#REF!</v>
      </c>
      <c r="DC72" t="e">
        <f>AND(Liste!#REF!,"AAAAAE3e/mo=")</f>
        <v>#REF!</v>
      </c>
      <c r="DD72" t="e">
        <f>AND(Liste!#REF!,"AAAAAE3e/ms=")</f>
        <v>#REF!</v>
      </c>
      <c r="DE72" t="e">
        <f>AND(Liste!#REF!,"AAAAAE3e/mw=")</f>
        <v>#REF!</v>
      </c>
      <c r="DF72" t="e">
        <f>AND(Liste!#REF!,"AAAAAE3e/m0=")</f>
        <v>#REF!</v>
      </c>
      <c r="DG72" t="e">
        <f>AND(Liste!#REF!,"AAAAAE3e/m4=")</f>
        <v>#REF!</v>
      </c>
      <c r="DH72" t="e">
        <f>AND(Liste!#REF!,"AAAAAE3e/m8=")</f>
        <v>#REF!</v>
      </c>
      <c r="DI72" t="e">
        <f>AND(Liste!#REF!,"AAAAAE3e/nA=")</f>
        <v>#REF!</v>
      </c>
      <c r="DJ72" t="e">
        <f>AND(Liste!#REF!,"AAAAAE3e/nE=")</f>
        <v>#REF!</v>
      </c>
      <c r="DK72" t="e">
        <f>IF(Liste!#REF!,"AAAAAE3e/nI=",0)</f>
        <v>#REF!</v>
      </c>
      <c r="DL72" t="e">
        <f>AND(Liste!#REF!,"AAAAAE3e/nM=")</f>
        <v>#REF!</v>
      </c>
      <c r="DM72" t="e">
        <f>AND(Liste!#REF!,"AAAAAE3e/nQ=")</f>
        <v>#REF!</v>
      </c>
      <c r="DN72" t="e">
        <f>AND(Liste!#REF!,"AAAAAE3e/nU=")</f>
        <v>#REF!</v>
      </c>
      <c r="DO72" t="e">
        <f>AND(Liste!#REF!,"AAAAAE3e/nY=")</f>
        <v>#REF!</v>
      </c>
      <c r="DP72" t="e">
        <f>AND(Liste!#REF!,"AAAAAE3e/nc=")</f>
        <v>#REF!</v>
      </c>
      <c r="DQ72" t="e">
        <f>AND(Liste!#REF!,"AAAAAE3e/ng=")</f>
        <v>#REF!</v>
      </c>
      <c r="DR72" t="e">
        <f>AND(Liste!#REF!,"AAAAAE3e/nk=")</f>
        <v>#REF!</v>
      </c>
      <c r="DS72" t="e">
        <f>AND(Liste!#REF!,"AAAAAE3e/no=")</f>
        <v>#REF!</v>
      </c>
      <c r="DT72" t="e">
        <f>AND(Liste!#REF!,"AAAAAE3e/ns=")</f>
        <v>#REF!</v>
      </c>
      <c r="DU72" t="e">
        <f>AND(Liste!#REF!,"AAAAAE3e/nw=")</f>
        <v>#REF!</v>
      </c>
      <c r="DV72" t="e">
        <f>AND(Liste!#REF!,"AAAAAE3e/n0=")</f>
        <v>#REF!</v>
      </c>
      <c r="DW72" t="e">
        <f>AND(Liste!#REF!,"AAAAAE3e/n4=")</f>
        <v>#REF!</v>
      </c>
      <c r="DX72" t="e">
        <f>AND(Liste!#REF!,"AAAAAE3e/n8=")</f>
        <v>#REF!</v>
      </c>
      <c r="DY72" t="e">
        <f>AND(Liste!#REF!,"AAAAAE3e/oA=")</f>
        <v>#REF!</v>
      </c>
      <c r="DZ72" t="e">
        <f>AND(Liste!#REF!,"AAAAAE3e/oE=")</f>
        <v>#REF!</v>
      </c>
      <c r="EA72" t="e">
        <f>AND(Liste!#REF!,"AAAAAE3e/oI=")</f>
        <v>#REF!</v>
      </c>
      <c r="EB72" t="e">
        <f>AND(Liste!#REF!,"AAAAAE3e/oM=")</f>
        <v>#REF!</v>
      </c>
      <c r="EC72" t="e">
        <f>AND(Liste!#REF!,"AAAAAE3e/oQ=")</f>
        <v>#REF!</v>
      </c>
      <c r="ED72" t="e">
        <f>AND(Liste!#REF!,"AAAAAE3e/oU=")</f>
        <v>#REF!</v>
      </c>
      <c r="EE72" t="e">
        <f>AND(Liste!#REF!,"AAAAAE3e/oY=")</f>
        <v>#REF!</v>
      </c>
      <c r="EF72" t="e">
        <f>AND(Liste!#REF!,"AAAAAE3e/oc=")</f>
        <v>#REF!</v>
      </c>
      <c r="EG72" t="e">
        <f>AND(Liste!#REF!,"AAAAAE3e/og=")</f>
        <v>#REF!</v>
      </c>
      <c r="EH72" t="e">
        <f>AND(Liste!#REF!,"AAAAAE3e/ok=")</f>
        <v>#REF!</v>
      </c>
      <c r="EI72" t="e">
        <f>AND(Liste!#REF!,"AAAAAE3e/oo=")</f>
        <v>#REF!</v>
      </c>
      <c r="EJ72" t="e">
        <f>AND(Liste!#REF!,"AAAAAE3e/os=")</f>
        <v>#REF!</v>
      </c>
      <c r="EK72" t="e">
        <f>AND(Liste!#REF!,"AAAAAE3e/ow=")</f>
        <v>#REF!</v>
      </c>
      <c r="EL72" t="e">
        <f>AND(Liste!#REF!,"AAAAAE3e/o0=")</f>
        <v>#REF!</v>
      </c>
      <c r="EM72" t="e">
        <f>AND(Liste!#REF!,"AAAAAE3e/o4=")</f>
        <v>#REF!</v>
      </c>
      <c r="EN72" t="e">
        <f>AND(Liste!#REF!,"AAAAAE3e/o8=")</f>
        <v>#REF!</v>
      </c>
      <c r="EO72" t="e">
        <f>AND(Liste!#REF!,"AAAAAE3e/pA=")</f>
        <v>#REF!</v>
      </c>
      <c r="EP72" t="e">
        <f>IF(Liste!#REF!,"AAAAAE3e/pE=",0)</f>
        <v>#REF!</v>
      </c>
      <c r="EQ72" t="e">
        <f>AND(Liste!#REF!,"AAAAAE3e/pI=")</f>
        <v>#REF!</v>
      </c>
      <c r="ER72" t="e">
        <f>AND(Liste!#REF!,"AAAAAE3e/pM=")</f>
        <v>#REF!</v>
      </c>
      <c r="ES72" t="e">
        <f>AND(Liste!#REF!,"AAAAAE3e/pQ=")</f>
        <v>#REF!</v>
      </c>
      <c r="ET72" t="e">
        <f>AND(Liste!#REF!,"AAAAAE3e/pU=")</f>
        <v>#REF!</v>
      </c>
      <c r="EU72" t="e">
        <f>AND(Liste!#REF!,"AAAAAE3e/pY=")</f>
        <v>#REF!</v>
      </c>
      <c r="EV72" t="e">
        <f>AND(Liste!#REF!,"AAAAAE3e/pc=")</f>
        <v>#REF!</v>
      </c>
      <c r="EW72" t="e">
        <f>AND(Liste!#REF!,"AAAAAE3e/pg=")</f>
        <v>#REF!</v>
      </c>
      <c r="EX72" t="e">
        <f>AND(Liste!#REF!,"AAAAAE3e/pk=")</f>
        <v>#REF!</v>
      </c>
      <c r="EY72" t="e">
        <f>AND(Liste!#REF!,"AAAAAE3e/po=")</f>
        <v>#REF!</v>
      </c>
      <c r="EZ72" t="e">
        <f>AND(Liste!#REF!,"AAAAAE3e/ps=")</f>
        <v>#REF!</v>
      </c>
      <c r="FA72" t="e">
        <f>AND(Liste!#REF!,"AAAAAE3e/pw=")</f>
        <v>#REF!</v>
      </c>
      <c r="FB72" t="e">
        <f>AND(Liste!#REF!,"AAAAAE3e/p0=")</f>
        <v>#REF!</v>
      </c>
      <c r="FC72" t="e">
        <f>AND(Liste!#REF!,"AAAAAE3e/p4=")</f>
        <v>#REF!</v>
      </c>
      <c r="FD72" t="e">
        <f>AND(Liste!#REF!,"AAAAAE3e/p8=")</f>
        <v>#REF!</v>
      </c>
      <c r="FE72" t="e">
        <f>AND(Liste!#REF!,"AAAAAE3e/qA=")</f>
        <v>#REF!</v>
      </c>
      <c r="FF72" t="e">
        <f>AND(Liste!#REF!,"AAAAAE3e/qE=")</f>
        <v>#REF!</v>
      </c>
      <c r="FG72" t="e">
        <f>AND(Liste!#REF!,"AAAAAE3e/qI=")</f>
        <v>#REF!</v>
      </c>
      <c r="FH72" t="e">
        <f>AND(Liste!#REF!,"AAAAAE3e/qM=")</f>
        <v>#REF!</v>
      </c>
      <c r="FI72" t="e">
        <f>AND(Liste!#REF!,"AAAAAE3e/qQ=")</f>
        <v>#REF!</v>
      </c>
      <c r="FJ72" t="e">
        <f>AND(Liste!#REF!,"AAAAAE3e/qU=")</f>
        <v>#REF!</v>
      </c>
      <c r="FK72" t="e">
        <f>AND(Liste!#REF!,"AAAAAE3e/qY=")</f>
        <v>#REF!</v>
      </c>
      <c r="FL72" t="e">
        <f>AND(Liste!#REF!,"AAAAAE3e/qc=")</f>
        <v>#REF!</v>
      </c>
      <c r="FM72" t="e">
        <f>AND(Liste!#REF!,"AAAAAE3e/qg=")</f>
        <v>#REF!</v>
      </c>
      <c r="FN72" t="e">
        <f>AND(Liste!#REF!,"AAAAAE3e/qk=")</f>
        <v>#REF!</v>
      </c>
      <c r="FO72" t="e">
        <f>AND(Liste!#REF!,"AAAAAE3e/qo=")</f>
        <v>#REF!</v>
      </c>
      <c r="FP72" t="e">
        <f>AND(Liste!#REF!,"AAAAAE3e/qs=")</f>
        <v>#REF!</v>
      </c>
      <c r="FQ72" t="e">
        <f>AND(Liste!#REF!,"AAAAAE3e/qw=")</f>
        <v>#REF!</v>
      </c>
      <c r="FR72" t="e">
        <f>AND(Liste!#REF!,"AAAAAE3e/q0=")</f>
        <v>#REF!</v>
      </c>
      <c r="FS72" t="e">
        <f>AND(Liste!#REF!,"AAAAAE3e/q4=")</f>
        <v>#REF!</v>
      </c>
      <c r="FT72" t="e">
        <f>AND(Liste!#REF!,"AAAAAE3e/q8=")</f>
        <v>#REF!</v>
      </c>
      <c r="FU72" t="e">
        <f>IF(Liste!#REF!,"AAAAAE3e/rA=",0)</f>
        <v>#REF!</v>
      </c>
      <c r="FV72" t="e">
        <f>AND(Liste!#REF!,"AAAAAE3e/rE=")</f>
        <v>#REF!</v>
      </c>
      <c r="FW72" t="e">
        <f>AND(Liste!#REF!,"AAAAAE3e/rI=")</f>
        <v>#REF!</v>
      </c>
      <c r="FX72" t="e">
        <f>AND(Liste!#REF!,"AAAAAE3e/rM=")</f>
        <v>#REF!</v>
      </c>
      <c r="FY72" t="e">
        <f>AND(Liste!#REF!,"AAAAAE3e/rQ=")</f>
        <v>#REF!</v>
      </c>
      <c r="FZ72" t="e">
        <f>AND(Liste!#REF!,"AAAAAE3e/rU=")</f>
        <v>#REF!</v>
      </c>
      <c r="GA72" t="e">
        <f>AND(Liste!#REF!,"AAAAAE3e/rY=")</f>
        <v>#REF!</v>
      </c>
      <c r="GB72" t="e">
        <f>AND(Liste!#REF!,"AAAAAE3e/rc=")</f>
        <v>#REF!</v>
      </c>
      <c r="GC72" t="e">
        <f>AND(Liste!#REF!,"AAAAAE3e/rg=")</f>
        <v>#REF!</v>
      </c>
      <c r="GD72" t="e">
        <f>AND(Liste!#REF!,"AAAAAE3e/rk=")</f>
        <v>#REF!</v>
      </c>
      <c r="GE72" t="e">
        <f>AND(Liste!#REF!,"AAAAAE3e/ro=")</f>
        <v>#REF!</v>
      </c>
      <c r="GF72" t="e">
        <f>AND(Liste!#REF!,"AAAAAE3e/rs=")</f>
        <v>#REF!</v>
      </c>
      <c r="GG72" t="e">
        <f>AND(Liste!#REF!,"AAAAAE3e/rw=")</f>
        <v>#REF!</v>
      </c>
      <c r="GH72" t="e">
        <f>AND(Liste!#REF!,"AAAAAE3e/r0=")</f>
        <v>#REF!</v>
      </c>
      <c r="GI72" t="e">
        <f>AND(Liste!#REF!,"AAAAAE3e/r4=")</f>
        <v>#REF!</v>
      </c>
      <c r="GJ72" t="e">
        <f>AND(Liste!#REF!,"AAAAAE3e/r8=")</f>
        <v>#REF!</v>
      </c>
      <c r="GK72" t="e">
        <f>AND(Liste!#REF!,"AAAAAE3e/sA=")</f>
        <v>#REF!</v>
      </c>
      <c r="GL72" t="e">
        <f>AND(Liste!#REF!,"AAAAAE3e/sE=")</f>
        <v>#REF!</v>
      </c>
      <c r="GM72" t="e">
        <f>AND(Liste!#REF!,"AAAAAE3e/sI=")</f>
        <v>#REF!</v>
      </c>
      <c r="GN72" t="e">
        <f>AND(Liste!#REF!,"AAAAAE3e/sM=")</f>
        <v>#REF!</v>
      </c>
      <c r="GO72" t="e">
        <f>AND(Liste!#REF!,"AAAAAE3e/sQ=")</f>
        <v>#REF!</v>
      </c>
      <c r="GP72" t="e">
        <f>AND(Liste!#REF!,"AAAAAE3e/sU=")</f>
        <v>#REF!</v>
      </c>
      <c r="GQ72" t="e">
        <f>AND(Liste!#REF!,"AAAAAE3e/sY=")</f>
        <v>#REF!</v>
      </c>
      <c r="GR72" t="e">
        <f>AND(Liste!#REF!,"AAAAAE3e/sc=")</f>
        <v>#REF!</v>
      </c>
      <c r="GS72" t="e">
        <f>AND(Liste!#REF!,"AAAAAE3e/sg=")</f>
        <v>#REF!</v>
      </c>
      <c r="GT72" t="e">
        <f>AND(Liste!#REF!,"AAAAAE3e/sk=")</f>
        <v>#REF!</v>
      </c>
      <c r="GU72" t="e">
        <f>AND(Liste!#REF!,"AAAAAE3e/so=")</f>
        <v>#REF!</v>
      </c>
      <c r="GV72" t="e">
        <f>AND(Liste!#REF!,"AAAAAE3e/ss=")</f>
        <v>#REF!</v>
      </c>
      <c r="GW72" t="e">
        <f>AND(Liste!#REF!,"AAAAAE3e/sw=")</f>
        <v>#REF!</v>
      </c>
      <c r="GX72" t="e">
        <f>AND(Liste!#REF!,"AAAAAE3e/s0=")</f>
        <v>#REF!</v>
      </c>
      <c r="GY72" t="e">
        <f>AND(Liste!#REF!,"AAAAAE3e/s4=")</f>
        <v>#REF!</v>
      </c>
      <c r="GZ72" t="e">
        <f>IF(Liste!#REF!,"AAAAAE3e/s8=",0)</f>
        <v>#REF!</v>
      </c>
      <c r="HA72" t="e">
        <f>AND(Liste!#REF!,"AAAAAE3e/tA=")</f>
        <v>#REF!</v>
      </c>
      <c r="HB72" t="e">
        <f>AND(Liste!#REF!,"AAAAAE3e/tE=")</f>
        <v>#REF!</v>
      </c>
      <c r="HC72" t="e">
        <f>AND(Liste!#REF!,"AAAAAE3e/tI=")</f>
        <v>#REF!</v>
      </c>
      <c r="HD72" t="e">
        <f>AND(Liste!#REF!,"AAAAAE3e/tM=")</f>
        <v>#REF!</v>
      </c>
      <c r="HE72" t="e">
        <f>AND(Liste!#REF!,"AAAAAE3e/tQ=")</f>
        <v>#REF!</v>
      </c>
      <c r="HF72" t="e">
        <f>AND(Liste!#REF!,"AAAAAE3e/tU=")</f>
        <v>#REF!</v>
      </c>
      <c r="HG72" t="e">
        <f>AND(Liste!#REF!,"AAAAAE3e/tY=")</f>
        <v>#REF!</v>
      </c>
      <c r="HH72" t="e">
        <f>AND(Liste!#REF!,"AAAAAE3e/tc=")</f>
        <v>#REF!</v>
      </c>
      <c r="HI72" t="e">
        <f>AND(Liste!#REF!,"AAAAAE3e/tg=")</f>
        <v>#REF!</v>
      </c>
      <c r="HJ72" t="e">
        <f>AND(Liste!#REF!,"AAAAAE3e/tk=")</f>
        <v>#REF!</v>
      </c>
      <c r="HK72" t="e">
        <f>AND(Liste!#REF!,"AAAAAE3e/to=")</f>
        <v>#REF!</v>
      </c>
      <c r="HL72" t="e">
        <f>AND(Liste!#REF!,"AAAAAE3e/ts=")</f>
        <v>#REF!</v>
      </c>
      <c r="HM72" t="e">
        <f>AND(Liste!#REF!,"AAAAAE3e/tw=")</f>
        <v>#REF!</v>
      </c>
      <c r="HN72" t="e">
        <f>AND(Liste!#REF!,"AAAAAE3e/t0=")</f>
        <v>#REF!</v>
      </c>
      <c r="HO72" t="e">
        <f>AND(Liste!#REF!,"AAAAAE3e/t4=")</f>
        <v>#REF!</v>
      </c>
      <c r="HP72" t="e">
        <f>AND(Liste!#REF!,"AAAAAE3e/t8=")</f>
        <v>#REF!</v>
      </c>
      <c r="HQ72" t="e">
        <f>AND(Liste!#REF!,"AAAAAE3e/uA=")</f>
        <v>#REF!</v>
      </c>
      <c r="HR72" t="e">
        <f>AND(Liste!#REF!,"AAAAAE3e/uE=")</f>
        <v>#REF!</v>
      </c>
      <c r="HS72" t="e">
        <f>AND(Liste!#REF!,"AAAAAE3e/uI=")</f>
        <v>#REF!</v>
      </c>
      <c r="HT72" t="e">
        <f>AND(Liste!#REF!,"AAAAAE3e/uM=")</f>
        <v>#REF!</v>
      </c>
      <c r="HU72" t="e">
        <f>AND(Liste!#REF!,"AAAAAE3e/uQ=")</f>
        <v>#REF!</v>
      </c>
      <c r="HV72" t="e">
        <f>AND(Liste!#REF!,"AAAAAE3e/uU=")</f>
        <v>#REF!</v>
      </c>
      <c r="HW72" t="e">
        <f>AND(Liste!#REF!,"AAAAAE3e/uY=")</f>
        <v>#REF!</v>
      </c>
      <c r="HX72" t="e">
        <f>AND(Liste!#REF!,"AAAAAE3e/uc=")</f>
        <v>#REF!</v>
      </c>
      <c r="HY72" t="e">
        <f>AND(Liste!#REF!,"AAAAAE3e/ug=")</f>
        <v>#REF!</v>
      </c>
      <c r="HZ72" t="e">
        <f>AND(Liste!#REF!,"AAAAAE3e/uk=")</f>
        <v>#REF!</v>
      </c>
      <c r="IA72" t="e">
        <f>AND(Liste!#REF!,"AAAAAE3e/uo=")</f>
        <v>#REF!</v>
      </c>
      <c r="IB72" t="e">
        <f>AND(Liste!#REF!,"AAAAAE3e/us=")</f>
        <v>#REF!</v>
      </c>
      <c r="IC72" t="e">
        <f>AND(Liste!#REF!,"AAAAAE3e/uw=")</f>
        <v>#REF!</v>
      </c>
      <c r="ID72" t="e">
        <f>AND(Liste!#REF!,"AAAAAE3e/u0=")</f>
        <v>#REF!</v>
      </c>
      <c r="IE72" t="e">
        <f>IF(Liste!#REF!,"AAAAAE3e/u4=",0)</f>
        <v>#REF!</v>
      </c>
      <c r="IF72" t="e">
        <f>AND(Liste!#REF!,"AAAAAE3e/u8=")</f>
        <v>#REF!</v>
      </c>
      <c r="IG72" t="e">
        <f>AND(Liste!#REF!,"AAAAAE3e/vA=")</f>
        <v>#REF!</v>
      </c>
      <c r="IH72" t="e">
        <f>AND(Liste!#REF!,"AAAAAE3e/vE=")</f>
        <v>#REF!</v>
      </c>
      <c r="II72" t="e">
        <f>AND(Liste!#REF!,"AAAAAE3e/vI=")</f>
        <v>#REF!</v>
      </c>
      <c r="IJ72" t="e">
        <f>AND(Liste!#REF!,"AAAAAE3e/vM=")</f>
        <v>#REF!</v>
      </c>
      <c r="IK72" t="e">
        <f>AND(Liste!#REF!,"AAAAAE3e/vQ=")</f>
        <v>#REF!</v>
      </c>
      <c r="IL72" t="e">
        <f>AND(Liste!#REF!,"AAAAAE3e/vU=")</f>
        <v>#REF!</v>
      </c>
      <c r="IM72" t="e">
        <f>AND(Liste!#REF!,"AAAAAE3e/vY=")</f>
        <v>#REF!</v>
      </c>
      <c r="IN72" t="e">
        <f>AND(Liste!#REF!,"AAAAAE3e/vc=")</f>
        <v>#REF!</v>
      </c>
      <c r="IO72" t="e">
        <f>AND(Liste!#REF!,"AAAAAE3e/vg=")</f>
        <v>#REF!</v>
      </c>
      <c r="IP72" t="e">
        <f>AND(Liste!#REF!,"AAAAAE3e/vk=")</f>
        <v>#REF!</v>
      </c>
      <c r="IQ72" t="e">
        <f>AND(Liste!#REF!,"AAAAAE3e/vo=")</f>
        <v>#REF!</v>
      </c>
      <c r="IR72" t="e">
        <f>AND(Liste!#REF!,"AAAAAE3e/vs=")</f>
        <v>#REF!</v>
      </c>
      <c r="IS72" t="e">
        <f>AND(Liste!#REF!,"AAAAAE3e/vw=")</f>
        <v>#REF!</v>
      </c>
      <c r="IT72" t="e">
        <f>AND(Liste!#REF!,"AAAAAE3e/v0=")</f>
        <v>#REF!</v>
      </c>
      <c r="IU72" t="e">
        <f>AND(Liste!#REF!,"AAAAAE3e/v4=")</f>
        <v>#REF!</v>
      </c>
      <c r="IV72" t="e">
        <f>AND(Liste!#REF!,"AAAAAE3e/v8=")</f>
        <v>#REF!</v>
      </c>
    </row>
    <row r="73" spans="1:256" x14ac:dyDescent="0.2">
      <c r="A73" t="e">
        <f>AND(Liste!#REF!,"AAAAAF/vfwA=")</f>
        <v>#REF!</v>
      </c>
      <c r="B73" t="e">
        <f>AND(Liste!#REF!,"AAAAAF/vfwE=")</f>
        <v>#REF!</v>
      </c>
      <c r="C73" t="e">
        <f>AND(Liste!#REF!,"AAAAAF/vfwI=")</f>
        <v>#REF!</v>
      </c>
      <c r="D73" t="e">
        <f>AND(Liste!#REF!,"AAAAAF/vfwM=")</f>
        <v>#REF!</v>
      </c>
      <c r="E73" t="e">
        <f>AND(Liste!#REF!,"AAAAAF/vfwQ=")</f>
        <v>#REF!</v>
      </c>
      <c r="F73" t="e">
        <f>AND(Liste!#REF!,"AAAAAF/vfwU=")</f>
        <v>#REF!</v>
      </c>
      <c r="G73" t="e">
        <f>AND(Liste!#REF!,"AAAAAF/vfwY=")</f>
        <v>#REF!</v>
      </c>
      <c r="H73" t="e">
        <f>AND(Liste!#REF!,"AAAAAF/vfwc=")</f>
        <v>#REF!</v>
      </c>
      <c r="I73" t="e">
        <f>AND(Liste!#REF!,"AAAAAF/vfwg=")</f>
        <v>#REF!</v>
      </c>
      <c r="J73" t="e">
        <f>AND(Liste!#REF!,"AAAAAF/vfwk=")</f>
        <v>#REF!</v>
      </c>
      <c r="K73" t="e">
        <f>AND(Liste!#REF!,"AAAAAF/vfwo=")</f>
        <v>#REF!</v>
      </c>
      <c r="L73" t="e">
        <f>AND(Liste!#REF!,"AAAAAF/vfws=")</f>
        <v>#REF!</v>
      </c>
      <c r="M73" t="e">
        <f>AND(Liste!#REF!,"AAAAAF/vfww=")</f>
        <v>#REF!</v>
      </c>
      <c r="N73" t="e">
        <f>IF(Liste!#REF!,"AAAAAF/vfw0=",0)</f>
        <v>#REF!</v>
      </c>
      <c r="O73" t="e">
        <f>AND(Liste!#REF!,"AAAAAF/vfw4=")</f>
        <v>#REF!</v>
      </c>
      <c r="P73" t="e">
        <f>AND(Liste!#REF!,"AAAAAF/vfw8=")</f>
        <v>#REF!</v>
      </c>
      <c r="Q73" t="e">
        <f>AND(Liste!#REF!,"AAAAAF/vfxA=")</f>
        <v>#REF!</v>
      </c>
      <c r="R73" t="e">
        <f>AND(Liste!#REF!,"AAAAAF/vfxE=")</f>
        <v>#REF!</v>
      </c>
      <c r="S73" t="e">
        <f>AND(Liste!#REF!,"AAAAAF/vfxI=")</f>
        <v>#REF!</v>
      </c>
      <c r="T73" t="e">
        <f>AND(Liste!#REF!,"AAAAAF/vfxM=")</f>
        <v>#REF!</v>
      </c>
      <c r="U73" t="e">
        <f>AND(Liste!#REF!,"AAAAAF/vfxQ=")</f>
        <v>#REF!</v>
      </c>
      <c r="V73" t="e">
        <f>AND(Liste!#REF!,"AAAAAF/vfxU=")</f>
        <v>#REF!</v>
      </c>
      <c r="W73" t="e">
        <f>AND(Liste!#REF!,"AAAAAF/vfxY=")</f>
        <v>#REF!</v>
      </c>
      <c r="X73" t="e">
        <f>AND(Liste!#REF!,"AAAAAF/vfxc=")</f>
        <v>#REF!</v>
      </c>
      <c r="Y73" t="e">
        <f>AND(Liste!#REF!,"AAAAAF/vfxg=")</f>
        <v>#REF!</v>
      </c>
      <c r="Z73" t="e">
        <f>AND(Liste!#REF!,"AAAAAF/vfxk=")</f>
        <v>#REF!</v>
      </c>
      <c r="AA73" t="e">
        <f>AND(Liste!#REF!,"AAAAAF/vfxo=")</f>
        <v>#REF!</v>
      </c>
      <c r="AB73" t="e">
        <f>AND(Liste!#REF!,"AAAAAF/vfxs=")</f>
        <v>#REF!</v>
      </c>
      <c r="AC73" t="e">
        <f>AND(Liste!#REF!,"AAAAAF/vfxw=")</f>
        <v>#REF!</v>
      </c>
      <c r="AD73" t="e">
        <f>AND(Liste!#REF!,"AAAAAF/vfx0=")</f>
        <v>#REF!</v>
      </c>
      <c r="AE73" t="e">
        <f>AND(Liste!#REF!,"AAAAAF/vfx4=")</f>
        <v>#REF!</v>
      </c>
      <c r="AF73" t="e">
        <f>AND(Liste!#REF!,"AAAAAF/vfx8=")</f>
        <v>#REF!</v>
      </c>
      <c r="AG73" t="e">
        <f>AND(Liste!#REF!,"AAAAAF/vfyA=")</f>
        <v>#REF!</v>
      </c>
      <c r="AH73" t="e">
        <f>AND(Liste!#REF!,"AAAAAF/vfyE=")</f>
        <v>#REF!</v>
      </c>
      <c r="AI73" t="e">
        <f>AND(Liste!#REF!,"AAAAAF/vfyI=")</f>
        <v>#REF!</v>
      </c>
      <c r="AJ73" t="e">
        <f>AND(Liste!#REF!,"AAAAAF/vfyM=")</f>
        <v>#REF!</v>
      </c>
      <c r="AK73" t="e">
        <f>AND(Liste!#REF!,"AAAAAF/vfyQ=")</f>
        <v>#REF!</v>
      </c>
      <c r="AL73" t="e">
        <f>AND(Liste!#REF!,"AAAAAF/vfyU=")</f>
        <v>#REF!</v>
      </c>
      <c r="AM73" t="e">
        <f>AND(Liste!#REF!,"AAAAAF/vfyY=")</f>
        <v>#REF!</v>
      </c>
      <c r="AN73" t="e">
        <f>AND(Liste!#REF!,"AAAAAF/vfyc=")</f>
        <v>#REF!</v>
      </c>
      <c r="AO73" t="e">
        <f>AND(Liste!#REF!,"AAAAAF/vfyg=")</f>
        <v>#REF!</v>
      </c>
      <c r="AP73" t="e">
        <f>AND(Liste!#REF!,"AAAAAF/vfyk=")</f>
        <v>#REF!</v>
      </c>
      <c r="AQ73" t="e">
        <f>AND(Liste!#REF!,"AAAAAF/vfyo=")</f>
        <v>#REF!</v>
      </c>
      <c r="AR73" t="e">
        <f>AND(Liste!#REF!,"AAAAAF/vfys=")</f>
        <v>#REF!</v>
      </c>
      <c r="AS73" t="e">
        <f>IF(Liste!#REF!,"AAAAAF/vfyw=",0)</f>
        <v>#REF!</v>
      </c>
      <c r="AT73" t="e">
        <f>AND(Liste!#REF!,"AAAAAF/vfy0=")</f>
        <v>#REF!</v>
      </c>
      <c r="AU73" t="e">
        <f>AND(Liste!#REF!,"AAAAAF/vfy4=")</f>
        <v>#REF!</v>
      </c>
      <c r="AV73" t="e">
        <f>AND(Liste!#REF!,"AAAAAF/vfy8=")</f>
        <v>#REF!</v>
      </c>
      <c r="AW73" t="e">
        <f>AND(Liste!#REF!,"AAAAAF/vfzA=")</f>
        <v>#REF!</v>
      </c>
      <c r="AX73" t="e">
        <f>AND(Liste!#REF!,"AAAAAF/vfzE=")</f>
        <v>#REF!</v>
      </c>
      <c r="AY73" t="e">
        <f>AND(Liste!#REF!,"AAAAAF/vfzI=")</f>
        <v>#REF!</v>
      </c>
      <c r="AZ73" t="e">
        <f>AND(Liste!#REF!,"AAAAAF/vfzM=")</f>
        <v>#REF!</v>
      </c>
      <c r="BA73" t="e">
        <f>AND(Liste!#REF!,"AAAAAF/vfzQ=")</f>
        <v>#REF!</v>
      </c>
      <c r="BB73" t="e">
        <f>AND(Liste!#REF!,"AAAAAF/vfzU=")</f>
        <v>#REF!</v>
      </c>
      <c r="BC73" t="e">
        <f>AND(Liste!#REF!,"AAAAAF/vfzY=")</f>
        <v>#REF!</v>
      </c>
      <c r="BD73" t="e">
        <f>AND(Liste!#REF!,"AAAAAF/vfzc=")</f>
        <v>#REF!</v>
      </c>
      <c r="BE73" t="e">
        <f>AND(Liste!#REF!,"AAAAAF/vfzg=")</f>
        <v>#REF!</v>
      </c>
      <c r="BF73" t="e">
        <f>AND(Liste!#REF!,"AAAAAF/vfzk=")</f>
        <v>#REF!</v>
      </c>
      <c r="BG73" t="e">
        <f>AND(Liste!#REF!,"AAAAAF/vfzo=")</f>
        <v>#REF!</v>
      </c>
      <c r="BH73" t="e">
        <f>AND(Liste!#REF!,"AAAAAF/vfzs=")</f>
        <v>#REF!</v>
      </c>
      <c r="BI73" t="e">
        <f>AND(Liste!#REF!,"AAAAAF/vfzw=")</f>
        <v>#REF!</v>
      </c>
      <c r="BJ73" t="e">
        <f>AND(Liste!#REF!,"AAAAAF/vfz0=")</f>
        <v>#REF!</v>
      </c>
      <c r="BK73" t="e">
        <f>AND(Liste!#REF!,"AAAAAF/vfz4=")</f>
        <v>#REF!</v>
      </c>
      <c r="BL73" t="e">
        <f>AND(Liste!#REF!,"AAAAAF/vfz8=")</f>
        <v>#REF!</v>
      </c>
      <c r="BM73" t="e">
        <f>AND(Liste!#REF!,"AAAAAF/vf0A=")</f>
        <v>#REF!</v>
      </c>
      <c r="BN73" t="e">
        <f>AND(Liste!#REF!,"AAAAAF/vf0E=")</f>
        <v>#REF!</v>
      </c>
      <c r="BO73" t="e">
        <f>AND(Liste!#REF!,"AAAAAF/vf0I=")</f>
        <v>#REF!</v>
      </c>
      <c r="BP73" t="e">
        <f>AND(Liste!#REF!,"AAAAAF/vf0M=")</f>
        <v>#REF!</v>
      </c>
      <c r="BQ73" t="e">
        <f>AND(Liste!#REF!,"AAAAAF/vf0Q=")</f>
        <v>#REF!</v>
      </c>
      <c r="BR73" t="e">
        <f>AND(Liste!#REF!,"AAAAAF/vf0U=")</f>
        <v>#REF!</v>
      </c>
      <c r="BS73" t="e">
        <f>AND(Liste!#REF!,"AAAAAF/vf0Y=")</f>
        <v>#REF!</v>
      </c>
      <c r="BT73" t="e">
        <f>AND(Liste!#REF!,"AAAAAF/vf0c=")</f>
        <v>#REF!</v>
      </c>
      <c r="BU73" t="e">
        <f>AND(Liste!#REF!,"AAAAAF/vf0g=")</f>
        <v>#REF!</v>
      </c>
      <c r="BV73" t="e">
        <f>AND(Liste!#REF!,"AAAAAF/vf0k=")</f>
        <v>#REF!</v>
      </c>
      <c r="BW73" t="e">
        <f>AND(Liste!#REF!,"AAAAAF/vf0o=")</f>
        <v>#REF!</v>
      </c>
      <c r="BX73" t="e">
        <f>IF(Liste!#REF!,"AAAAAF/vf0s=",0)</f>
        <v>#REF!</v>
      </c>
      <c r="BY73" t="e">
        <f>AND(Liste!#REF!,"AAAAAF/vf0w=")</f>
        <v>#REF!</v>
      </c>
      <c r="BZ73" t="e">
        <f>AND(Liste!#REF!,"AAAAAF/vf00=")</f>
        <v>#REF!</v>
      </c>
      <c r="CA73" t="e">
        <f>AND(Liste!#REF!,"AAAAAF/vf04=")</f>
        <v>#REF!</v>
      </c>
      <c r="CB73" t="e">
        <f>AND(Liste!#REF!,"AAAAAF/vf08=")</f>
        <v>#REF!</v>
      </c>
      <c r="CC73" t="e">
        <f>AND(Liste!#REF!,"AAAAAF/vf1A=")</f>
        <v>#REF!</v>
      </c>
      <c r="CD73" t="e">
        <f>AND(Liste!#REF!,"AAAAAF/vf1E=")</f>
        <v>#REF!</v>
      </c>
      <c r="CE73" t="e">
        <f>AND(Liste!#REF!,"AAAAAF/vf1I=")</f>
        <v>#REF!</v>
      </c>
      <c r="CF73" t="e">
        <f>AND(Liste!#REF!,"AAAAAF/vf1M=")</f>
        <v>#REF!</v>
      </c>
      <c r="CG73" t="e">
        <f>AND(Liste!#REF!,"AAAAAF/vf1Q=")</f>
        <v>#REF!</v>
      </c>
      <c r="CH73" t="e">
        <f>AND(Liste!#REF!,"AAAAAF/vf1U=")</f>
        <v>#REF!</v>
      </c>
      <c r="CI73" t="e">
        <f>AND(Liste!#REF!,"AAAAAF/vf1Y=")</f>
        <v>#REF!</v>
      </c>
      <c r="CJ73" t="e">
        <f>AND(Liste!#REF!,"AAAAAF/vf1c=")</f>
        <v>#REF!</v>
      </c>
      <c r="CK73" t="e">
        <f>AND(Liste!#REF!,"AAAAAF/vf1g=")</f>
        <v>#REF!</v>
      </c>
      <c r="CL73" t="e">
        <f>AND(Liste!#REF!,"AAAAAF/vf1k=")</f>
        <v>#REF!</v>
      </c>
      <c r="CM73" t="e">
        <f>AND(Liste!#REF!,"AAAAAF/vf1o=")</f>
        <v>#REF!</v>
      </c>
      <c r="CN73" t="e">
        <f>AND(Liste!#REF!,"AAAAAF/vf1s=")</f>
        <v>#REF!</v>
      </c>
      <c r="CO73" t="e">
        <f>AND(Liste!#REF!,"AAAAAF/vf1w=")</f>
        <v>#REF!</v>
      </c>
      <c r="CP73" t="e">
        <f>AND(Liste!#REF!,"AAAAAF/vf10=")</f>
        <v>#REF!</v>
      </c>
      <c r="CQ73" t="e">
        <f>AND(Liste!#REF!,"AAAAAF/vf14=")</f>
        <v>#REF!</v>
      </c>
      <c r="CR73" t="e">
        <f>AND(Liste!#REF!,"AAAAAF/vf18=")</f>
        <v>#REF!</v>
      </c>
      <c r="CS73" t="e">
        <f>AND(Liste!#REF!,"AAAAAF/vf2A=")</f>
        <v>#REF!</v>
      </c>
      <c r="CT73" t="e">
        <f>AND(Liste!#REF!,"AAAAAF/vf2E=")</f>
        <v>#REF!</v>
      </c>
      <c r="CU73" t="e">
        <f>AND(Liste!#REF!,"AAAAAF/vf2I=")</f>
        <v>#REF!</v>
      </c>
      <c r="CV73" t="e">
        <f>AND(Liste!#REF!,"AAAAAF/vf2M=")</f>
        <v>#REF!</v>
      </c>
      <c r="CW73" t="e">
        <f>AND(Liste!#REF!,"AAAAAF/vf2Q=")</f>
        <v>#REF!</v>
      </c>
      <c r="CX73" t="e">
        <f>AND(Liste!#REF!,"AAAAAF/vf2U=")</f>
        <v>#REF!</v>
      </c>
      <c r="CY73" t="e">
        <f>AND(Liste!#REF!,"AAAAAF/vf2Y=")</f>
        <v>#REF!</v>
      </c>
      <c r="CZ73" t="e">
        <f>AND(Liste!#REF!,"AAAAAF/vf2c=")</f>
        <v>#REF!</v>
      </c>
      <c r="DA73" t="e">
        <f>AND(Liste!#REF!,"AAAAAF/vf2g=")</f>
        <v>#REF!</v>
      </c>
      <c r="DB73" t="e">
        <f>AND(Liste!#REF!,"AAAAAF/vf2k=")</f>
        <v>#REF!</v>
      </c>
      <c r="DC73" t="e">
        <f>IF(Liste!#REF!,"AAAAAF/vf2o=",0)</f>
        <v>#REF!</v>
      </c>
      <c r="DD73" t="e">
        <f>AND(Liste!#REF!,"AAAAAF/vf2s=")</f>
        <v>#REF!</v>
      </c>
      <c r="DE73" t="e">
        <f>AND(Liste!#REF!,"AAAAAF/vf2w=")</f>
        <v>#REF!</v>
      </c>
      <c r="DF73" t="e">
        <f>AND(Liste!#REF!,"AAAAAF/vf20=")</f>
        <v>#REF!</v>
      </c>
      <c r="DG73" t="e">
        <f>AND(Liste!#REF!,"AAAAAF/vf24=")</f>
        <v>#REF!</v>
      </c>
      <c r="DH73" t="e">
        <f>AND(Liste!#REF!,"AAAAAF/vf28=")</f>
        <v>#REF!</v>
      </c>
      <c r="DI73" t="e">
        <f>AND(Liste!#REF!,"AAAAAF/vf3A=")</f>
        <v>#REF!</v>
      </c>
      <c r="DJ73" t="e">
        <f>AND(Liste!#REF!,"AAAAAF/vf3E=")</f>
        <v>#REF!</v>
      </c>
      <c r="DK73" t="e">
        <f>AND(Liste!#REF!,"AAAAAF/vf3I=")</f>
        <v>#REF!</v>
      </c>
      <c r="DL73" t="e">
        <f>AND(Liste!#REF!,"AAAAAF/vf3M=")</f>
        <v>#REF!</v>
      </c>
      <c r="DM73" t="e">
        <f>AND(Liste!#REF!,"AAAAAF/vf3Q=")</f>
        <v>#REF!</v>
      </c>
      <c r="DN73" t="e">
        <f>AND(Liste!#REF!,"AAAAAF/vf3U=")</f>
        <v>#REF!</v>
      </c>
      <c r="DO73" t="e">
        <f>AND(Liste!#REF!,"AAAAAF/vf3Y=")</f>
        <v>#REF!</v>
      </c>
      <c r="DP73" t="e">
        <f>AND(Liste!#REF!,"AAAAAF/vf3c=")</f>
        <v>#REF!</v>
      </c>
      <c r="DQ73" t="e">
        <f>AND(Liste!#REF!,"AAAAAF/vf3g=")</f>
        <v>#REF!</v>
      </c>
      <c r="DR73" t="e">
        <f>AND(Liste!#REF!,"AAAAAF/vf3k=")</f>
        <v>#REF!</v>
      </c>
      <c r="DS73" t="e">
        <f>AND(Liste!#REF!,"AAAAAF/vf3o=")</f>
        <v>#REF!</v>
      </c>
      <c r="DT73" t="e">
        <f>AND(Liste!#REF!,"AAAAAF/vf3s=")</f>
        <v>#REF!</v>
      </c>
      <c r="DU73" t="e">
        <f>AND(Liste!#REF!,"AAAAAF/vf3w=")</f>
        <v>#REF!</v>
      </c>
      <c r="DV73" t="e">
        <f>AND(Liste!#REF!,"AAAAAF/vf30=")</f>
        <v>#REF!</v>
      </c>
      <c r="DW73" t="e">
        <f>AND(Liste!#REF!,"AAAAAF/vf34=")</f>
        <v>#REF!</v>
      </c>
      <c r="DX73" t="e">
        <f>AND(Liste!#REF!,"AAAAAF/vf38=")</f>
        <v>#REF!</v>
      </c>
      <c r="DY73" t="e">
        <f>AND(Liste!#REF!,"AAAAAF/vf4A=")</f>
        <v>#REF!</v>
      </c>
      <c r="DZ73" t="e">
        <f>AND(Liste!#REF!,"AAAAAF/vf4E=")</f>
        <v>#REF!</v>
      </c>
      <c r="EA73" t="e">
        <f>AND(Liste!#REF!,"AAAAAF/vf4I=")</f>
        <v>#REF!</v>
      </c>
      <c r="EB73" t="e">
        <f>AND(Liste!#REF!,"AAAAAF/vf4M=")</f>
        <v>#REF!</v>
      </c>
      <c r="EC73" t="e">
        <f>AND(Liste!#REF!,"AAAAAF/vf4Q=")</f>
        <v>#REF!</v>
      </c>
      <c r="ED73" t="e">
        <f>AND(Liste!#REF!,"AAAAAF/vf4U=")</f>
        <v>#REF!</v>
      </c>
      <c r="EE73" t="e">
        <f>AND(Liste!#REF!,"AAAAAF/vf4Y=")</f>
        <v>#REF!</v>
      </c>
      <c r="EF73" t="e">
        <f>AND(Liste!#REF!,"AAAAAF/vf4c=")</f>
        <v>#REF!</v>
      </c>
      <c r="EG73" t="e">
        <f>AND(Liste!#REF!,"AAAAAF/vf4g=")</f>
        <v>#REF!</v>
      </c>
      <c r="EH73" t="e">
        <f>IF(Liste!#REF!,"AAAAAF/vf4k=",0)</f>
        <v>#REF!</v>
      </c>
      <c r="EI73" t="e">
        <f>AND(Liste!#REF!,"AAAAAF/vf4o=")</f>
        <v>#REF!</v>
      </c>
      <c r="EJ73" t="e">
        <f>AND(Liste!#REF!,"AAAAAF/vf4s=")</f>
        <v>#REF!</v>
      </c>
      <c r="EK73" t="e">
        <f>AND(Liste!#REF!,"AAAAAF/vf4w=")</f>
        <v>#REF!</v>
      </c>
      <c r="EL73" t="e">
        <f>AND(Liste!#REF!,"AAAAAF/vf40=")</f>
        <v>#REF!</v>
      </c>
      <c r="EM73" t="e">
        <f>AND(Liste!#REF!,"AAAAAF/vf44=")</f>
        <v>#REF!</v>
      </c>
      <c r="EN73" t="e">
        <f>AND(Liste!#REF!,"AAAAAF/vf48=")</f>
        <v>#REF!</v>
      </c>
      <c r="EO73" t="e">
        <f>AND(Liste!#REF!,"AAAAAF/vf5A=")</f>
        <v>#REF!</v>
      </c>
      <c r="EP73" t="e">
        <f>AND(Liste!#REF!,"AAAAAF/vf5E=")</f>
        <v>#REF!</v>
      </c>
      <c r="EQ73" t="e">
        <f>AND(Liste!#REF!,"AAAAAF/vf5I=")</f>
        <v>#REF!</v>
      </c>
      <c r="ER73" t="e">
        <f>AND(Liste!#REF!,"AAAAAF/vf5M=")</f>
        <v>#REF!</v>
      </c>
      <c r="ES73" t="e">
        <f>AND(Liste!#REF!,"AAAAAF/vf5Q=")</f>
        <v>#REF!</v>
      </c>
      <c r="ET73" t="e">
        <f>AND(Liste!#REF!,"AAAAAF/vf5U=")</f>
        <v>#REF!</v>
      </c>
      <c r="EU73" t="e">
        <f>AND(Liste!#REF!,"AAAAAF/vf5Y=")</f>
        <v>#REF!</v>
      </c>
      <c r="EV73" t="e">
        <f>AND(Liste!#REF!,"AAAAAF/vf5c=")</f>
        <v>#REF!</v>
      </c>
      <c r="EW73" t="e">
        <f>AND(Liste!#REF!,"AAAAAF/vf5g=")</f>
        <v>#REF!</v>
      </c>
      <c r="EX73" t="e">
        <f>AND(Liste!#REF!,"AAAAAF/vf5k=")</f>
        <v>#REF!</v>
      </c>
      <c r="EY73" t="e">
        <f>AND(Liste!#REF!,"AAAAAF/vf5o=")</f>
        <v>#REF!</v>
      </c>
      <c r="EZ73" t="e">
        <f>AND(Liste!#REF!,"AAAAAF/vf5s=")</f>
        <v>#REF!</v>
      </c>
      <c r="FA73" t="e">
        <f>AND(Liste!#REF!,"AAAAAF/vf5w=")</f>
        <v>#REF!</v>
      </c>
      <c r="FB73" t="e">
        <f>AND(Liste!#REF!,"AAAAAF/vf50=")</f>
        <v>#REF!</v>
      </c>
      <c r="FC73" t="e">
        <f>AND(Liste!#REF!,"AAAAAF/vf54=")</f>
        <v>#REF!</v>
      </c>
      <c r="FD73" t="e">
        <f>AND(Liste!#REF!,"AAAAAF/vf58=")</f>
        <v>#REF!</v>
      </c>
      <c r="FE73" t="e">
        <f>AND(Liste!#REF!,"AAAAAF/vf6A=")</f>
        <v>#REF!</v>
      </c>
      <c r="FF73" t="e">
        <f>AND(Liste!#REF!,"AAAAAF/vf6E=")</f>
        <v>#REF!</v>
      </c>
      <c r="FG73" t="e">
        <f>AND(Liste!#REF!,"AAAAAF/vf6I=")</f>
        <v>#REF!</v>
      </c>
      <c r="FH73" t="e">
        <f>AND(Liste!#REF!,"AAAAAF/vf6M=")</f>
        <v>#REF!</v>
      </c>
      <c r="FI73" t="e">
        <f>AND(Liste!#REF!,"AAAAAF/vf6Q=")</f>
        <v>#REF!</v>
      </c>
      <c r="FJ73" t="e">
        <f>AND(Liste!#REF!,"AAAAAF/vf6U=")</f>
        <v>#REF!</v>
      </c>
      <c r="FK73" t="e">
        <f>AND(Liste!#REF!,"AAAAAF/vf6Y=")</f>
        <v>#REF!</v>
      </c>
      <c r="FL73" t="e">
        <f>AND(Liste!#REF!,"AAAAAF/vf6c=")</f>
        <v>#REF!</v>
      </c>
      <c r="FM73" t="e">
        <f>IF(Liste!#REF!,"AAAAAF/vf6g=",0)</f>
        <v>#REF!</v>
      </c>
      <c r="FN73" t="e">
        <f>AND(Liste!#REF!,"AAAAAF/vf6k=")</f>
        <v>#REF!</v>
      </c>
      <c r="FO73" t="e">
        <f>AND(Liste!#REF!,"AAAAAF/vf6o=")</f>
        <v>#REF!</v>
      </c>
      <c r="FP73" t="e">
        <f>AND(Liste!#REF!,"AAAAAF/vf6s=")</f>
        <v>#REF!</v>
      </c>
      <c r="FQ73" t="e">
        <f>AND(Liste!#REF!,"AAAAAF/vf6w=")</f>
        <v>#REF!</v>
      </c>
      <c r="FR73" t="e">
        <f>AND(Liste!#REF!,"AAAAAF/vf60=")</f>
        <v>#REF!</v>
      </c>
      <c r="FS73" t="e">
        <f>AND(Liste!#REF!,"AAAAAF/vf64=")</f>
        <v>#REF!</v>
      </c>
      <c r="FT73" t="e">
        <f>AND(Liste!#REF!,"AAAAAF/vf68=")</f>
        <v>#REF!</v>
      </c>
      <c r="FU73" t="e">
        <f>AND(Liste!#REF!,"AAAAAF/vf7A=")</f>
        <v>#REF!</v>
      </c>
      <c r="FV73" t="e">
        <f>AND(Liste!#REF!,"AAAAAF/vf7E=")</f>
        <v>#REF!</v>
      </c>
      <c r="FW73" t="e">
        <f>AND(Liste!#REF!,"AAAAAF/vf7I=")</f>
        <v>#REF!</v>
      </c>
      <c r="FX73" t="e">
        <f>AND(Liste!#REF!,"AAAAAF/vf7M=")</f>
        <v>#REF!</v>
      </c>
      <c r="FY73" t="e">
        <f>AND(Liste!#REF!,"AAAAAF/vf7Q=")</f>
        <v>#REF!</v>
      </c>
      <c r="FZ73" t="e">
        <f>AND(Liste!#REF!,"AAAAAF/vf7U=")</f>
        <v>#REF!</v>
      </c>
      <c r="GA73" t="e">
        <f>AND(Liste!#REF!,"AAAAAF/vf7Y=")</f>
        <v>#REF!</v>
      </c>
      <c r="GB73" t="e">
        <f>AND(Liste!#REF!,"AAAAAF/vf7c=")</f>
        <v>#REF!</v>
      </c>
      <c r="GC73" t="e">
        <f>AND(Liste!#REF!,"AAAAAF/vf7g=")</f>
        <v>#REF!</v>
      </c>
      <c r="GD73" t="e">
        <f>AND(Liste!#REF!,"AAAAAF/vf7k=")</f>
        <v>#REF!</v>
      </c>
      <c r="GE73" t="e">
        <f>AND(Liste!#REF!,"AAAAAF/vf7o=")</f>
        <v>#REF!</v>
      </c>
      <c r="GF73" t="e">
        <f>AND(Liste!#REF!,"AAAAAF/vf7s=")</f>
        <v>#REF!</v>
      </c>
      <c r="GG73" t="e">
        <f>AND(Liste!#REF!,"AAAAAF/vf7w=")</f>
        <v>#REF!</v>
      </c>
      <c r="GH73" t="e">
        <f>AND(Liste!#REF!,"AAAAAF/vf70=")</f>
        <v>#REF!</v>
      </c>
      <c r="GI73" t="e">
        <f>AND(Liste!#REF!,"AAAAAF/vf74=")</f>
        <v>#REF!</v>
      </c>
      <c r="GJ73" t="e">
        <f>AND(Liste!#REF!,"AAAAAF/vf78=")</f>
        <v>#REF!</v>
      </c>
      <c r="GK73" t="e">
        <f>AND(Liste!#REF!,"AAAAAF/vf8A=")</f>
        <v>#REF!</v>
      </c>
      <c r="GL73" t="e">
        <f>AND(Liste!#REF!,"AAAAAF/vf8E=")</f>
        <v>#REF!</v>
      </c>
      <c r="GM73" t="e">
        <f>AND(Liste!#REF!,"AAAAAF/vf8I=")</f>
        <v>#REF!</v>
      </c>
      <c r="GN73" t="e">
        <f>AND(Liste!#REF!,"AAAAAF/vf8M=")</f>
        <v>#REF!</v>
      </c>
      <c r="GO73" t="e">
        <f>AND(Liste!#REF!,"AAAAAF/vf8Q=")</f>
        <v>#REF!</v>
      </c>
      <c r="GP73" t="e">
        <f>AND(Liste!#REF!,"AAAAAF/vf8U=")</f>
        <v>#REF!</v>
      </c>
      <c r="GQ73" t="e">
        <f>AND(Liste!#REF!,"AAAAAF/vf8Y=")</f>
        <v>#REF!</v>
      </c>
      <c r="GR73" t="e">
        <f>IF(Liste!#REF!,"AAAAAF/vf8c=",0)</f>
        <v>#REF!</v>
      </c>
      <c r="GS73" t="e">
        <f>AND(Liste!#REF!,"AAAAAF/vf8g=")</f>
        <v>#REF!</v>
      </c>
      <c r="GT73" t="e">
        <f>AND(Liste!#REF!,"AAAAAF/vf8k=")</f>
        <v>#REF!</v>
      </c>
      <c r="GU73" t="e">
        <f>AND(Liste!#REF!,"AAAAAF/vf8o=")</f>
        <v>#REF!</v>
      </c>
      <c r="GV73" t="e">
        <f>AND(Liste!#REF!,"AAAAAF/vf8s=")</f>
        <v>#REF!</v>
      </c>
      <c r="GW73" t="e">
        <f>AND(Liste!#REF!,"AAAAAF/vf8w=")</f>
        <v>#REF!</v>
      </c>
      <c r="GX73" t="e">
        <f>AND(Liste!#REF!,"AAAAAF/vf80=")</f>
        <v>#REF!</v>
      </c>
      <c r="GY73" t="e">
        <f>AND(Liste!#REF!,"AAAAAF/vf84=")</f>
        <v>#REF!</v>
      </c>
      <c r="GZ73" t="e">
        <f>AND(Liste!#REF!,"AAAAAF/vf88=")</f>
        <v>#REF!</v>
      </c>
      <c r="HA73" t="e">
        <f>AND(Liste!#REF!,"AAAAAF/vf9A=")</f>
        <v>#REF!</v>
      </c>
      <c r="HB73" t="e">
        <f>AND(Liste!#REF!,"AAAAAF/vf9E=")</f>
        <v>#REF!</v>
      </c>
      <c r="HC73" t="e">
        <f>AND(Liste!#REF!,"AAAAAF/vf9I=")</f>
        <v>#REF!</v>
      </c>
      <c r="HD73" t="e">
        <f>AND(Liste!#REF!,"AAAAAF/vf9M=")</f>
        <v>#REF!</v>
      </c>
      <c r="HE73" t="e">
        <f>AND(Liste!#REF!,"AAAAAF/vf9Q=")</f>
        <v>#REF!</v>
      </c>
      <c r="HF73" t="e">
        <f>AND(Liste!#REF!,"AAAAAF/vf9U=")</f>
        <v>#REF!</v>
      </c>
      <c r="HG73" t="e">
        <f>AND(Liste!#REF!,"AAAAAF/vf9Y=")</f>
        <v>#REF!</v>
      </c>
      <c r="HH73" t="e">
        <f>AND(Liste!#REF!,"AAAAAF/vf9c=")</f>
        <v>#REF!</v>
      </c>
      <c r="HI73" t="e">
        <f>AND(Liste!#REF!,"AAAAAF/vf9g=")</f>
        <v>#REF!</v>
      </c>
      <c r="HJ73" t="e">
        <f>AND(Liste!#REF!,"AAAAAF/vf9k=")</f>
        <v>#REF!</v>
      </c>
      <c r="HK73" t="e">
        <f>AND(Liste!#REF!,"AAAAAF/vf9o=")</f>
        <v>#REF!</v>
      </c>
      <c r="HL73" t="e">
        <f>AND(Liste!#REF!,"AAAAAF/vf9s=")</f>
        <v>#REF!</v>
      </c>
      <c r="HM73" t="e">
        <f>AND(Liste!#REF!,"AAAAAF/vf9w=")</f>
        <v>#REF!</v>
      </c>
      <c r="HN73" t="e">
        <f>AND(Liste!#REF!,"AAAAAF/vf90=")</f>
        <v>#REF!</v>
      </c>
      <c r="HO73" t="e">
        <f>AND(Liste!#REF!,"AAAAAF/vf94=")</f>
        <v>#REF!</v>
      </c>
      <c r="HP73" t="e">
        <f>AND(Liste!#REF!,"AAAAAF/vf98=")</f>
        <v>#REF!</v>
      </c>
      <c r="HQ73" t="e">
        <f>AND(Liste!#REF!,"AAAAAF/vf+A=")</f>
        <v>#REF!</v>
      </c>
      <c r="HR73" t="e">
        <f>AND(Liste!#REF!,"AAAAAF/vf+E=")</f>
        <v>#REF!</v>
      </c>
      <c r="HS73" t="e">
        <f>AND(Liste!#REF!,"AAAAAF/vf+I=")</f>
        <v>#REF!</v>
      </c>
      <c r="HT73" t="e">
        <f>AND(Liste!#REF!,"AAAAAF/vf+M=")</f>
        <v>#REF!</v>
      </c>
      <c r="HU73" t="e">
        <f>AND(Liste!#REF!,"AAAAAF/vf+Q=")</f>
        <v>#REF!</v>
      </c>
      <c r="HV73" t="e">
        <f>AND(Liste!#REF!,"AAAAAF/vf+U=")</f>
        <v>#REF!</v>
      </c>
      <c r="HW73" t="e">
        <f>IF(Liste!#REF!,"AAAAAF/vf+Y=",0)</f>
        <v>#REF!</v>
      </c>
      <c r="HX73" t="e">
        <f>AND(Liste!#REF!,"AAAAAF/vf+c=")</f>
        <v>#REF!</v>
      </c>
      <c r="HY73" t="e">
        <f>AND(Liste!#REF!,"AAAAAF/vf+g=")</f>
        <v>#REF!</v>
      </c>
      <c r="HZ73" t="e">
        <f>AND(Liste!#REF!,"AAAAAF/vf+k=")</f>
        <v>#REF!</v>
      </c>
      <c r="IA73" t="e">
        <f>AND(Liste!#REF!,"AAAAAF/vf+o=")</f>
        <v>#REF!</v>
      </c>
      <c r="IB73" t="e">
        <f>AND(Liste!#REF!,"AAAAAF/vf+s=")</f>
        <v>#REF!</v>
      </c>
      <c r="IC73" t="e">
        <f>AND(Liste!#REF!,"AAAAAF/vf+w=")</f>
        <v>#REF!</v>
      </c>
      <c r="ID73" t="e">
        <f>AND(Liste!#REF!,"AAAAAF/vf+0=")</f>
        <v>#REF!</v>
      </c>
      <c r="IE73" t="e">
        <f>AND(Liste!#REF!,"AAAAAF/vf+4=")</f>
        <v>#REF!</v>
      </c>
      <c r="IF73" t="e">
        <f>AND(Liste!#REF!,"AAAAAF/vf+8=")</f>
        <v>#REF!</v>
      </c>
      <c r="IG73" t="e">
        <f>AND(Liste!#REF!,"AAAAAF/vf/A=")</f>
        <v>#REF!</v>
      </c>
      <c r="IH73" t="e">
        <f>AND(Liste!#REF!,"AAAAAF/vf/E=")</f>
        <v>#REF!</v>
      </c>
      <c r="II73" t="e">
        <f>AND(Liste!#REF!,"AAAAAF/vf/I=")</f>
        <v>#REF!</v>
      </c>
      <c r="IJ73" t="e">
        <f>AND(Liste!#REF!,"AAAAAF/vf/M=")</f>
        <v>#REF!</v>
      </c>
      <c r="IK73" t="e">
        <f>AND(Liste!#REF!,"AAAAAF/vf/Q=")</f>
        <v>#REF!</v>
      </c>
      <c r="IL73" t="e">
        <f>AND(Liste!#REF!,"AAAAAF/vf/U=")</f>
        <v>#REF!</v>
      </c>
      <c r="IM73" t="e">
        <f>AND(Liste!#REF!,"AAAAAF/vf/Y=")</f>
        <v>#REF!</v>
      </c>
      <c r="IN73" t="e">
        <f>AND(Liste!#REF!,"AAAAAF/vf/c=")</f>
        <v>#REF!</v>
      </c>
      <c r="IO73" t="e">
        <f>AND(Liste!#REF!,"AAAAAF/vf/g=")</f>
        <v>#REF!</v>
      </c>
      <c r="IP73" t="e">
        <f>AND(Liste!#REF!,"AAAAAF/vf/k=")</f>
        <v>#REF!</v>
      </c>
      <c r="IQ73" t="e">
        <f>AND(Liste!#REF!,"AAAAAF/vf/o=")</f>
        <v>#REF!</v>
      </c>
      <c r="IR73" t="e">
        <f>AND(Liste!#REF!,"AAAAAF/vf/s=")</f>
        <v>#REF!</v>
      </c>
      <c r="IS73" t="e">
        <f>AND(Liste!#REF!,"AAAAAF/vf/w=")</f>
        <v>#REF!</v>
      </c>
      <c r="IT73" t="e">
        <f>AND(Liste!#REF!,"AAAAAF/vf/0=")</f>
        <v>#REF!</v>
      </c>
      <c r="IU73" t="e">
        <f>AND(Liste!#REF!,"AAAAAF/vf/4=")</f>
        <v>#REF!</v>
      </c>
      <c r="IV73" t="e">
        <f>AND(Liste!#REF!,"AAAAAF/vf/8=")</f>
        <v>#REF!</v>
      </c>
    </row>
    <row r="74" spans="1:256" x14ac:dyDescent="0.2">
      <c r="A74" t="e">
        <f>AND(Liste!#REF!,"AAAAAD/l2wA=")</f>
        <v>#REF!</v>
      </c>
      <c r="B74" t="e">
        <f>AND(Liste!#REF!,"AAAAAD/l2wE=")</f>
        <v>#REF!</v>
      </c>
      <c r="C74" t="e">
        <f>AND(Liste!#REF!,"AAAAAD/l2wI=")</f>
        <v>#REF!</v>
      </c>
      <c r="D74" t="e">
        <f>AND(Liste!#REF!,"AAAAAD/l2wM=")</f>
        <v>#REF!</v>
      </c>
      <c r="E74" t="e">
        <f>AND(Liste!#REF!,"AAAAAD/l2wQ=")</f>
        <v>#REF!</v>
      </c>
      <c r="F74" t="e">
        <f>IF(Liste!#REF!,"AAAAAD/l2wU=",0)</f>
        <v>#REF!</v>
      </c>
      <c r="G74" t="e">
        <f>AND(Liste!#REF!,"AAAAAD/l2wY=")</f>
        <v>#REF!</v>
      </c>
      <c r="H74" t="e">
        <f>AND(Liste!#REF!,"AAAAAD/l2wc=")</f>
        <v>#REF!</v>
      </c>
      <c r="I74" t="e">
        <f>AND(Liste!#REF!,"AAAAAD/l2wg=")</f>
        <v>#REF!</v>
      </c>
      <c r="J74" t="e">
        <f>AND(Liste!#REF!,"AAAAAD/l2wk=")</f>
        <v>#REF!</v>
      </c>
      <c r="K74" t="e">
        <f>AND(Liste!#REF!,"AAAAAD/l2wo=")</f>
        <v>#REF!</v>
      </c>
      <c r="L74" t="e">
        <f>AND(Liste!#REF!,"AAAAAD/l2ws=")</f>
        <v>#REF!</v>
      </c>
      <c r="M74" t="e">
        <f>AND(Liste!#REF!,"AAAAAD/l2ww=")</f>
        <v>#REF!</v>
      </c>
      <c r="N74" t="e">
        <f>AND(Liste!#REF!,"AAAAAD/l2w0=")</f>
        <v>#REF!</v>
      </c>
      <c r="O74" t="e">
        <f>AND(Liste!#REF!,"AAAAAD/l2w4=")</f>
        <v>#REF!</v>
      </c>
      <c r="P74" t="e">
        <f>AND(Liste!#REF!,"AAAAAD/l2w8=")</f>
        <v>#REF!</v>
      </c>
      <c r="Q74" t="e">
        <f>AND(Liste!#REF!,"AAAAAD/l2xA=")</f>
        <v>#REF!</v>
      </c>
      <c r="R74" t="e">
        <f>AND(Liste!#REF!,"AAAAAD/l2xE=")</f>
        <v>#REF!</v>
      </c>
      <c r="S74" t="e">
        <f>AND(Liste!#REF!,"AAAAAD/l2xI=")</f>
        <v>#REF!</v>
      </c>
      <c r="T74" t="e">
        <f>AND(Liste!#REF!,"AAAAAD/l2xM=")</f>
        <v>#REF!</v>
      </c>
      <c r="U74" t="e">
        <f>AND(Liste!#REF!,"AAAAAD/l2xQ=")</f>
        <v>#REF!</v>
      </c>
      <c r="V74" t="e">
        <f>AND(Liste!#REF!,"AAAAAD/l2xU=")</f>
        <v>#REF!</v>
      </c>
      <c r="W74" t="e">
        <f>AND(Liste!#REF!,"AAAAAD/l2xY=")</f>
        <v>#REF!</v>
      </c>
      <c r="X74" t="e">
        <f>AND(Liste!#REF!,"AAAAAD/l2xc=")</f>
        <v>#REF!</v>
      </c>
      <c r="Y74" t="e">
        <f>AND(Liste!#REF!,"AAAAAD/l2xg=")</f>
        <v>#REF!</v>
      </c>
      <c r="Z74" t="e">
        <f>AND(Liste!#REF!,"AAAAAD/l2xk=")</f>
        <v>#REF!</v>
      </c>
      <c r="AA74" t="e">
        <f>AND(Liste!#REF!,"AAAAAD/l2xo=")</f>
        <v>#REF!</v>
      </c>
      <c r="AB74" t="e">
        <f>AND(Liste!#REF!,"AAAAAD/l2xs=")</f>
        <v>#REF!</v>
      </c>
      <c r="AC74" t="e">
        <f>AND(Liste!#REF!,"AAAAAD/l2xw=")</f>
        <v>#REF!</v>
      </c>
      <c r="AD74" t="e">
        <f>AND(Liste!#REF!,"AAAAAD/l2x0=")</f>
        <v>#REF!</v>
      </c>
      <c r="AE74" t="e">
        <f>AND(Liste!#REF!,"AAAAAD/l2x4=")</f>
        <v>#REF!</v>
      </c>
      <c r="AF74" t="e">
        <f>AND(Liste!#REF!,"AAAAAD/l2x8=")</f>
        <v>#REF!</v>
      </c>
      <c r="AG74" t="e">
        <f>AND(Liste!#REF!,"AAAAAD/l2yA=")</f>
        <v>#REF!</v>
      </c>
      <c r="AH74" t="e">
        <f>AND(Liste!#REF!,"AAAAAD/l2yE=")</f>
        <v>#REF!</v>
      </c>
      <c r="AI74" t="e">
        <f>AND(Liste!#REF!,"AAAAAD/l2yI=")</f>
        <v>#REF!</v>
      </c>
      <c r="AJ74" t="e">
        <f>AND(Liste!#REF!,"AAAAAD/l2yM=")</f>
        <v>#REF!</v>
      </c>
      <c r="AK74" t="e">
        <f>IF(Liste!#REF!,"AAAAAD/l2yQ=",0)</f>
        <v>#REF!</v>
      </c>
      <c r="AL74" t="e">
        <f>AND(Liste!#REF!,"AAAAAD/l2yU=")</f>
        <v>#REF!</v>
      </c>
      <c r="AM74" t="e">
        <f>AND(Liste!#REF!,"AAAAAD/l2yY=")</f>
        <v>#REF!</v>
      </c>
      <c r="AN74" t="e">
        <f>AND(Liste!#REF!,"AAAAAD/l2yc=")</f>
        <v>#REF!</v>
      </c>
      <c r="AO74" t="e">
        <f>AND(Liste!#REF!,"AAAAAD/l2yg=")</f>
        <v>#REF!</v>
      </c>
      <c r="AP74" t="e">
        <f>AND(Liste!#REF!,"AAAAAD/l2yk=")</f>
        <v>#REF!</v>
      </c>
      <c r="AQ74" t="e">
        <f>AND(Liste!#REF!,"AAAAAD/l2yo=")</f>
        <v>#REF!</v>
      </c>
      <c r="AR74" t="e">
        <f>AND(Liste!#REF!,"AAAAAD/l2ys=")</f>
        <v>#REF!</v>
      </c>
      <c r="AS74" t="e">
        <f>AND(Liste!#REF!,"AAAAAD/l2yw=")</f>
        <v>#REF!</v>
      </c>
      <c r="AT74" t="e">
        <f>AND(Liste!#REF!,"AAAAAD/l2y0=")</f>
        <v>#REF!</v>
      </c>
      <c r="AU74" t="e">
        <f>AND(Liste!#REF!,"AAAAAD/l2y4=")</f>
        <v>#REF!</v>
      </c>
      <c r="AV74" t="e">
        <f>AND(Liste!#REF!,"AAAAAD/l2y8=")</f>
        <v>#REF!</v>
      </c>
      <c r="AW74" t="e">
        <f>AND(Liste!#REF!,"AAAAAD/l2zA=")</f>
        <v>#REF!</v>
      </c>
      <c r="AX74" t="e">
        <f>AND(Liste!#REF!,"AAAAAD/l2zE=")</f>
        <v>#REF!</v>
      </c>
      <c r="AY74" t="e">
        <f>AND(Liste!#REF!,"AAAAAD/l2zI=")</f>
        <v>#REF!</v>
      </c>
      <c r="AZ74" t="e">
        <f>AND(Liste!#REF!,"AAAAAD/l2zM=")</f>
        <v>#REF!</v>
      </c>
      <c r="BA74" t="e">
        <f>AND(Liste!#REF!,"AAAAAD/l2zQ=")</f>
        <v>#REF!</v>
      </c>
      <c r="BB74" t="e">
        <f>AND(Liste!#REF!,"AAAAAD/l2zU=")</f>
        <v>#REF!</v>
      </c>
      <c r="BC74" t="e">
        <f>AND(Liste!#REF!,"AAAAAD/l2zY=")</f>
        <v>#REF!</v>
      </c>
      <c r="BD74" t="e">
        <f>AND(Liste!#REF!,"AAAAAD/l2zc=")</f>
        <v>#REF!</v>
      </c>
      <c r="BE74" t="e">
        <f>AND(Liste!#REF!,"AAAAAD/l2zg=")</f>
        <v>#REF!</v>
      </c>
      <c r="BF74" t="e">
        <f>AND(Liste!#REF!,"AAAAAD/l2zk=")</f>
        <v>#REF!</v>
      </c>
      <c r="BG74" t="e">
        <f>AND(Liste!#REF!,"AAAAAD/l2zo=")</f>
        <v>#REF!</v>
      </c>
      <c r="BH74" t="e">
        <f>AND(Liste!#REF!,"AAAAAD/l2zs=")</f>
        <v>#REF!</v>
      </c>
      <c r="BI74" t="e">
        <f>AND(Liste!#REF!,"AAAAAD/l2zw=")</f>
        <v>#REF!</v>
      </c>
      <c r="BJ74" t="e">
        <f>AND(Liste!#REF!,"AAAAAD/l2z0=")</f>
        <v>#REF!</v>
      </c>
      <c r="BK74" t="e">
        <f>AND(Liste!#REF!,"AAAAAD/l2z4=")</f>
        <v>#REF!</v>
      </c>
      <c r="BL74" t="e">
        <f>AND(Liste!#REF!,"AAAAAD/l2z8=")</f>
        <v>#REF!</v>
      </c>
      <c r="BM74" t="e">
        <f>AND(Liste!#REF!,"AAAAAD/l20A=")</f>
        <v>#REF!</v>
      </c>
      <c r="BN74" t="e">
        <f>AND(Liste!#REF!,"AAAAAD/l20E=")</f>
        <v>#REF!</v>
      </c>
      <c r="BO74" t="e">
        <f>AND(Liste!#REF!,"AAAAAD/l20I=")</f>
        <v>#REF!</v>
      </c>
      <c r="BP74" t="e">
        <f>IF(Liste!#REF!,"AAAAAD/l20M=",0)</f>
        <v>#REF!</v>
      </c>
      <c r="BQ74" t="e">
        <f>AND(Liste!#REF!,"AAAAAD/l20Q=")</f>
        <v>#REF!</v>
      </c>
      <c r="BR74" t="e">
        <f>AND(Liste!#REF!,"AAAAAD/l20U=")</f>
        <v>#REF!</v>
      </c>
      <c r="BS74" t="e">
        <f>AND(Liste!#REF!,"AAAAAD/l20Y=")</f>
        <v>#REF!</v>
      </c>
      <c r="BT74" t="e">
        <f>AND(Liste!#REF!,"AAAAAD/l20c=")</f>
        <v>#REF!</v>
      </c>
      <c r="BU74" t="e">
        <f>AND(Liste!#REF!,"AAAAAD/l20g=")</f>
        <v>#REF!</v>
      </c>
      <c r="BV74" t="e">
        <f>AND(Liste!#REF!,"AAAAAD/l20k=")</f>
        <v>#REF!</v>
      </c>
      <c r="BW74" t="e">
        <f>AND(Liste!#REF!,"AAAAAD/l20o=")</f>
        <v>#REF!</v>
      </c>
      <c r="BX74" t="e">
        <f>AND(Liste!#REF!,"AAAAAD/l20s=")</f>
        <v>#REF!</v>
      </c>
      <c r="BY74" t="e">
        <f>AND(Liste!#REF!,"AAAAAD/l20w=")</f>
        <v>#REF!</v>
      </c>
      <c r="BZ74" t="e">
        <f>AND(Liste!#REF!,"AAAAAD/l200=")</f>
        <v>#REF!</v>
      </c>
      <c r="CA74" t="e">
        <f>AND(Liste!#REF!,"AAAAAD/l204=")</f>
        <v>#REF!</v>
      </c>
      <c r="CB74" t="e">
        <f>AND(Liste!#REF!,"AAAAAD/l208=")</f>
        <v>#REF!</v>
      </c>
      <c r="CC74" t="e">
        <f>AND(Liste!#REF!,"AAAAAD/l21A=")</f>
        <v>#REF!</v>
      </c>
      <c r="CD74" t="e">
        <f>AND(Liste!#REF!,"AAAAAD/l21E=")</f>
        <v>#REF!</v>
      </c>
      <c r="CE74" t="e">
        <f>AND(Liste!#REF!,"AAAAAD/l21I=")</f>
        <v>#REF!</v>
      </c>
      <c r="CF74" t="e">
        <f>AND(Liste!#REF!,"AAAAAD/l21M=")</f>
        <v>#REF!</v>
      </c>
      <c r="CG74" t="e">
        <f>AND(Liste!#REF!,"AAAAAD/l21Q=")</f>
        <v>#REF!</v>
      </c>
      <c r="CH74" t="e">
        <f>AND(Liste!#REF!,"AAAAAD/l21U=")</f>
        <v>#REF!</v>
      </c>
      <c r="CI74" t="e">
        <f>AND(Liste!#REF!,"AAAAAD/l21Y=")</f>
        <v>#REF!</v>
      </c>
      <c r="CJ74" t="e">
        <f>AND(Liste!#REF!,"AAAAAD/l21c=")</f>
        <v>#REF!</v>
      </c>
      <c r="CK74" t="e">
        <f>AND(Liste!#REF!,"AAAAAD/l21g=")</f>
        <v>#REF!</v>
      </c>
      <c r="CL74" t="e">
        <f>AND(Liste!#REF!,"AAAAAD/l21k=")</f>
        <v>#REF!</v>
      </c>
      <c r="CM74" t="e">
        <f>AND(Liste!#REF!,"AAAAAD/l21o=")</f>
        <v>#REF!</v>
      </c>
      <c r="CN74" t="e">
        <f>AND(Liste!#REF!,"AAAAAD/l21s=")</f>
        <v>#REF!</v>
      </c>
      <c r="CO74" t="e">
        <f>AND(Liste!#REF!,"AAAAAD/l21w=")</f>
        <v>#REF!</v>
      </c>
      <c r="CP74" t="e">
        <f>AND(Liste!#REF!,"AAAAAD/l210=")</f>
        <v>#REF!</v>
      </c>
      <c r="CQ74" t="e">
        <f>AND(Liste!#REF!,"AAAAAD/l214=")</f>
        <v>#REF!</v>
      </c>
      <c r="CR74" t="e">
        <f>AND(Liste!#REF!,"AAAAAD/l218=")</f>
        <v>#REF!</v>
      </c>
      <c r="CS74" t="e">
        <f>AND(Liste!#REF!,"AAAAAD/l22A=")</f>
        <v>#REF!</v>
      </c>
      <c r="CT74" t="e">
        <f>AND(Liste!#REF!,"AAAAAD/l22E=")</f>
        <v>#REF!</v>
      </c>
      <c r="CU74" t="e">
        <f>IF(Liste!#REF!,"AAAAAD/l22I=",0)</f>
        <v>#REF!</v>
      </c>
      <c r="CV74" t="e">
        <f>AND(Liste!#REF!,"AAAAAD/l22M=")</f>
        <v>#REF!</v>
      </c>
      <c r="CW74" t="e">
        <f>AND(Liste!#REF!,"AAAAAD/l22Q=")</f>
        <v>#REF!</v>
      </c>
      <c r="CX74" t="e">
        <f>AND(Liste!#REF!,"AAAAAD/l22U=")</f>
        <v>#REF!</v>
      </c>
      <c r="CY74" t="e">
        <f>AND(Liste!#REF!,"AAAAAD/l22Y=")</f>
        <v>#REF!</v>
      </c>
      <c r="CZ74" t="e">
        <f>AND(Liste!#REF!,"AAAAAD/l22c=")</f>
        <v>#REF!</v>
      </c>
      <c r="DA74" t="e">
        <f>AND(Liste!#REF!,"AAAAAD/l22g=")</f>
        <v>#REF!</v>
      </c>
      <c r="DB74" t="e">
        <f>AND(Liste!#REF!,"AAAAAD/l22k=")</f>
        <v>#REF!</v>
      </c>
      <c r="DC74" t="e">
        <f>AND(Liste!#REF!,"AAAAAD/l22o=")</f>
        <v>#REF!</v>
      </c>
      <c r="DD74" t="e">
        <f>AND(Liste!#REF!,"AAAAAD/l22s=")</f>
        <v>#REF!</v>
      </c>
      <c r="DE74" t="e">
        <f>AND(Liste!#REF!,"AAAAAD/l22w=")</f>
        <v>#REF!</v>
      </c>
      <c r="DF74" t="e">
        <f>AND(Liste!#REF!,"AAAAAD/l220=")</f>
        <v>#REF!</v>
      </c>
      <c r="DG74" t="e">
        <f>AND(Liste!#REF!,"AAAAAD/l224=")</f>
        <v>#REF!</v>
      </c>
      <c r="DH74" t="e">
        <f>AND(Liste!#REF!,"AAAAAD/l228=")</f>
        <v>#REF!</v>
      </c>
      <c r="DI74" t="e">
        <f>AND(Liste!#REF!,"AAAAAD/l23A=")</f>
        <v>#REF!</v>
      </c>
      <c r="DJ74" t="e">
        <f>AND(Liste!#REF!,"AAAAAD/l23E=")</f>
        <v>#REF!</v>
      </c>
      <c r="DK74" t="e">
        <f>AND(Liste!#REF!,"AAAAAD/l23I=")</f>
        <v>#REF!</v>
      </c>
      <c r="DL74" t="e">
        <f>AND(Liste!#REF!,"AAAAAD/l23M=")</f>
        <v>#REF!</v>
      </c>
      <c r="DM74" t="e">
        <f>AND(Liste!#REF!,"AAAAAD/l23Q=")</f>
        <v>#REF!</v>
      </c>
      <c r="DN74" t="e">
        <f>AND(Liste!#REF!,"AAAAAD/l23U=")</f>
        <v>#REF!</v>
      </c>
      <c r="DO74" t="e">
        <f>AND(Liste!#REF!,"AAAAAD/l23Y=")</f>
        <v>#REF!</v>
      </c>
      <c r="DP74" t="e">
        <f>AND(Liste!#REF!,"AAAAAD/l23c=")</f>
        <v>#REF!</v>
      </c>
      <c r="DQ74" t="e">
        <f>AND(Liste!#REF!,"AAAAAD/l23g=")</f>
        <v>#REF!</v>
      </c>
      <c r="DR74" t="e">
        <f>AND(Liste!#REF!,"AAAAAD/l23k=")</f>
        <v>#REF!</v>
      </c>
      <c r="DS74" t="e">
        <f>AND(Liste!#REF!,"AAAAAD/l23o=")</f>
        <v>#REF!</v>
      </c>
      <c r="DT74" t="e">
        <f>AND(Liste!#REF!,"AAAAAD/l23s=")</f>
        <v>#REF!</v>
      </c>
      <c r="DU74" t="e">
        <f>AND(Liste!#REF!,"AAAAAD/l23w=")</f>
        <v>#REF!</v>
      </c>
      <c r="DV74" t="e">
        <f>AND(Liste!#REF!,"AAAAAD/l230=")</f>
        <v>#REF!</v>
      </c>
      <c r="DW74" t="e">
        <f>AND(Liste!#REF!,"AAAAAD/l234=")</f>
        <v>#REF!</v>
      </c>
      <c r="DX74" t="e">
        <f>AND(Liste!#REF!,"AAAAAD/l238=")</f>
        <v>#REF!</v>
      </c>
      <c r="DY74" t="e">
        <f>AND(Liste!#REF!,"AAAAAD/l24A=")</f>
        <v>#REF!</v>
      </c>
      <c r="DZ74" t="e">
        <f>IF(Liste!#REF!,"AAAAAD/l24E=",0)</f>
        <v>#REF!</v>
      </c>
      <c r="EA74" t="e">
        <f>AND(Liste!#REF!,"AAAAAD/l24I=")</f>
        <v>#REF!</v>
      </c>
      <c r="EB74" t="e">
        <f>AND(Liste!#REF!,"AAAAAD/l24M=")</f>
        <v>#REF!</v>
      </c>
      <c r="EC74" t="e">
        <f>AND(Liste!#REF!,"AAAAAD/l24Q=")</f>
        <v>#REF!</v>
      </c>
      <c r="ED74" t="e">
        <f>AND(Liste!#REF!,"AAAAAD/l24U=")</f>
        <v>#REF!</v>
      </c>
      <c r="EE74" t="e">
        <f>AND(Liste!#REF!,"AAAAAD/l24Y=")</f>
        <v>#REF!</v>
      </c>
      <c r="EF74" t="e">
        <f>AND(Liste!#REF!,"AAAAAD/l24c=")</f>
        <v>#REF!</v>
      </c>
      <c r="EG74" t="e">
        <f>AND(Liste!#REF!,"AAAAAD/l24g=")</f>
        <v>#REF!</v>
      </c>
      <c r="EH74" t="e">
        <f>AND(Liste!#REF!,"AAAAAD/l24k=")</f>
        <v>#REF!</v>
      </c>
      <c r="EI74" t="e">
        <f>AND(Liste!#REF!,"AAAAAD/l24o=")</f>
        <v>#REF!</v>
      </c>
      <c r="EJ74" t="e">
        <f>AND(Liste!#REF!,"AAAAAD/l24s=")</f>
        <v>#REF!</v>
      </c>
      <c r="EK74" t="e">
        <f>AND(Liste!#REF!,"AAAAAD/l24w=")</f>
        <v>#REF!</v>
      </c>
      <c r="EL74" t="e">
        <f>AND(Liste!#REF!,"AAAAAD/l240=")</f>
        <v>#REF!</v>
      </c>
      <c r="EM74" t="e">
        <f>AND(Liste!#REF!,"AAAAAD/l244=")</f>
        <v>#REF!</v>
      </c>
      <c r="EN74" t="e">
        <f>AND(Liste!#REF!,"AAAAAD/l248=")</f>
        <v>#REF!</v>
      </c>
      <c r="EO74" t="e">
        <f>AND(Liste!#REF!,"AAAAAD/l25A=")</f>
        <v>#REF!</v>
      </c>
      <c r="EP74" t="e">
        <f>AND(Liste!#REF!,"AAAAAD/l25E=")</f>
        <v>#REF!</v>
      </c>
      <c r="EQ74" t="e">
        <f>AND(Liste!#REF!,"AAAAAD/l25I=")</f>
        <v>#REF!</v>
      </c>
      <c r="ER74" t="e">
        <f>AND(Liste!#REF!,"AAAAAD/l25M=")</f>
        <v>#REF!</v>
      </c>
      <c r="ES74" t="e">
        <f>AND(Liste!#REF!,"AAAAAD/l25Q=")</f>
        <v>#REF!</v>
      </c>
      <c r="ET74" t="e">
        <f>AND(Liste!#REF!,"AAAAAD/l25U=")</f>
        <v>#REF!</v>
      </c>
      <c r="EU74" t="e">
        <f>AND(Liste!#REF!,"AAAAAD/l25Y=")</f>
        <v>#REF!</v>
      </c>
      <c r="EV74" t="e">
        <f>AND(Liste!#REF!,"AAAAAD/l25c=")</f>
        <v>#REF!</v>
      </c>
      <c r="EW74" t="e">
        <f>AND(Liste!#REF!,"AAAAAD/l25g=")</f>
        <v>#REF!</v>
      </c>
      <c r="EX74" t="e">
        <f>AND(Liste!#REF!,"AAAAAD/l25k=")</f>
        <v>#REF!</v>
      </c>
      <c r="EY74" t="e">
        <f>AND(Liste!#REF!,"AAAAAD/l25o=")</f>
        <v>#REF!</v>
      </c>
      <c r="EZ74" t="e">
        <f>AND(Liste!#REF!,"AAAAAD/l25s=")</f>
        <v>#REF!</v>
      </c>
      <c r="FA74" t="e">
        <f>AND(Liste!#REF!,"AAAAAD/l25w=")</f>
        <v>#REF!</v>
      </c>
      <c r="FB74" t="e">
        <f>AND(Liste!#REF!,"AAAAAD/l250=")</f>
        <v>#REF!</v>
      </c>
      <c r="FC74" t="e">
        <f>AND(Liste!#REF!,"AAAAAD/l254=")</f>
        <v>#REF!</v>
      </c>
      <c r="FD74" t="e">
        <f>AND(Liste!#REF!,"AAAAAD/l258=")</f>
        <v>#REF!</v>
      </c>
      <c r="FE74" t="e">
        <f>IF(Liste!#REF!,"AAAAAD/l26A=",0)</f>
        <v>#REF!</v>
      </c>
      <c r="FF74" t="e">
        <f>AND(Liste!#REF!,"AAAAAD/l26E=")</f>
        <v>#REF!</v>
      </c>
      <c r="FG74" t="e">
        <f>AND(Liste!#REF!,"AAAAAD/l26I=")</f>
        <v>#REF!</v>
      </c>
      <c r="FH74" t="e">
        <f>AND(Liste!#REF!,"AAAAAD/l26M=")</f>
        <v>#REF!</v>
      </c>
      <c r="FI74" t="e">
        <f>AND(Liste!#REF!,"AAAAAD/l26Q=")</f>
        <v>#REF!</v>
      </c>
      <c r="FJ74" t="e">
        <f>AND(Liste!#REF!,"AAAAAD/l26U=")</f>
        <v>#REF!</v>
      </c>
      <c r="FK74" t="e">
        <f>AND(Liste!#REF!,"AAAAAD/l26Y=")</f>
        <v>#REF!</v>
      </c>
      <c r="FL74" t="e">
        <f>AND(Liste!#REF!,"AAAAAD/l26c=")</f>
        <v>#REF!</v>
      </c>
      <c r="FM74" t="e">
        <f>AND(Liste!#REF!,"AAAAAD/l26g=")</f>
        <v>#REF!</v>
      </c>
      <c r="FN74" t="e">
        <f>AND(Liste!#REF!,"AAAAAD/l26k=")</f>
        <v>#REF!</v>
      </c>
      <c r="FO74" t="e">
        <f>AND(Liste!#REF!,"AAAAAD/l26o=")</f>
        <v>#REF!</v>
      </c>
      <c r="FP74" t="e">
        <f>AND(Liste!#REF!,"AAAAAD/l26s=")</f>
        <v>#REF!</v>
      </c>
      <c r="FQ74" t="e">
        <f>AND(Liste!#REF!,"AAAAAD/l26w=")</f>
        <v>#REF!</v>
      </c>
      <c r="FR74" t="e">
        <f>AND(Liste!#REF!,"AAAAAD/l260=")</f>
        <v>#REF!</v>
      </c>
      <c r="FS74" t="e">
        <f>AND(Liste!#REF!,"AAAAAD/l264=")</f>
        <v>#REF!</v>
      </c>
      <c r="FT74" t="e">
        <f>AND(Liste!#REF!,"AAAAAD/l268=")</f>
        <v>#REF!</v>
      </c>
      <c r="FU74" t="e">
        <f>AND(Liste!#REF!,"AAAAAD/l27A=")</f>
        <v>#REF!</v>
      </c>
      <c r="FV74" t="e">
        <f>AND(Liste!#REF!,"AAAAAD/l27E=")</f>
        <v>#REF!</v>
      </c>
      <c r="FW74" t="e">
        <f>AND(Liste!#REF!,"AAAAAD/l27I=")</f>
        <v>#REF!</v>
      </c>
      <c r="FX74" t="e">
        <f>AND(Liste!#REF!,"AAAAAD/l27M=")</f>
        <v>#REF!</v>
      </c>
      <c r="FY74" t="e">
        <f>AND(Liste!#REF!,"AAAAAD/l27Q=")</f>
        <v>#REF!</v>
      </c>
      <c r="FZ74" t="e">
        <f>AND(Liste!#REF!,"AAAAAD/l27U=")</f>
        <v>#REF!</v>
      </c>
      <c r="GA74" t="e">
        <f>AND(Liste!#REF!,"AAAAAD/l27Y=")</f>
        <v>#REF!</v>
      </c>
      <c r="GB74" t="e">
        <f>AND(Liste!#REF!,"AAAAAD/l27c=")</f>
        <v>#REF!</v>
      </c>
      <c r="GC74" t="e">
        <f>AND(Liste!#REF!,"AAAAAD/l27g=")</f>
        <v>#REF!</v>
      </c>
      <c r="GD74" t="e">
        <f>AND(Liste!#REF!,"AAAAAD/l27k=")</f>
        <v>#REF!</v>
      </c>
      <c r="GE74" t="e">
        <f>AND(Liste!#REF!,"AAAAAD/l27o=")</f>
        <v>#REF!</v>
      </c>
      <c r="GF74" t="e">
        <f>AND(Liste!#REF!,"AAAAAD/l27s=")</f>
        <v>#REF!</v>
      </c>
      <c r="GG74" t="e">
        <f>AND(Liste!#REF!,"AAAAAD/l27w=")</f>
        <v>#REF!</v>
      </c>
      <c r="GH74" t="e">
        <f>AND(Liste!#REF!,"AAAAAD/l270=")</f>
        <v>#REF!</v>
      </c>
      <c r="GI74" t="e">
        <f>AND(Liste!#REF!,"AAAAAD/l274=")</f>
        <v>#REF!</v>
      </c>
      <c r="GJ74" t="e">
        <f>IF(Liste!#REF!,"AAAAAD/l278=",0)</f>
        <v>#REF!</v>
      </c>
      <c r="GK74" t="e">
        <f>AND(Liste!#REF!,"AAAAAD/l28A=")</f>
        <v>#REF!</v>
      </c>
      <c r="GL74" t="e">
        <f>AND(Liste!#REF!,"AAAAAD/l28E=")</f>
        <v>#REF!</v>
      </c>
      <c r="GM74" t="e">
        <f>AND(Liste!#REF!,"AAAAAD/l28I=")</f>
        <v>#REF!</v>
      </c>
      <c r="GN74" t="e">
        <f>AND(Liste!#REF!,"AAAAAD/l28M=")</f>
        <v>#REF!</v>
      </c>
      <c r="GO74" t="e">
        <f>AND(Liste!#REF!,"AAAAAD/l28Q=")</f>
        <v>#REF!</v>
      </c>
      <c r="GP74" t="e">
        <f>AND(Liste!#REF!,"AAAAAD/l28U=")</f>
        <v>#REF!</v>
      </c>
      <c r="GQ74" t="e">
        <f>AND(Liste!#REF!,"AAAAAD/l28Y=")</f>
        <v>#REF!</v>
      </c>
      <c r="GR74" t="e">
        <f>AND(Liste!#REF!,"AAAAAD/l28c=")</f>
        <v>#REF!</v>
      </c>
      <c r="GS74" t="e">
        <f>AND(Liste!#REF!,"AAAAAD/l28g=")</f>
        <v>#REF!</v>
      </c>
      <c r="GT74" t="e">
        <f>AND(Liste!#REF!,"AAAAAD/l28k=")</f>
        <v>#REF!</v>
      </c>
      <c r="GU74" t="e">
        <f>AND(Liste!#REF!,"AAAAAD/l28o=")</f>
        <v>#REF!</v>
      </c>
      <c r="GV74" t="e">
        <f>AND(Liste!#REF!,"AAAAAD/l28s=")</f>
        <v>#REF!</v>
      </c>
      <c r="GW74" t="e">
        <f>AND(Liste!#REF!,"AAAAAD/l28w=")</f>
        <v>#REF!</v>
      </c>
      <c r="GX74" t="e">
        <f>AND(Liste!#REF!,"AAAAAD/l280=")</f>
        <v>#REF!</v>
      </c>
      <c r="GY74" t="e">
        <f>AND(Liste!#REF!,"AAAAAD/l284=")</f>
        <v>#REF!</v>
      </c>
      <c r="GZ74" t="e">
        <f>AND(Liste!#REF!,"AAAAAD/l288=")</f>
        <v>#REF!</v>
      </c>
      <c r="HA74" t="e">
        <f>AND(Liste!#REF!,"AAAAAD/l29A=")</f>
        <v>#REF!</v>
      </c>
      <c r="HB74" t="e">
        <f>AND(Liste!#REF!,"AAAAAD/l29E=")</f>
        <v>#REF!</v>
      </c>
      <c r="HC74" t="e">
        <f>AND(Liste!#REF!,"AAAAAD/l29I=")</f>
        <v>#REF!</v>
      </c>
      <c r="HD74" t="e">
        <f>AND(Liste!#REF!,"AAAAAD/l29M=")</f>
        <v>#REF!</v>
      </c>
      <c r="HE74" t="e">
        <f>AND(Liste!#REF!,"AAAAAD/l29Q=")</f>
        <v>#REF!</v>
      </c>
      <c r="HF74" t="e">
        <f>AND(Liste!#REF!,"AAAAAD/l29U=")</f>
        <v>#REF!</v>
      </c>
      <c r="HG74" t="e">
        <f>AND(Liste!#REF!,"AAAAAD/l29Y=")</f>
        <v>#REF!</v>
      </c>
      <c r="HH74" t="e">
        <f>AND(Liste!#REF!,"AAAAAD/l29c=")</f>
        <v>#REF!</v>
      </c>
      <c r="HI74" t="e">
        <f>AND(Liste!#REF!,"AAAAAD/l29g=")</f>
        <v>#REF!</v>
      </c>
      <c r="HJ74" t="e">
        <f>AND(Liste!#REF!,"AAAAAD/l29k=")</f>
        <v>#REF!</v>
      </c>
      <c r="HK74" t="e">
        <f>AND(Liste!#REF!,"AAAAAD/l29o=")</f>
        <v>#REF!</v>
      </c>
      <c r="HL74" t="e">
        <f>AND(Liste!#REF!,"AAAAAD/l29s=")</f>
        <v>#REF!</v>
      </c>
      <c r="HM74" t="e">
        <f>AND(Liste!#REF!,"AAAAAD/l29w=")</f>
        <v>#REF!</v>
      </c>
      <c r="HN74" t="e">
        <f>AND(Liste!#REF!,"AAAAAD/l290=")</f>
        <v>#REF!</v>
      </c>
      <c r="HO74" t="e">
        <f>IF(Liste!#REF!,"AAAAAD/l294=",0)</f>
        <v>#REF!</v>
      </c>
      <c r="HP74" t="e">
        <f>AND(Liste!#REF!,"AAAAAD/l298=")</f>
        <v>#REF!</v>
      </c>
      <c r="HQ74" t="e">
        <f>AND(Liste!#REF!,"AAAAAD/l2+A=")</f>
        <v>#REF!</v>
      </c>
      <c r="HR74" t="e">
        <f>AND(Liste!#REF!,"AAAAAD/l2+E=")</f>
        <v>#REF!</v>
      </c>
      <c r="HS74" t="e">
        <f>AND(Liste!#REF!,"AAAAAD/l2+I=")</f>
        <v>#REF!</v>
      </c>
      <c r="HT74" t="e">
        <f>AND(Liste!#REF!,"AAAAAD/l2+M=")</f>
        <v>#REF!</v>
      </c>
      <c r="HU74" t="e">
        <f>AND(Liste!#REF!,"AAAAAD/l2+Q=")</f>
        <v>#REF!</v>
      </c>
      <c r="HV74" t="e">
        <f>AND(Liste!#REF!,"AAAAAD/l2+U=")</f>
        <v>#REF!</v>
      </c>
      <c r="HW74" t="e">
        <f>AND(Liste!#REF!,"AAAAAD/l2+Y=")</f>
        <v>#REF!</v>
      </c>
      <c r="HX74" t="e">
        <f>AND(Liste!#REF!,"AAAAAD/l2+c=")</f>
        <v>#REF!</v>
      </c>
      <c r="HY74" t="e">
        <f>AND(Liste!#REF!,"AAAAAD/l2+g=")</f>
        <v>#REF!</v>
      </c>
      <c r="HZ74" t="e">
        <f>AND(Liste!#REF!,"AAAAAD/l2+k=")</f>
        <v>#REF!</v>
      </c>
      <c r="IA74" t="e">
        <f>AND(Liste!#REF!,"AAAAAD/l2+o=")</f>
        <v>#REF!</v>
      </c>
      <c r="IB74" t="e">
        <f>AND(Liste!#REF!,"AAAAAD/l2+s=")</f>
        <v>#REF!</v>
      </c>
      <c r="IC74" t="e">
        <f>AND(Liste!#REF!,"AAAAAD/l2+w=")</f>
        <v>#REF!</v>
      </c>
      <c r="ID74" t="e">
        <f>AND(Liste!#REF!,"AAAAAD/l2+0=")</f>
        <v>#REF!</v>
      </c>
      <c r="IE74" t="e">
        <f>AND(Liste!#REF!,"AAAAAD/l2+4=")</f>
        <v>#REF!</v>
      </c>
      <c r="IF74" t="e">
        <f>AND(Liste!#REF!,"AAAAAD/l2+8=")</f>
        <v>#REF!</v>
      </c>
      <c r="IG74" t="e">
        <f>AND(Liste!#REF!,"AAAAAD/l2/A=")</f>
        <v>#REF!</v>
      </c>
      <c r="IH74" t="e">
        <f>AND(Liste!#REF!,"AAAAAD/l2/E=")</f>
        <v>#REF!</v>
      </c>
      <c r="II74" t="e">
        <f>AND(Liste!#REF!,"AAAAAD/l2/I=")</f>
        <v>#REF!</v>
      </c>
      <c r="IJ74" t="e">
        <f>AND(Liste!#REF!,"AAAAAD/l2/M=")</f>
        <v>#REF!</v>
      </c>
      <c r="IK74" t="e">
        <f>AND(Liste!#REF!,"AAAAAD/l2/Q=")</f>
        <v>#REF!</v>
      </c>
      <c r="IL74" t="e">
        <f>AND(Liste!#REF!,"AAAAAD/l2/U=")</f>
        <v>#REF!</v>
      </c>
      <c r="IM74" t="e">
        <f>AND(Liste!#REF!,"AAAAAD/l2/Y=")</f>
        <v>#REF!</v>
      </c>
      <c r="IN74" t="e">
        <f>AND(Liste!#REF!,"AAAAAD/l2/c=")</f>
        <v>#REF!</v>
      </c>
      <c r="IO74" t="e">
        <f>AND(Liste!#REF!,"AAAAAD/l2/g=")</f>
        <v>#REF!</v>
      </c>
      <c r="IP74" t="e">
        <f>AND(Liste!#REF!,"AAAAAD/l2/k=")</f>
        <v>#REF!</v>
      </c>
      <c r="IQ74" t="e">
        <f>AND(Liste!#REF!,"AAAAAD/l2/o=")</f>
        <v>#REF!</v>
      </c>
      <c r="IR74" t="e">
        <f>AND(Liste!#REF!,"AAAAAD/l2/s=")</f>
        <v>#REF!</v>
      </c>
      <c r="IS74" t="e">
        <f>AND(Liste!#REF!,"AAAAAD/l2/w=")</f>
        <v>#REF!</v>
      </c>
      <c r="IT74" t="e">
        <f>IF(Liste!#REF!,"AAAAAD/l2/0=",0)</f>
        <v>#REF!</v>
      </c>
      <c r="IU74" t="e">
        <f>AND(Liste!#REF!,"AAAAAD/l2/4=")</f>
        <v>#REF!</v>
      </c>
      <c r="IV74" t="e">
        <f>AND(Liste!#REF!,"AAAAAD/l2/8=")</f>
        <v>#REF!</v>
      </c>
    </row>
    <row r="75" spans="1:256" x14ac:dyDescent="0.2">
      <c r="A75" t="e">
        <f>AND(Liste!#REF!,"AAAAAGv+3AA=")</f>
        <v>#REF!</v>
      </c>
      <c r="B75" t="e">
        <f>AND(Liste!#REF!,"AAAAAGv+3AE=")</f>
        <v>#REF!</v>
      </c>
      <c r="C75" t="e">
        <f>AND(Liste!#REF!,"AAAAAGv+3AI=")</f>
        <v>#REF!</v>
      </c>
      <c r="D75" t="e">
        <f>AND(Liste!#REF!,"AAAAAGv+3AM=")</f>
        <v>#REF!</v>
      </c>
      <c r="E75" t="e">
        <f>AND(Liste!#REF!,"AAAAAGv+3AQ=")</f>
        <v>#REF!</v>
      </c>
      <c r="F75" t="e">
        <f>AND(Liste!#REF!,"AAAAAGv+3AU=")</f>
        <v>#REF!</v>
      </c>
      <c r="G75" t="e">
        <f>AND(Liste!#REF!,"AAAAAGv+3AY=")</f>
        <v>#REF!</v>
      </c>
      <c r="H75" t="e">
        <f>AND(Liste!#REF!,"AAAAAGv+3Ac=")</f>
        <v>#REF!</v>
      </c>
      <c r="I75" t="e">
        <f>AND(Liste!#REF!,"AAAAAGv+3Ag=")</f>
        <v>#REF!</v>
      </c>
      <c r="J75" t="e">
        <f>AND(Liste!#REF!,"AAAAAGv+3Ak=")</f>
        <v>#REF!</v>
      </c>
      <c r="K75" t="e">
        <f>AND(Liste!#REF!,"AAAAAGv+3Ao=")</f>
        <v>#REF!</v>
      </c>
      <c r="L75" t="e">
        <f>AND(Liste!#REF!,"AAAAAGv+3As=")</f>
        <v>#REF!</v>
      </c>
      <c r="M75" t="e">
        <f>AND(Liste!#REF!,"AAAAAGv+3Aw=")</f>
        <v>#REF!</v>
      </c>
      <c r="N75" t="e">
        <f>AND(Liste!#REF!,"AAAAAGv+3A0=")</f>
        <v>#REF!</v>
      </c>
      <c r="O75" t="e">
        <f>AND(Liste!#REF!,"AAAAAGv+3A4=")</f>
        <v>#REF!</v>
      </c>
      <c r="P75" t="e">
        <f>AND(Liste!#REF!,"AAAAAGv+3A8=")</f>
        <v>#REF!</v>
      </c>
      <c r="Q75" t="e">
        <f>AND(Liste!#REF!,"AAAAAGv+3BA=")</f>
        <v>#REF!</v>
      </c>
      <c r="R75" t="e">
        <f>AND(Liste!#REF!,"AAAAAGv+3BE=")</f>
        <v>#REF!</v>
      </c>
      <c r="S75" t="e">
        <f>AND(Liste!#REF!,"AAAAAGv+3BI=")</f>
        <v>#REF!</v>
      </c>
      <c r="T75" t="e">
        <f>AND(Liste!#REF!,"AAAAAGv+3BM=")</f>
        <v>#REF!</v>
      </c>
      <c r="U75" t="e">
        <f>AND(Liste!#REF!,"AAAAAGv+3BQ=")</f>
        <v>#REF!</v>
      </c>
      <c r="V75" t="e">
        <f>AND(Liste!#REF!,"AAAAAGv+3BU=")</f>
        <v>#REF!</v>
      </c>
      <c r="W75" t="e">
        <f>AND(Liste!#REF!,"AAAAAGv+3BY=")</f>
        <v>#REF!</v>
      </c>
      <c r="X75" t="e">
        <f>AND(Liste!#REF!,"AAAAAGv+3Bc=")</f>
        <v>#REF!</v>
      </c>
      <c r="Y75" t="e">
        <f>AND(Liste!#REF!,"AAAAAGv+3Bg=")</f>
        <v>#REF!</v>
      </c>
      <c r="Z75" t="e">
        <f>AND(Liste!#REF!,"AAAAAGv+3Bk=")</f>
        <v>#REF!</v>
      </c>
      <c r="AA75" t="e">
        <f>AND(Liste!#REF!,"AAAAAGv+3Bo=")</f>
        <v>#REF!</v>
      </c>
      <c r="AB75" t="e">
        <f>AND(Liste!#REF!,"AAAAAGv+3Bs=")</f>
        <v>#REF!</v>
      </c>
      <c r="AC75" t="e">
        <f>IF(Liste!#REF!,"AAAAAGv+3Bw=",0)</f>
        <v>#REF!</v>
      </c>
      <c r="AD75" t="e">
        <f>AND(Liste!#REF!,"AAAAAGv+3B0=")</f>
        <v>#REF!</v>
      </c>
      <c r="AE75" t="e">
        <f>AND(Liste!#REF!,"AAAAAGv+3B4=")</f>
        <v>#REF!</v>
      </c>
      <c r="AF75" t="e">
        <f>AND(Liste!#REF!,"AAAAAGv+3B8=")</f>
        <v>#REF!</v>
      </c>
      <c r="AG75" t="e">
        <f>AND(Liste!#REF!,"AAAAAGv+3CA=")</f>
        <v>#REF!</v>
      </c>
      <c r="AH75" t="e">
        <f>AND(Liste!#REF!,"AAAAAGv+3CE=")</f>
        <v>#REF!</v>
      </c>
      <c r="AI75" t="e">
        <f>AND(Liste!#REF!,"AAAAAGv+3CI=")</f>
        <v>#REF!</v>
      </c>
      <c r="AJ75" t="e">
        <f>AND(Liste!#REF!,"AAAAAGv+3CM=")</f>
        <v>#REF!</v>
      </c>
      <c r="AK75" t="e">
        <f>AND(Liste!#REF!,"AAAAAGv+3CQ=")</f>
        <v>#REF!</v>
      </c>
      <c r="AL75" t="e">
        <f>AND(Liste!#REF!,"AAAAAGv+3CU=")</f>
        <v>#REF!</v>
      </c>
      <c r="AM75" t="e">
        <f>AND(Liste!#REF!,"AAAAAGv+3CY=")</f>
        <v>#REF!</v>
      </c>
      <c r="AN75" t="e">
        <f>AND(Liste!#REF!,"AAAAAGv+3Cc=")</f>
        <v>#REF!</v>
      </c>
      <c r="AO75" t="e">
        <f>AND(Liste!#REF!,"AAAAAGv+3Cg=")</f>
        <v>#REF!</v>
      </c>
      <c r="AP75" t="e">
        <f>AND(Liste!#REF!,"AAAAAGv+3Ck=")</f>
        <v>#REF!</v>
      </c>
      <c r="AQ75" t="e">
        <f>AND(Liste!#REF!,"AAAAAGv+3Co=")</f>
        <v>#REF!</v>
      </c>
      <c r="AR75" t="e">
        <f>AND(Liste!#REF!,"AAAAAGv+3Cs=")</f>
        <v>#REF!</v>
      </c>
      <c r="AS75" t="e">
        <f>AND(Liste!#REF!,"AAAAAGv+3Cw=")</f>
        <v>#REF!</v>
      </c>
      <c r="AT75" t="e">
        <f>AND(Liste!#REF!,"AAAAAGv+3C0=")</f>
        <v>#REF!</v>
      </c>
      <c r="AU75" t="e">
        <f>AND(Liste!#REF!,"AAAAAGv+3C4=")</f>
        <v>#REF!</v>
      </c>
      <c r="AV75" t="e">
        <f>AND(Liste!#REF!,"AAAAAGv+3C8=")</f>
        <v>#REF!</v>
      </c>
      <c r="AW75" t="e">
        <f>AND(Liste!#REF!,"AAAAAGv+3DA=")</f>
        <v>#REF!</v>
      </c>
      <c r="AX75" t="e">
        <f>AND(Liste!#REF!,"AAAAAGv+3DE=")</f>
        <v>#REF!</v>
      </c>
      <c r="AY75" t="e">
        <f>AND(Liste!#REF!,"AAAAAGv+3DI=")</f>
        <v>#REF!</v>
      </c>
      <c r="AZ75" t="e">
        <f>AND(Liste!#REF!,"AAAAAGv+3DM=")</f>
        <v>#REF!</v>
      </c>
      <c r="BA75" t="e">
        <f>AND(Liste!#REF!,"AAAAAGv+3DQ=")</f>
        <v>#REF!</v>
      </c>
      <c r="BB75" t="e">
        <f>AND(Liste!#REF!,"AAAAAGv+3DU=")</f>
        <v>#REF!</v>
      </c>
      <c r="BC75" t="e">
        <f>AND(Liste!#REF!,"AAAAAGv+3DY=")</f>
        <v>#REF!</v>
      </c>
      <c r="BD75" t="e">
        <f>AND(Liste!#REF!,"AAAAAGv+3Dc=")</f>
        <v>#REF!</v>
      </c>
      <c r="BE75" t="e">
        <f>AND(Liste!#REF!,"AAAAAGv+3Dg=")</f>
        <v>#REF!</v>
      </c>
      <c r="BF75" t="e">
        <f>AND(Liste!#REF!,"AAAAAGv+3Dk=")</f>
        <v>#REF!</v>
      </c>
      <c r="BG75" t="e">
        <f>AND(Liste!#REF!,"AAAAAGv+3Do=")</f>
        <v>#REF!</v>
      </c>
      <c r="BH75" t="e">
        <f>IF(Liste!#REF!,"AAAAAGv+3Ds=",0)</f>
        <v>#REF!</v>
      </c>
      <c r="BI75" t="e">
        <f>AND(Liste!#REF!,"AAAAAGv+3Dw=")</f>
        <v>#REF!</v>
      </c>
      <c r="BJ75" t="e">
        <f>AND(Liste!#REF!,"AAAAAGv+3D0=")</f>
        <v>#REF!</v>
      </c>
      <c r="BK75" t="e">
        <f>AND(Liste!#REF!,"AAAAAGv+3D4=")</f>
        <v>#REF!</v>
      </c>
      <c r="BL75" t="e">
        <f>AND(Liste!#REF!,"AAAAAGv+3D8=")</f>
        <v>#REF!</v>
      </c>
      <c r="BM75" t="e">
        <f>AND(Liste!#REF!,"AAAAAGv+3EA=")</f>
        <v>#REF!</v>
      </c>
      <c r="BN75" t="e">
        <f>AND(Liste!#REF!,"AAAAAGv+3EE=")</f>
        <v>#REF!</v>
      </c>
      <c r="BO75" t="e">
        <f>AND(Liste!#REF!,"AAAAAGv+3EI=")</f>
        <v>#REF!</v>
      </c>
      <c r="BP75" t="e">
        <f>AND(Liste!#REF!,"AAAAAGv+3EM=")</f>
        <v>#REF!</v>
      </c>
      <c r="BQ75" t="e">
        <f>AND(Liste!#REF!,"AAAAAGv+3EQ=")</f>
        <v>#REF!</v>
      </c>
      <c r="BR75" t="e">
        <f>AND(Liste!#REF!,"AAAAAGv+3EU=")</f>
        <v>#REF!</v>
      </c>
      <c r="BS75" t="e">
        <f>AND(Liste!#REF!,"AAAAAGv+3EY=")</f>
        <v>#REF!</v>
      </c>
      <c r="BT75" t="e">
        <f>AND(Liste!#REF!,"AAAAAGv+3Ec=")</f>
        <v>#REF!</v>
      </c>
      <c r="BU75" t="e">
        <f>AND(Liste!#REF!,"AAAAAGv+3Eg=")</f>
        <v>#REF!</v>
      </c>
      <c r="BV75" t="e">
        <f>AND(Liste!#REF!,"AAAAAGv+3Ek=")</f>
        <v>#REF!</v>
      </c>
      <c r="BW75" t="e">
        <f>AND(Liste!#REF!,"AAAAAGv+3Eo=")</f>
        <v>#REF!</v>
      </c>
      <c r="BX75" t="e">
        <f>AND(Liste!#REF!,"AAAAAGv+3Es=")</f>
        <v>#REF!</v>
      </c>
      <c r="BY75" t="e">
        <f>AND(Liste!#REF!,"AAAAAGv+3Ew=")</f>
        <v>#REF!</v>
      </c>
      <c r="BZ75" t="e">
        <f>AND(Liste!#REF!,"AAAAAGv+3E0=")</f>
        <v>#REF!</v>
      </c>
      <c r="CA75" t="e">
        <f>AND(Liste!#REF!,"AAAAAGv+3E4=")</f>
        <v>#REF!</v>
      </c>
      <c r="CB75" t="e">
        <f>AND(Liste!#REF!,"AAAAAGv+3E8=")</f>
        <v>#REF!</v>
      </c>
      <c r="CC75" t="e">
        <f>AND(Liste!#REF!,"AAAAAGv+3FA=")</f>
        <v>#REF!</v>
      </c>
      <c r="CD75" t="e">
        <f>AND(Liste!#REF!,"AAAAAGv+3FE=")</f>
        <v>#REF!</v>
      </c>
      <c r="CE75" t="e">
        <f>AND(Liste!#REF!,"AAAAAGv+3FI=")</f>
        <v>#REF!</v>
      </c>
      <c r="CF75" t="e">
        <f>AND(Liste!#REF!,"AAAAAGv+3FM=")</f>
        <v>#REF!</v>
      </c>
      <c r="CG75" t="e">
        <f>AND(Liste!#REF!,"AAAAAGv+3FQ=")</f>
        <v>#REF!</v>
      </c>
      <c r="CH75" t="e">
        <f>AND(Liste!#REF!,"AAAAAGv+3FU=")</f>
        <v>#REF!</v>
      </c>
      <c r="CI75" t="e">
        <f>AND(Liste!#REF!,"AAAAAGv+3FY=")</f>
        <v>#REF!</v>
      </c>
      <c r="CJ75" t="e">
        <f>AND(Liste!#REF!,"AAAAAGv+3Fc=")</f>
        <v>#REF!</v>
      </c>
      <c r="CK75" t="e">
        <f>AND(Liste!#REF!,"AAAAAGv+3Fg=")</f>
        <v>#REF!</v>
      </c>
      <c r="CL75" t="e">
        <f>AND(Liste!#REF!,"AAAAAGv+3Fk=")</f>
        <v>#REF!</v>
      </c>
      <c r="CM75" t="e">
        <f>IF(Liste!#REF!,"AAAAAGv+3Fo=",0)</f>
        <v>#REF!</v>
      </c>
      <c r="CN75" t="e">
        <f>AND(Liste!#REF!,"AAAAAGv+3Fs=")</f>
        <v>#REF!</v>
      </c>
      <c r="CO75" t="e">
        <f>AND(Liste!#REF!,"AAAAAGv+3Fw=")</f>
        <v>#REF!</v>
      </c>
      <c r="CP75" t="e">
        <f>AND(Liste!#REF!,"AAAAAGv+3F0=")</f>
        <v>#REF!</v>
      </c>
      <c r="CQ75" t="e">
        <f>AND(Liste!#REF!,"AAAAAGv+3F4=")</f>
        <v>#REF!</v>
      </c>
      <c r="CR75" t="e">
        <f>AND(Liste!#REF!,"AAAAAGv+3F8=")</f>
        <v>#REF!</v>
      </c>
      <c r="CS75" t="e">
        <f>AND(Liste!#REF!,"AAAAAGv+3GA=")</f>
        <v>#REF!</v>
      </c>
      <c r="CT75" t="e">
        <f>AND(Liste!#REF!,"AAAAAGv+3GE=")</f>
        <v>#REF!</v>
      </c>
      <c r="CU75" t="e">
        <f>AND(Liste!#REF!,"AAAAAGv+3GI=")</f>
        <v>#REF!</v>
      </c>
      <c r="CV75" t="e">
        <f>AND(Liste!#REF!,"AAAAAGv+3GM=")</f>
        <v>#REF!</v>
      </c>
      <c r="CW75" t="e">
        <f>AND(Liste!#REF!,"AAAAAGv+3GQ=")</f>
        <v>#REF!</v>
      </c>
      <c r="CX75" t="e">
        <f>AND(Liste!#REF!,"AAAAAGv+3GU=")</f>
        <v>#REF!</v>
      </c>
      <c r="CY75" t="e">
        <f>AND(Liste!#REF!,"AAAAAGv+3GY=")</f>
        <v>#REF!</v>
      </c>
      <c r="CZ75" t="e">
        <f>AND(Liste!#REF!,"AAAAAGv+3Gc=")</f>
        <v>#REF!</v>
      </c>
      <c r="DA75" t="e">
        <f>AND(Liste!#REF!,"AAAAAGv+3Gg=")</f>
        <v>#REF!</v>
      </c>
      <c r="DB75" t="e">
        <f>AND(Liste!#REF!,"AAAAAGv+3Gk=")</f>
        <v>#REF!</v>
      </c>
      <c r="DC75" t="e">
        <f>AND(Liste!#REF!,"AAAAAGv+3Go=")</f>
        <v>#REF!</v>
      </c>
      <c r="DD75" t="e">
        <f>AND(Liste!#REF!,"AAAAAGv+3Gs=")</f>
        <v>#REF!</v>
      </c>
      <c r="DE75" t="e">
        <f>AND(Liste!#REF!,"AAAAAGv+3Gw=")</f>
        <v>#REF!</v>
      </c>
      <c r="DF75" t="e">
        <f>AND(Liste!#REF!,"AAAAAGv+3G0=")</f>
        <v>#REF!</v>
      </c>
      <c r="DG75" t="e">
        <f>AND(Liste!#REF!,"AAAAAGv+3G4=")</f>
        <v>#REF!</v>
      </c>
      <c r="DH75" t="e">
        <f>AND(Liste!#REF!,"AAAAAGv+3G8=")</f>
        <v>#REF!</v>
      </c>
      <c r="DI75" t="e">
        <f>AND(Liste!#REF!,"AAAAAGv+3HA=")</f>
        <v>#REF!</v>
      </c>
      <c r="DJ75" t="e">
        <f>AND(Liste!#REF!,"AAAAAGv+3HE=")</f>
        <v>#REF!</v>
      </c>
      <c r="DK75" t="e">
        <f>AND(Liste!#REF!,"AAAAAGv+3HI=")</f>
        <v>#REF!</v>
      </c>
      <c r="DL75" t="e">
        <f>AND(Liste!#REF!,"AAAAAGv+3HM=")</f>
        <v>#REF!</v>
      </c>
      <c r="DM75" t="e">
        <f>AND(Liste!#REF!,"AAAAAGv+3HQ=")</f>
        <v>#REF!</v>
      </c>
      <c r="DN75" t="e">
        <f>AND(Liste!#REF!,"AAAAAGv+3HU=")</f>
        <v>#REF!</v>
      </c>
      <c r="DO75" t="e">
        <f>AND(Liste!#REF!,"AAAAAGv+3HY=")</f>
        <v>#REF!</v>
      </c>
      <c r="DP75" t="e">
        <f>AND(Liste!#REF!,"AAAAAGv+3Hc=")</f>
        <v>#REF!</v>
      </c>
      <c r="DQ75" t="e">
        <f>AND(Liste!#REF!,"AAAAAGv+3Hg=")</f>
        <v>#REF!</v>
      </c>
      <c r="DR75" t="e">
        <f>IF(Liste!#REF!,"AAAAAGv+3Hk=",0)</f>
        <v>#REF!</v>
      </c>
      <c r="DS75" t="e">
        <f>AND(Liste!#REF!,"AAAAAGv+3Ho=")</f>
        <v>#REF!</v>
      </c>
      <c r="DT75" t="e">
        <f>AND(Liste!#REF!,"AAAAAGv+3Hs=")</f>
        <v>#REF!</v>
      </c>
      <c r="DU75" t="e">
        <f>AND(Liste!#REF!,"AAAAAGv+3Hw=")</f>
        <v>#REF!</v>
      </c>
      <c r="DV75" t="e">
        <f>AND(Liste!#REF!,"AAAAAGv+3H0=")</f>
        <v>#REF!</v>
      </c>
      <c r="DW75" t="e">
        <f>AND(Liste!#REF!,"AAAAAGv+3H4=")</f>
        <v>#REF!</v>
      </c>
      <c r="DX75" t="e">
        <f>AND(Liste!#REF!,"AAAAAGv+3H8=")</f>
        <v>#REF!</v>
      </c>
      <c r="DY75" t="e">
        <f>AND(Liste!#REF!,"AAAAAGv+3IA=")</f>
        <v>#REF!</v>
      </c>
      <c r="DZ75" t="e">
        <f>AND(Liste!#REF!,"AAAAAGv+3IE=")</f>
        <v>#REF!</v>
      </c>
      <c r="EA75" t="e">
        <f>AND(Liste!#REF!,"AAAAAGv+3II=")</f>
        <v>#REF!</v>
      </c>
      <c r="EB75" t="e">
        <f>AND(Liste!#REF!,"AAAAAGv+3IM=")</f>
        <v>#REF!</v>
      </c>
      <c r="EC75" t="e">
        <f>AND(Liste!#REF!,"AAAAAGv+3IQ=")</f>
        <v>#REF!</v>
      </c>
      <c r="ED75" t="e">
        <f>AND(Liste!#REF!,"AAAAAGv+3IU=")</f>
        <v>#REF!</v>
      </c>
      <c r="EE75" t="e">
        <f>AND(Liste!#REF!,"AAAAAGv+3IY=")</f>
        <v>#REF!</v>
      </c>
      <c r="EF75" t="e">
        <f>AND(Liste!#REF!,"AAAAAGv+3Ic=")</f>
        <v>#REF!</v>
      </c>
      <c r="EG75" t="e">
        <f>AND(Liste!#REF!,"AAAAAGv+3Ig=")</f>
        <v>#REF!</v>
      </c>
      <c r="EH75" t="e">
        <f>AND(Liste!#REF!,"AAAAAGv+3Ik=")</f>
        <v>#REF!</v>
      </c>
      <c r="EI75" t="e">
        <f>AND(Liste!#REF!,"AAAAAGv+3Io=")</f>
        <v>#REF!</v>
      </c>
      <c r="EJ75" t="e">
        <f>AND(Liste!#REF!,"AAAAAGv+3Is=")</f>
        <v>#REF!</v>
      </c>
      <c r="EK75" t="e">
        <f>AND(Liste!#REF!,"AAAAAGv+3Iw=")</f>
        <v>#REF!</v>
      </c>
      <c r="EL75" t="e">
        <f>AND(Liste!#REF!,"AAAAAGv+3I0=")</f>
        <v>#REF!</v>
      </c>
      <c r="EM75" t="e">
        <f>AND(Liste!#REF!,"AAAAAGv+3I4=")</f>
        <v>#REF!</v>
      </c>
      <c r="EN75" t="e">
        <f>AND(Liste!#REF!,"AAAAAGv+3I8=")</f>
        <v>#REF!</v>
      </c>
      <c r="EO75" t="e">
        <f>AND(Liste!#REF!,"AAAAAGv+3JA=")</f>
        <v>#REF!</v>
      </c>
      <c r="EP75" t="e">
        <f>AND(Liste!#REF!,"AAAAAGv+3JE=")</f>
        <v>#REF!</v>
      </c>
      <c r="EQ75" t="e">
        <f>AND(Liste!#REF!,"AAAAAGv+3JI=")</f>
        <v>#REF!</v>
      </c>
      <c r="ER75" t="e">
        <f>AND(Liste!#REF!,"AAAAAGv+3JM=")</f>
        <v>#REF!</v>
      </c>
      <c r="ES75" t="e">
        <f>AND(Liste!#REF!,"AAAAAGv+3JQ=")</f>
        <v>#REF!</v>
      </c>
      <c r="ET75" t="e">
        <f>AND(Liste!#REF!,"AAAAAGv+3JU=")</f>
        <v>#REF!</v>
      </c>
      <c r="EU75" t="e">
        <f>AND(Liste!#REF!,"AAAAAGv+3JY=")</f>
        <v>#REF!</v>
      </c>
      <c r="EV75" t="e">
        <f>AND(Liste!#REF!,"AAAAAGv+3Jc=")</f>
        <v>#REF!</v>
      </c>
      <c r="EW75" t="e">
        <f>IF(Liste!#REF!,"AAAAAGv+3Jg=",0)</f>
        <v>#REF!</v>
      </c>
      <c r="EX75" t="e">
        <f>AND(Liste!#REF!,"AAAAAGv+3Jk=")</f>
        <v>#REF!</v>
      </c>
      <c r="EY75" t="e">
        <f>AND(Liste!#REF!,"AAAAAGv+3Jo=")</f>
        <v>#REF!</v>
      </c>
      <c r="EZ75" t="e">
        <f>AND(Liste!#REF!,"AAAAAGv+3Js=")</f>
        <v>#REF!</v>
      </c>
      <c r="FA75" t="e">
        <f>AND(Liste!#REF!,"AAAAAGv+3Jw=")</f>
        <v>#REF!</v>
      </c>
      <c r="FB75" t="e">
        <f>AND(Liste!#REF!,"AAAAAGv+3J0=")</f>
        <v>#REF!</v>
      </c>
      <c r="FC75" t="e">
        <f>AND(Liste!#REF!,"AAAAAGv+3J4=")</f>
        <v>#REF!</v>
      </c>
      <c r="FD75" t="e">
        <f>AND(Liste!#REF!,"AAAAAGv+3J8=")</f>
        <v>#REF!</v>
      </c>
      <c r="FE75" t="e">
        <f>AND(Liste!#REF!,"AAAAAGv+3KA=")</f>
        <v>#REF!</v>
      </c>
      <c r="FF75" t="e">
        <f>AND(Liste!#REF!,"AAAAAGv+3KE=")</f>
        <v>#REF!</v>
      </c>
      <c r="FG75" t="e">
        <f>AND(Liste!#REF!,"AAAAAGv+3KI=")</f>
        <v>#REF!</v>
      </c>
      <c r="FH75" t="e">
        <f>AND(Liste!#REF!,"AAAAAGv+3KM=")</f>
        <v>#REF!</v>
      </c>
      <c r="FI75" t="e">
        <f>AND(Liste!#REF!,"AAAAAGv+3KQ=")</f>
        <v>#REF!</v>
      </c>
      <c r="FJ75" t="e">
        <f>AND(Liste!#REF!,"AAAAAGv+3KU=")</f>
        <v>#REF!</v>
      </c>
      <c r="FK75" t="e">
        <f>AND(Liste!#REF!,"AAAAAGv+3KY=")</f>
        <v>#REF!</v>
      </c>
      <c r="FL75" t="e">
        <f>AND(Liste!#REF!,"AAAAAGv+3Kc=")</f>
        <v>#REF!</v>
      </c>
      <c r="FM75" t="e">
        <f>AND(Liste!#REF!,"AAAAAGv+3Kg=")</f>
        <v>#REF!</v>
      </c>
      <c r="FN75" t="e">
        <f>AND(Liste!#REF!,"AAAAAGv+3Kk=")</f>
        <v>#REF!</v>
      </c>
      <c r="FO75" t="e">
        <f>AND(Liste!#REF!,"AAAAAGv+3Ko=")</f>
        <v>#REF!</v>
      </c>
      <c r="FP75" t="e">
        <f>AND(Liste!#REF!,"AAAAAGv+3Ks=")</f>
        <v>#REF!</v>
      </c>
      <c r="FQ75" t="e">
        <f>AND(Liste!#REF!,"AAAAAGv+3Kw=")</f>
        <v>#REF!</v>
      </c>
      <c r="FR75" t="e">
        <f>AND(Liste!#REF!,"AAAAAGv+3K0=")</f>
        <v>#REF!</v>
      </c>
      <c r="FS75" t="e">
        <f>AND(Liste!#REF!,"AAAAAGv+3K4=")</f>
        <v>#REF!</v>
      </c>
      <c r="FT75" t="e">
        <f>AND(Liste!#REF!,"AAAAAGv+3K8=")</f>
        <v>#REF!</v>
      </c>
      <c r="FU75" t="e">
        <f>AND(Liste!#REF!,"AAAAAGv+3LA=")</f>
        <v>#REF!</v>
      </c>
      <c r="FV75" t="e">
        <f>AND(Liste!#REF!,"AAAAAGv+3LE=")</f>
        <v>#REF!</v>
      </c>
      <c r="FW75" t="e">
        <f>AND(Liste!#REF!,"AAAAAGv+3LI=")</f>
        <v>#REF!</v>
      </c>
      <c r="FX75" t="e">
        <f>AND(Liste!#REF!,"AAAAAGv+3LM=")</f>
        <v>#REF!</v>
      </c>
      <c r="FY75" t="e">
        <f>AND(Liste!#REF!,"AAAAAGv+3LQ=")</f>
        <v>#REF!</v>
      </c>
      <c r="FZ75" t="e">
        <f>AND(Liste!#REF!,"AAAAAGv+3LU=")</f>
        <v>#REF!</v>
      </c>
      <c r="GA75" t="e">
        <f>AND(Liste!#REF!,"AAAAAGv+3LY=")</f>
        <v>#REF!</v>
      </c>
      <c r="GB75" t="e">
        <f>IF(Liste!#REF!,"AAAAAGv+3Lc=",0)</f>
        <v>#REF!</v>
      </c>
      <c r="GC75" t="e">
        <f>AND(Liste!#REF!,"AAAAAGv+3Lg=")</f>
        <v>#REF!</v>
      </c>
      <c r="GD75" t="e">
        <f>AND(Liste!#REF!,"AAAAAGv+3Lk=")</f>
        <v>#REF!</v>
      </c>
      <c r="GE75" t="e">
        <f>AND(Liste!#REF!,"AAAAAGv+3Lo=")</f>
        <v>#REF!</v>
      </c>
      <c r="GF75" t="e">
        <f>AND(Liste!#REF!,"AAAAAGv+3Ls=")</f>
        <v>#REF!</v>
      </c>
      <c r="GG75" t="e">
        <f>AND(Liste!#REF!,"AAAAAGv+3Lw=")</f>
        <v>#REF!</v>
      </c>
      <c r="GH75" t="e">
        <f>AND(Liste!#REF!,"AAAAAGv+3L0=")</f>
        <v>#REF!</v>
      </c>
      <c r="GI75" t="e">
        <f>AND(Liste!#REF!,"AAAAAGv+3L4=")</f>
        <v>#REF!</v>
      </c>
      <c r="GJ75" t="e">
        <f>AND(Liste!#REF!,"AAAAAGv+3L8=")</f>
        <v>#REF!</v>
      </c>
      <c r="GK75" t="e">
        <f>AND(Liste!#REF!,"AAAAAGv+3MA=")</f>
        <v>#REF!</v>
      </c>
      <c r="GL75" t="e">
        <f>AND(Liste!#REF!,"AAAAAGv+3ME=")</f>
        <v>#REF!</v>
      </c>
      <c r="GM75" t="e">
        <f>AND(Liste!#REF!,"AAAAAGv+3MI=")</f>
        <v>#REF!</v>
      </c>
      <c r="GN75" t="e">
        <f>AND(Liste!#REF!,"AAAAAGv+3MM=")</f>
        <v>#REF!</v>
      </c>
      <c r="GO75" t="e">
        <f>AND(Liste!#REF!,"AAAAAGv+3MQ=")</f>
        <v>#REF!</v>
      </c>
      <c r="GP75" t="e">
        <f>AND(Liste!#REF!,"AAAAAGv+3MU=")</f>
        <v>#REF!</v>
      </c>
      <c r="GQ75" t="e">
        <f>AND(Liste!#REF!,"AAAAAGv+3MY=")</f>
        <v>#REF!</v>
      </c>
      <c r="GR75" t="e">
        <f>AND(Liste!#REF!,"AAAAAGv+3Mc=")</f>
        <v>#REF!</v>
      </c>
      <c r="GS75" t="e">
        <f>AND(Liste!#REF!,"AAAAAGv+3Mg=")</f>
        <v>#REF!</v>
      </c>
      <c r="GT75" t="e">
        <f>AND(Liste!#REF!,"AAAAAGv+3Mk=")</f>
        <v>#REF!</v>
      </c>
      <c r="GU75" t="e">
        <f>AND(Liste!#REF!,"AAAAAGv+3Mo=")</f>
        <v>#REF!</v>
      </c>
      <c r="GV75" t="e">
        <f>AND(Liste!#REF!,"AAAAAGv+3Ms=")</f>
        <v>#REF!</v>
      </c>
      <c r="GW75" t="e">
        <f>AND(Liste!#REF!,"AAAAAGv+3Mw=")</f>
        <v>#REF!</v>
      </c>
      <c r="GX75" t="e">
        <f>AND(Liste!#REF!,"AAAAAGv+3M0=")</f>
        <v>#REF!</v>
      </c>
      <c r="GY75" t="e">
        <f>AND(Liste!#REF!,"AAAAAGv+3M4=")</f>
        <v>#REF!</v>
      </c>
      <c r="GZ75" t="e">
        <f>AND(Liste!#REF!,"AAAAAGv+3M8=")</f>
        <v>#REF!</v>
      </c>
      <c r="HA75" t="e">
        <f>AND(Liste!#REF!,"AAAAAGv+3NA=")</f>
        <v>#REF!</v>
      </c>
      <c r="HB75" t="e">
        <f>AND(Liste!#REF!,"AAAAAGv+3NE=")</f>
        <v>#REF!</v>
      </c>
      <c r="HC75" t="e">
        <f>AND(Liste!#REF!,"AAAAAGv+3NI=")</f>
        <v>#REF!</v>
      </c>
      <c r="HD75" t="e">
        <f>AND(Liste!#REF!,"AAAAAGv+3NM=")</f>
        <v>#REF!</v>
      </c>
      <c r="HE75" t="e">
        <f>AND(Liste!#REF!,"AAAAAGv+3NQ=")</f>
        <v>#REF!</v>
      </c>
      <c r="HF75" t="e">
        <f>AND(Liste!#REF!,"AAAAAGv+3NU=")</f>
        <v>#REF!</v>
      </c>
      <c r="HG75" t="e">
        <f>IF(Liste!#REF!,"AAAAAGv+3NY=",0)</f>
        <v>#REF!</v>
      </c>
      <c r="HH75" t="e">
        <f>AND(Liste!#REF!,"AAAAAGv+3Nc=")</f>
        <v>#REF!</v>
      </c>
      <c r="HI75" t="e">
        <f>AND(Liste!#REF!,"AAAAAGv+3Ng=")</f>
        <v>#REF!</v>
      </c>
      <c r="HJ75" t="e">
        <f>AND(Liste!#REF!,"AAAAAGv+3Nk=")</f>
        <v>#REF!</v>
      </c>
      <c r="HK75" t="e">
        <f>AND(Liste!#REF!,"AAAAAGv+3No=")</f>
        <v>#REF!</v>
      </c>
      <c r="HL75" t="e">
        <f>AND(Liste!#REF!,"AAAAAGv+3Ns=")</f>
        <v>#REF!</v>
      </c>
      <c r="HM75" t="e">
        <f>AND(Liste!#REF!,"AAAAAGv+3Nw=")</f>
        <v>#REF!</v>
      </c>
      <c r="HN75" t="e">
        <f>AND(Liste!#REF!,"AAAAAGv+3N0=")</f>
        <v>#REF!</v>
      </c>
      <c r="HO75" t="e">
        <f>AND(Liste!#REF!,"AAAAAGv+3N4=")</f>
        <v>#REF!</v>
      </c>
      <c r="HP75" t="e">
        <f>AND(Liste!#REF!,"AAAAAGv+3N8=")</f>
        <v>#REF!</v>
      </c>
      <c r="HQ75" t="e">
        <f>AND(Liste!#REF!,"AAAAAGv+3OA=")</f>
        <v>#REF!</v>
      </c>
      <c r="HR75" t="e">
        <f>AND(Liste!#REF!,"AAAAAGv+3OE=")</f>
        <v>#REF!</v>
      </c>
      <c r="HS75" t="e">
        <f>AND(Liste!#REF!,"AAAAAGv+3OI=")</f>
        <v>#REF!</v>
      </c>
      <c r="HT75" t="e">
        <f>AND(Liste!#REF!,"AAAAAGv+3OM=")</f>
        <v>#REF!</v>
      </c>
      <c r="HU75" t="e">
        <f>AND(Liste!#REF!,"AAAAAGv+3OQ=")</f>
        <v>#REF!</v>
      </c>
      <c r="HV75" t="e">
        <f>AND(Liste!#REF!,"AAAAAGv+3OU=")</f>
        <v>#REF!</v>
      </c>
      <c r="HW75" t="e">
        <f>AND(Liste!#REF!,"AAAAAGv+3OY=")</f>
        <v>#REF!</v>
      </c>
      <c r="HX75" t="e">
        <f>AND(Liste!#REF!,"AAAAAGv+3Oc=")</f>
        <v>#REF!</v>
      </c>
      <c r="HY75" t="e">
        <f>AND(Liste!#REF!,"AAAAAGv+3Og=")</f>
        <v>#REF!</v>
      </c>
      <c r="HZ75" t="e">
        <f>AND(Liste!#REF!,"AAAAAGv+3Ok=")</f>
        <v>#REF!</v>
      </c>
      <c r="IA75" t="e">
        <f>AND(Liste!#REF!,"AAAAAGv+3Oo=")</f>
        <v>#REF!</v>
      </c>
      <c r="IB75" t="e">
        <f>AND(Liste!#REF!,"AAAAAGv+3Os=")</f>
        <v>#REF!</v>
      </c>
      <c r="IC75" t="e">
        <f>AND(Liste!#REF!,"AAAAAGv+3Ow=")</f>
        <v>#REF!</v>
      </c>
      <c r="ID75" t="e">
        <f>AND(Liste!#REF!,"AAAAAGv+3O0=")</f>
        <v>#REF!</v>
      </c>
      <c r="IE75" t="e">
        <f>AND(Liste!#REF!,"AAAAAGv+3O4=")</f>
        <v>#REF!</v>
      </c>
      <c r="IF75" t="e">
        <f>AND(Liste!#REF!,"AAAAAGv+3O8=")</f>
        <v>#REF!</v>
      </c>
      <c r="IG75" t="e">
        <f>AND(Liste!#REF!,"AAAAAGv+3PA=")</f>
        <v>#REF!</v>
      </c>
      <c r="IH75" t="e">
        <f>AND(Liste!#REF!,"AAAAAGv+3PE=")</f>
        <v>#REF!</v>
      </c>
      <c r="II75" t="e">
        <f>AND(Liste!#REF!,"AAAAAGv+3PI=")</f>
        <v>#REF!</v>
      </c>
      <c r="IJ75" t="e">
        <f>AND(Liste!#REF!,"AAAAAGv+3PM=")</f>
        <v>#REF!</v>
      </c>
      <c r="IK75" t="e">
        <f>AND(Liste!#REF!,"AAAAAGv+3PQ=")</f>
        <v>#REF!</v>
      </c>
      <c r="IL75" t="e">
        <f>IF(Liste!#REF!,"AAAAAGv+3PU=",0)</f>
        <v>#REF!</v>
      </c>
      <c r="IM75" t="e">
        <f>AND(Liste!#REF!,"AAAAAGv+3PY=")</f>
        <v>#REF!</v>
      </c>
      <c r="IN75" t="e">
        <f>AND(Liste!#REF!,"AAAAAGv+3Pc=")</f>
        <v>#REF!</v>
      </c>
      <c r="IO75" t="e">
        <f>AND(Liste!#REF!,"AAAAAGv+3Pg=")</f>
        <v>#REF!</v>
      </c>
      <c r="IP75" t="e">
        <f>AND(Liste!#REF!,"AAAAAGv+3Pk=")</f>
        <v>#REF!</v>
      </c>
      <c r="IQ75" t="e">
        <f>AND(Liste!#REF!,"AAAAAGv+3Po=")</f>
        <v>#REF!</v>
      </c>
      <c r="IR75" t="e">
        <f>AND(Liste!#REF!,"AAAAAGv+3Ps=")</f>
        <v>#REF!</v>
      </c>
      <c r="IS75" t="e">
        <f>AND(Liste!#REF!,"AAAAAGv+3Pw=")</f>
        <v>#REF!</v>
      </c>
      <c r="IT75" t="e">
        <f>AND(Liste!#REF!,"AAAAAGv+3P0=")</f>
        <v>#REF!</v>
      </c>
      <c r="IU75" t="e">
        <f>AND(Liste!#REF!,"AAAAAGv+3P4=")</f>
        <v>#REF!</v>
      </c>
      <c r="IV75" t="e">
        <f>AND(Liste!#REF!,"AAAAAGv+3P8=")</f>
        <v>#REF!</v>
      </c>
    </row>
    <row r="76" spans="1:256" x14ac:dyDescent="0.2">
      <c r="A76" t="e">
        <f>AND(Liste!#REF!,"AAAAAHl33gA=")</f>
        <v>#REF!</v>
      </c>
      <c r="B76" t="e">
        <f>AND(Liste!#REF!,"AAAAAHl33gE=")</f>
        <v>#REF!</v>
      </c>
      <c r="C76" t="e">
        <f>AND(Liste!#REF!,"AAAAAHl33gI=")</f>
        <v>#REF!</v>
      </c>
      <c r="D76" t="e">
        <f>AND(Liste!#REF!,"AAAAAHl33gM=")</f>
        <v>#REF!</v>
      </c>
      <c r="E76" t="e">
        <f>AND(Liste!#REF!,"AAAAAHl33gQ=")</f>
        <v>#REF!</v>
      </c>
      <c r="F76" t="e">
        <f>AND(Liste!#REF!,"AAAAAHl33gU=")</f>
        <v>#REF!</v>
      </c>
      <c r="G76" t="e">
        <f>AND(Liste!#REF!,"AAAAAHl33gY=")</f>
        <v>#REF!</v>
      </c>
      <c r="H76" t="e">
        <f>AND(Liste!#REF!,"AAAAAHl33gc=")</f>
        <v>#REF!</v>
      </c>
      <c r="I76" t="e">
        <f>AND(Liste!#REF!,"AAAAAHl33gg=")</f>
        <v>#REF!</v>
      </c>
      <c r="J76" t="e">
        <f>AND(Liste!#REF!,"AAAAAHl33gk=")</f>
        <v>#REF!</v>
      </c>
      <c r="K76" t="e">
        <f>AND(Liste!#REF!,"AAAAAHl33go=")</f>
        <v>#REF!</v>
      </c>
      <c r="L76" t="e">
        <f>AND(Liste!#REF!,"AAAAAHl33gs=")</f>
        <v>#REF!</v>
      </c>
      <c r="M76" t="e">
        <f>AND(Liste!#REF!,"AAAAAHl33gw=")</f>
        <v>#REF!</v>
      </c>
      <c r="N76" t="e">
        <f>AND(Liste!#REF!,"AAAAAHl33g0=")</f>
        <v>#REF!</v>
      </c>
      <c r="O76" t="e">
        <f>AND(Liste!#REF!,"AAAAAHl33g4=")</f>
        <v>#REF!</v>
      </c>
      <c r="P76" t="e">
        <f>AND(Liste!#REF!,"AAAAAHl33g8=")</f>
        <v>#REF!</v>
      </c>
      <c r="Q76" t="e">
        <f>AND(Liste!#REF!,"AAAAAHl33hA=")</f>
        <v>#REF!</v>
      </c>
      <c r="R76" t="e">
        <f>AND(Liste!#REF!,"AAAAAHl33hE=")</f>
        <v>#REF!</v>
      </c>
      <c r="S76" t="e">
        <f>AND(Liste!#REF!,"AAAAAHl33hI=")</f>
        <v>#REF!</v>
      </c>
      <c r="T76" t="e">
        <f>AND(Liste!#REF!,"AAAAAHl33hM=")</f>
        <v>#REF!</v>
      </c>
      <c r="U76" t="e">
        <f>IF(Liste!#REF!,"AAAAAHl33hQ=",0)</f>
        <v>#REF!</v>
      </c>
      <c r="V76" t="e">
        <f>AND(Liste!#REF!,"AAAAAHl33hU=")</f>
        <v>#REF!</v>
      </c>
      <c r="W76" t="e">
        <f>AND(Liste!#REF!,"AAAAAHl33hY=")</f>
        <v>#REF!</v>
      </c>
      <c r="X76" t="e">
        <f>AND(Liste!#REF!,"AAAAAHl33hc=")</f>
        <v>#REF!</v>
      </c>
      <c r="Y76" t="e">
        <f>AND(Liste!#REF!,"AAAAAHl33hg=")</f>
        <v>#REF!</v>
      </c>
      <c r="Z76" t="e">
        <f>AND(Liste!#REF!,"AAAAAHl33hk=")</f>
        <v>#REF!</v>
      </c>
      <c r="AA76" t="e">
        <f>AND(Liste!#REF!,"AAAAAHl33ho=")</f>
        <v>#REF!</v>
      </c>
      <c r="AB76" t="e">
        <f>AND(Liste!#REF!,"AAAAAHl33hs=")</f>
        <v>#REF!</v>
      </c>
      <c r="AC76" t="e">
        <f>AND(Liste!#REF!,"AAAAAHl33hw=")</f>
        <v>#REF!</v>
      </c>
      <c r="AD76" t="e">
        <f>AND(Liste!#REF!,"AAAAAHl33h0=")</f>
        <v>#REF!</v>
      </c>
      <c r="AE76" t="e">
        <f>AND(Liste!#REF!,"AAAAAHl33h4=")</f>
        <v>#REF!</v>
      </c>
      <c r="AF76" t="e">
        <f>AND(Liste!#REF!,"AAAAAHl33h8=")</f>
        <v>#REF!</v>
      </c>
      <c r="AG76" t="e">
        <f>AND(Liste!#REF!,"AAAAAHl33iA=")</f>
        <v>#REF!</v>
      </c>
      <c r="AH76" t="e">
        <f>AND(Liste!#REF!,"AAAAAHl33iE=")</f>
        <v>#REF!</v>
      </c>
      <c r="AI76" t="e">
        <f>AND(Liste!#REF!,"AAAAAHl33iI=")</f>
        <v>#REF!</v>
      </c>
      <c r="AJ76" t="e">
        <f>AND(Liste!#REF!,"AAAAAHl33iM=")</f>
        <v>#REF!</v>
      </c>
      <c r="AK76" t="e">
        <f>AND(Liste!#REF!,"AAAAAHl33iQ=")</f>
        <v>#REF!</v>
      </c>
      <c r="AL76" t="e">
        <f>AND(Liste!#REF!,"AAAAAHl33iU=")</f>
        <v>#REF!</v>
      </c>
      <c r="AM76" t="e">
        <f>AND(Liste!#REF!,"AAAAAHl33iY=")</f>
        <v>#REF!</v>
      </c>
      <c r="AN76" t="e">
        <f>AND(Liste!#REF!,"AAAAAHl33ic=")</f>
        <v>#REF!</v>
      </c>
      <c r="AO76" t="e">
        <f>AND(Liste!#REF!,"AAAAAHl33ig=")</f>
        <v>#REF!</v>
      </c>
      <c r="AP76" t="e">
        <f>AND(Liste!#REF!,"AAAAAHl33ik=")</f>
        <v>#REF!</v>
      </c>
      <c r="AQ76" t="e">
        <f>AND(Liste!#REF!,"AAAAAHl33io=")</f>
        <v>#REF!</v>
      </c>
      <c r="AR76" t="e">
        <f>AND(Liste!#REF!,"AAAAAHl33is=")</f>
        <v>#REF!</v>
      </c>
      <c r="AS76" t="e">
        <f>AND(Liste!#REF!,"AAAAAHl33iw=")</f>
        <v>#REF!</v>
      </c>
      <c r="AT76" t="e">
        <f>AND(Liste!#REF!,"AAAAAHl33i0=")</f>
        <v>#REF!</v>
      </c>
      <c r="AU76" t="e">
        <f>AND(Liste!#REF!,"AAAAAHl33i4=")</f>
        <v>#REF!</v>
      </c>
      <c r="AV76" t="e">
        <f>AND(Liste!#REF!,"AAAAAHl33i8=")</f>
        <v>#REF!</v>
      </c>
      <c r="AW76" t="e">
        <f>AND(Liste!#REF!,"AAAAAHl33jA=")</f>
        <v>#REF!</v>
      </c>
      <c r="AX76" t="e">
        <f>AND(Liste!#REF!,"AAAAAHl33jE=")</f>
        <v>#REF!</v>
      </c>
      <c r="AY76" t="e">
        <f>AND(Liste!#REF!,"AAAAAHl33jI=")</f>
        <v>#REF!</v>
      </c>
      <c r="AZ76" t="e">
        <f>IF(Liste!#REF!,"AAAAAHl33jM=",0)</f>
        <v>#REF!</v>
      </c>
      <c r="BA76" t="e">
        <f>AND(Liste!#REF!,"AAAAAHl33jQ=")</f>
        <v>#REF!</v>
      </c>
      <c r="BB76" t="e">
        <f>AND(Liste!#REF!,"AAAAAHl33jU=")</f>
        <v>#REF!</v>
      </c>
      <c r="BC76" t="e">
        <f>AND(Liste!#REF!,"AAAAAHl33jY=")</f>
        <v>#REF!</v>
      </c>
      <c r="BD76" t="e">
        <f>AND(Liste!#REF!,"AAAAAHl33jc=")</f>
        <v>#REF!</v>
      </c>
      <c r="BE76" t="e">
        <f>AND(Liste!#REF!,"AAAAAHl33jg=")</f>
        <v>#REF!</v>
      </c>
      <c r="BF76" t="e">
        <f>AND(Liste!#REF!,"AAAAAHl33jk=")</f>
        <v>#REF!</v>
      </c>
      <c r="BG76" t="e">
        <f>AND(Liste!#REF!,"AAAAAHl33jo=")</f>
        <v>#REF!</v>
      </c>
      <c r="BH76" t="e">
        <f>AND(Liste!#REF!,"AAAAAHl33js=")</f>
        <v>#REF!</v>
      </c>
      <c r="BI76" t="e">
        <f>AND(Liste!#REF!,"AAAAAHl33jw=")</f>
        <v>#REF!</v>
      </c>
      <c r="BJ76" t="e">
        <f>AND(Liste!#REF!,"AAAAAHl33j0=")</f>
        <v>#REF!</v>
      </c>
      <c r="BK76" t="e">
        <f>AND(Liste!#REF!,"AAAAAHl33j4=")</f>
        <v>#REF!</v>
      </c>
      <c r="BL76" t="e">
        <f>AND(Liste!#REF!,"AAAAAHl33j8=")</f>
        <v>#REF!</v>
      </c>
      <c r="BM76" t="e">
        <f>AND(Liste!#REF!,"AAAAAHl33kA=")</f>
        <v>#REF!</v>
      </c>
      <c r="BN76" t="e">
        <f>AND(Liste!#REF!,"AAAAAHl33kE=")</f>
        <v>#REF!</v>
      </c>
      <c r="BO76" t="e">
        <f>AND(Liste!#REF!,"AAAAAHl33kI=")</f>
        <v>#REF!</v>
      </c>
      <c r="BP76" t="e">
        <f>AND(Liste!#REF!,"AAAAAHl33kM=")</f>
        <v>#REF!</v>
      </c>
      <c r="BQ76" t="e">
        <f>AND(Liste!#REF!,"AAAAAHl33kQ=")</f>
        <v>#REF!</v>
      </c>
      <c r="BR76" t="e">
        <f>AND(Liste!#REF!,"AAAAAHl33kU=")</f>
        <v>#REF!</v>
      </c>
      <c r="BS76" t="e">
        <f>AND(Liste!#REF!,"AAAAAHl33kY=")</f>
        <v>#REF!</v>
      </c>
      <c r="BT76" t="e">
        <f>AND(Liste!#REF!,"AAAAAHl33kc=")</f>
        <v>#REF!</v>
      </c>
      <c r="BU76" t="e">
        <f>AND(Liste!#REF!,"AAAAAHl33kg=")</f>
        <v>#REF!</v>
      </c>
      <c r="BV76" t="e">
        <f>AND(Liste!#REF!,"AAAAAHl33kk=")</f>
        <v>#REF!</v>
      </c>
      <c r="BW76" t="e">
        <f>AND(Liste!#REF!,"AAAAAHl33ko=")</f>
        <v>#REF!</v>
      </c>
      <c r="BX76" t="e">
        <f>AND(Liste!#REF!,"AAAAAHl33ks=")</f>
        <v>#REF!</v>
      </c>
      <c r="BY76" t="e">
        <f>AND(Liste!#REF!,"AAAAAHl33kw=")</f>
        <v>#REF!</v>
      </c>
      <c r="BZ76" t="e">
        <f>AND(Liste!#REF!,"AAAAAHl33k0=")</f>
        <v>#REF!</v>
      </c>
      <c r="CA76" t="e">
        <f>AND(Liste!#REF!,"AAAAAHl33k4=")</f>
        <v>#REF!</v>
      </c>
      <c r="CB76" t="e">
        <f>AND(Liste!#REF!,"AAAAAHl33k8=")</f>
        <v>#REF!</v>
      </c>
      <c r="CC76" t="e">
        <f>AND(Liste!#REF!,"AAAAAHl33lA=")</f>
        <v>#REF!</v>
      </c>
      <c r="CD76" t="e">
        <f>AND(Liste!#REF!,"AAAAAHl33lE=")</f>
        <v>#REF!</v>
      </c>
      <c r="CE76" t="e">
        <f>IF(Liste!#REF!,"AAAAAHl33lI=",0)</f>
        <v>#REF!</v>
      </c>
      <c r="CF76" t="e">
        <f>AND(Liste!#REF!,"AAAAAHl33lM=")</f>
        <v>#REF!</v>
      </c>
      <c r="CG76" t="e">
        <f>AND(Liste!#REF!,"AAAAAHl33lQ=")</f>
        <v>#REF!</v>
      </c>
      <c r="CH76" t="e">
        <f>AND(Liste!#REF!,"AAAAAHl33lU=")</f>
        <v>#REF!</v>
      </c>
      <c r="CI76" t="e">
        <f>AND(Liste!#REF!,"AAAAAHl33lY=")</f>
        <v>#REF!</v>
      </c>
      <c r="CJ76" t="e">
        <f>AND(Liste!#REF!,"AAAAAHl33lc=")</f>
        <v>#REF!</v>
      </c>
      <c r="CK76" t="e">
        <f>AND(Liste!#REF!,"AAAAAHl33lg=")</f>
        <v>#REF!</v>
      </c>
      <c r="CL76" t="e">
        <f>AND(Liste!#REF!,"AAAAAHl33lk=")</f>
        <v>#REF!</v>
      </c>
      <c r="CM76" t="e">
        <f>AND(Liste!#REF!,"AAAAAHl33lo=")</f>
        <v>#REF!</v>
      </c>
      <c r="CN76" t="e">
        <f>AND(Liste!#REF!,"AAAAAHl33ls=")</f>
        <v>#REF!</v>
      </c>
      <c r="CO76" t="e">
        <f>AND(Liste!#REF!,"AAAAAHl33lw=")</f>
        <v>#REF!</v>
      </c>
      <c r="CP76" t="e">
        <f>AND(Liste!#REF!,"AAAAAHl33l0=")</f>
        <v>#REF!</v>
      </c>
      <c r="CQ76" t="e">
        <f>AND(Liste!#REF!,"AAAAAHl33l4=")</f>
        <v>#REF!</v>
      </c>
      <c r="CR76" t="e">
        <f>AND(Liste!#REF!,"AAAAAHl33l8=")</f>
        <v>#REF!</v>
      </c>
      <c r="CS76" t="e">
        <f>AND(Liste!#REF!,"AAAAAHl33mA=")</f>
        <v>#REF!</v>
      </c>
      <c r="CT76" t="e">
        <f>AND(Liste!#REF!,"AAAAAHl33mE=")</f>
        <v>#REF!</v>
      </c>
      <c r="CU76" t="e">
        <f>AND(Liste!#REF!,"AAAAAHl33mI=")</f>
        <v>#REF!</v>
      </c>
      <c r="CV76" t="e">
        <f>AND(Liste!#REF!,"AAAAAHl33mM=")</f>
        <v>#REF!</v>
      </c>
      <c r="CW76" t="e">
        <f>AND(Liste!#REF!,"AAAAAHl33mQ=")</f>
        <v>#REF!</v>
      </c>
      <c r="CX76" t="e">
        <f>AND(Liste!#REF!,"AAAAAHl33mU=")</f>
        <v>#REF!</v>
      </c>
      <c r="CY76" t="e">
        <f>AND(Liste!#REF!,"AAAAAHl33mY=")</f>
        <v>#REF!</v>
      </c>
      <c r="CZ76" t="e">
        <f>AND(Liste!#REF!,"AAAAAHl33mc=")</f>
        <v>#REF!</v>
      </c>
      <c r="DA76" t="e">
        <f>AND(Liste!#REF!,"AAAAAHl33mg=")</f>
        <v>#REF!</v>
      </c>
      <c r="DB76" t="e">
        <f>AND(Liste!#REF!,"AAAAAHl33mk=")</f>
        <v>#REF!</v>
      </c>
      <c r="DC76" t="e">
        <f>AND(Liste!#REF!,"AAAAAHl33mo=")</f>
        <v>#REF!</v>
      </c>
      <c r="DD76" t="e">
        <f>AND(Liste!#REF!,"AAAAAHl33ms=")</f>
        <v>#REF!</v>
      </c>
      <c r="DE76" t="e">
        <f>AND(Liste!#REF!,"AAAAAHl33mw=")</f>
        <v>#REF!</v>
      </c>
      <c r="DF76" t="e">
        <f>AND(Liste!#REF!,"AAAAAHl33m0=")</f>
        <v>#REF!</v>
      </c>
      <c r="DG76" t="e">
        <f>AND(Liste!#REF!,"AAAAAHl33m4=")</f>
        <v>#REF!</v>
      </c>
      <c r="DH76" t="e">
        <f>AND(Liste!#REF!,"AAAAAHl33m8=")</f>
        <v>#REF!</v>
      </c>
      <c r="DI76" t="e">
        <f>AND(Liste!#REF!,"AAAAAHl33nA=")</f>
        <v>#REF!</v>
      </c>
      <c r="DJ76" t="e">
        <f>IF(Liste!#REF!,"AAAAAHl33nE=",0)</f>
        <v>#REF!</v>
      </c>
      <c r="DK76" t="e">
        <f>AND(Liste!#REF!,"AAAAAHl33nI=")</f>
        <v>#REF!</v>
      </c>
      <c r="DL76" t="e">
        <f>AND(Liste!#REF!,"AAAAAHl33nM=")</f>
        <v>#REF!</v>
      </c>
      <c r="DM76" t="e">
        <f>AND(Liste!#REF!,"AAAAAHl33nQ=")</f>
        <v>#REF!</v>
      </c>
      <c r="DN76" t="e">
        <f>AND(Liste!#REF!,"AAAAAHl33nU=")</f>
        <v>#REF!</v>
      </c>
      <c r="DO76" t="e">
        <f>AND(Liste!#REF!,"AAAAAHl33nY=")</f>
        <v>#REF!</v>
      </c>
      <c r="DP76" t="e">
        <f>AND(Liste!#REF!,"AAAAAHl33nc=")</f>
        <v>#REF!</v>
      </c>
      <c r="DQ76" t="e">
        <f>AND(Liste!#REF!,"AAAAAHl33ng=")</f>
        <v>#REF!</v>
      </c>
      <c r="DR76" t="e">
        <f>AND(Liste!#REF!,"AAAAAHl33nk=")</f>
        <v>#REF!</v>
      </c>
      <c r="DS76" t="e">
        <f>AND(Liste!#REF!,"AAAAAHl33no=")</f>
        <v>#REF!</v>
      </c>
      <c r="DT76" t="e">
        <f>AND(Liste!#REF!,"AAAAAHl33ns=")</f>
        <v>#REF!</v>
      </c>
      <c r="DU76" t="e">
        <f>AND(Liste!#REF!,"AAAAAHl33nw=")</f>
        <v>#REF!</v>
      </c>
      <c r="DV76" t="e">
        <f>AND(Liste!#REF!,"AAAAAHl33n0=")</f>
        <v>#REF!</v>
      </c>
      <c r="DW76" t="e">
        <f>AND(Liste!#REF!,"AAAAAHl33n4=")</f>
        <v>#REF!</v>
      </c>
      <c r="DX76" t="e">
        <f>AND(Liste!#REF!,"AAAAAHl33n8=")</f>
        <v>#REF!</v>
      </c>
      <c r="DY76" t="e">
        <f>AND(Liste!#REF!,"AAAAAHl33oA=")</f>
        <v>#REF!</v>
      </c>
      <c r="DZ76" t="e">
        <f>AND(Liste!#REF!,"AAAAAHl33oE=")</f>
        <v>#REF!</v>
      </c>
      <c r="EA76" t="e">
        <f>AND(Liste!#REF!,"AAAAAHl33oI=")</f>
        <v>#REF!</v>
      </c>
      <c r="EB76" t="e">
        <f>AND(Liste!#REF!,"AAAAAHl33oM=")</f>
        <v>#REF!</v>
      </c>
      <c r="EC76" t="e">
        <f>AND(Liste!#REF!,"AAAAAHl33oQ=")</f>
        <v>#REF!</v>
      </c>
      <c r="ED76" t="e">
        <f>AND(Liste!#REF!,"AAAAAHl33oU=")</f>
        <v>#REF!</v>
      </c>
      <c r="EE76" t="e">
        <f>AND(Liste!#REF!,"AAAAAHl33oY=")</f>
        <v>#REF!</v>
      </c>
      <c r="EF76" t="e">
        <f>AND(Liste!#REF!,"AAAAAHl33oc=")</f>
        <v>#REF!</v>
      </c>
      <c r="EG76" t="e">
        <f>AND(Liste!#REF!,"AAAAAHl33og=")</f>
        <v>#REF!</v>
      </c>
      <c r="EH76" t="e">
        <f>AND(Liste!#REF!,"AAAAAHl33ok=")</f>
        <v>#REF!</v>
      </c>
      <c r="EI76" t="e">
        <f>AND(Liste!#REF!,"AAAAAHl33oo=")</f>
        <v>#REF!</v>
      </c>
      <c r="EJ76" t="e">
        <f>AND(Liste!#REF!,"AAAAAHl33os=")</f>
        <v>#REF!</v>
      </c>
      <c r="EK76" t="e">
        <f>AND(Liste!#REF!,"AAAAAHl33ow=")</f>
        <v>#REF!</v>
      </c>
      <c r="EL76" t="e">
        <f>AND(Liste!#REF!,"AAAAAHl33o0=")</f>
        <v>#REF!</v>
      </c>
      <c r="EM76" t="e">
        <f>AND(Liste!#REF!,"AAAAAHl33o4=")</f>
        <v>#REF!</v>
      </c>
      <c r="EN76" t="e">
        <f>AND(Liste!#REF!,"AAAAAHl33o8=")</f>
        <v>#REF!</v>
      </c>
      <c r="EO76" t="e">
        <f>IF(Liste!#REF!,"AAAAAHl33pA=",0)</f>
        <v>#REF!</v>
      </c>
      <c r="EP76" t="e">
        <f>AND(Liste!#REF!,"AAAAAHl33pE=")</f>
        <v>#REF!</v>
      </c>
      <c r="EQ76" t="e">
        <f>AND(Liste!#REF!,"AAAAAHl33pI=")</f>
        <v>#REF!</v>
      </c>
      <c r="ER76" t="e">
        <f>AND(Liste!#REF!,"AAAAAHl33pM=")</f>
        <v>#REF!</v>
      </c>
      <c r="ES76" t="e">
        <f>AND(Liste!#REF!,"AAAAAHl33pQ=")</f>
        <v>#REF!</v>
      </c>
      <c r="ET76" t="e">
        <f>AND(Liste!#REF!,"AAAAAHl33pU=")</f>
        <v>#REF!</v>
      </c>
      <c r="EU76" t="e">
        <f>AND(Liste!#REF!,"AAAAAHl33pY=")</f>
        <v>#REF!</v>
      </c>
      <c r="EV76" t="e">
        <f>AND(Liste!#REF!,"AAAAAHl33pc=")</f>
        <v>#REF!</v>
      </c>
      <c r="EW76" t="e">
        <f>AND(Liste!#REF!,"AAAAAHl33pg=")</f>
        <v>#REF!</v>
      </c>
      <c r="EX76" t="e">
        <f>AND(Liste!#REF!,"AAAAAHl33pk=")</f>
        <v>#REF!</v>
      </c>
      <c r="EY76" t="e">
        <f>AND(Liste!#REF!,"AAAAAHl33po=")</f>
        <v>#REF!</v>
      </c>
      <c r="EZ76" t="e">
        <f>AND(Liste!#REF!,"AAAAAHl33ps=")</f>
        <v>#REF!</v>
      </c>
      <c r="FA76" t="e">
        <f>AND(Liste!#REF!,"AAAAAHl33pw=")</f>
        <v>#REF!</v>
      </c>
      <c r="FB76" t="e">
        <f>AND(Liste!#REF!,"AAAAAHl33p0=")</f>
        <v>#REF!</v>
      </c>
      <c r="FC76" t="e">
        <f>AND(Liste!#REF!,"AAAAAHl33p4=")</f>
        <v>#REF!</v>
      </c>
      <c r="FD76" t="e">
        <f>AND(Liste!#REF!,"AAAAAHl33p8=")</f>
        <v>#REF!</v>
      </c>
      <c r="FE76" t="e">
        <f>AND(Liste!#REF!,"AAAAAHl33qA=")</f>
        <v>#REF!</v>
      </c>
      <c r="FF76" t="e">
        <f>AND(Liste!#REF!,"AAAAAHl33qE=")</f>
        <v>#REF!</v>
      </c>
      <c r="FG76" t="e">
        <f>AND(Liste!#REF!,"AAAAAHl33qI=")</f>
        <v>#REF!</v>
      </c>
      <c r="FH76" t="e">
        <f>AND(Liste!#REF!,"AAAAAHl33qM=")</f>
        <v>#REF!</v>
      </c>
      <c r="FI76" t="e">
        <f>AND(Liste!#REF!,"AAAAAHl33qQ=")</f>
        <v>#REF!</v>
      </c>
      <c r="FJ76" t="e">
        <f>AND(Liste!#REF!,"AAAAAHl33qU=")</f>
        <v>#REF!</v>
      </c>
      <c r="FK76" t="e">
        <f>AND(Liste!#REF!,"AAAAAHl33qY=")</f>
        <v>#REF!</v>
      </c>
      <c r="FL76" t="e">
        <f>AND(Liste!#REF!,"AAAAAHl33qc=")</f>
        <v>#REF!</v>
      </c>
      <c r="FM76" t="e">
        <f>AND(Liste!#REF!,"AAAAAHl33qg=")</f>
        <v>#REF!</v>
      </c>
      <c r="FN76" t="e">
        <f>AND(Liste!#REF!,"AAAAAHl33qk=")</f>
        <v>#REF!</v>
      </c>
      <c r="FO76" t="e">
        <f>AND(Liste!#REF!,"AAAAAHl33qo=")</f>
        <v>#REF!</v>
      </c>
      <c r="FP76" t="e">
        <f>AND(Liste!#REF!,"AAAAAHl33qs=")</f>
        <v>#REF!</v>
      </c>
      <c r="FQ76" t="e">
        <f>AND(Liste!#REF!,"AAAAAHl33qw=")</f>
        <v>#REF!</v>
      </c>
      <c r="FR76" t="e">
        <f>AND(Liste!#REF!,"AAAAAHl33q0=")</f>
        <v>#REF!</v>
      </c>
      <c r="FS76" t="e">
        <f>AND(Liste!#REF!,"AAAAAHl33q4=")</f>
        <v>#REF!</v>
      </c>
      <c r="FT76" t="e">
        <f>IF(Liste!#REF!,"AAAAAHl33q8=",0)</f>
        <v>#REF!</v>
      </c>
      <c r="FU76" t="e">
        <f>AND(Liste!#REF!,"AAAAAHl33rA=")</f>
        <v>#REF!</v>
      </c>
      <c r="FV76" t="e">
        <f>AND(Liste!#REF!,"AAAAAHl33rE=")</f>
        <v>#REF!</v>
      </c>
      <c r="FW76" t="e">
        <f>AND(Liste!#REF!,"AAAAAHl33rI=")</f>
        <v>#REF!</v>
      </c>
      <c r="FX76" t="e">
        <f>AND(Liste!#REF!,"AAAAAHl33rM=")</f>
        <v>#REF!</v>
      </c>
      <c r="FY76" t="e">
        <f>AND(Liste!#REF!,"AAAAAHl33rQ=")</f>
        <v>#REF!</v>
      </c>
      <c r="FZ76" t="e">
        <f>AND(Liste!#REF!,"AAAAAHl33rU=")</f>
        <v>#REF!</v>
      </c>
      <c r="GA76" t="e">
        <f>AND(Liste!#REF!,"AAAAAHl33rY=")</f>
        <v>#REF!</v>
      </c>
      <c r="GB76" t="e">
        <f>AND(Liste!#REF!,"AAAAAHl33rc=")</f>
        <v>#REF!</v>
      </c>
      <c r="GC76" t="e">
        <f>AND(Liste!#REF!,"AAAAAHl33rg=")</f>
        <v>#REF!</v>
      </c>
      <c r="GD76" t="e">
        <f>AND(Liste!#REF!,"AAAAAHl33rk=")</f>
        <v>#REF!</v>
      </c>
      <c r="GE76" t="e">
        <f>AND(Liste!#REF!,"AAAAAHl33ro=")</f>
        <v>#REF!</v>
      </c>
      <c r="GF76" t="e">
        <f>AND(Liste!#REF!,"AAAAAHl33rs=")</f>
        <v>#REF!</v>
      </c>
      <c r="GG76" t="e">
        <f>AND(Liste!#REF!,"AAAAAHl33rw=")</f>
        <v>#REF!</v>
      </c>
      <c r="GH76" t="e">
        <f>AND(Liste!#REF!,"AAAAAHl33r0=")</f>
        <v>#REF!</v>
      </c>
      <c r="GI76" t="e">
        <f>AND(Liste!#REF!,"AAAAAHl33r4=")</f>
        <v>#REF!</v>
      </c>
      <c r="GJ76" t="e">
        <f>AND(Liste!#REF!,"AAAAAHl33r8=")</f>
        <v>#REF!</v>
      </c>
      <c r="GK76" t="e">
        <f>AND(Liste!#REF!,"AAAAAHl33sA=")</f>
        <v>#REF!</v>
      </c>
      <c r="GL76" t="e">
        <f>AND(Liste!#REF!,"AAAAAHl33sE=")</f>
        <v>#REF!</v>
      </c>
      <c r="GM76" t="e">
        <f>AND(Liste!#REF!,"AAAAAHl33sI=")</f>
        <v>#REF!</v>
      </c>
      <c r="GN76" t="e">
        <f>AND(Liste!#REF!,"AAAAAHl33sM=")</f>
        <v>#REF!</v>
      </c>
      <c r="GO76" t="e">
        <f>AND(Liste!#REF!,"AAAAAHl33sQ=")</f>
        <v>#REF!</v>
      </c>
      <c r="GP76" t="e">
        <f>AND(Liste!#REF!,"AAAAAHl33sU=")</f>
        <v>#REF!</v>
      </c>
      <c r="GQ76" t="e">
        <f>AND(Liste!#REF!,"AAAAAHl33sY=")</f>
        <v>#REF!</v>
      </c>
      <c r="GR76" t="e">
        <f>AND(Liste!#REF!,"AAAAAHl33sc=")</f>
        <v>#REF!</v>
      </c>
      <c r="GS76" t="e">
        <f>AND(Liste!#REF!,"AAAAAHl33sg=")</f>
        <v>#REF!</v>
      </c>
      <c r="GT76" t="e">
        <f>AND(Liste!#REF!,"AAAAAHl33sk=")</f>
        <v>#REF!</v>
      </c>
      <c r="GU76" t="e">
        <f>AND(Liste!#REF!,"AAAAAHl33so=")</f>
        <v>#REF!</v>
      </c>
      <c r="GV76" t="e">
        <f>AND(Liste!#REF!,"AAAAAHl33ss=")</f>
        <v>#REF!</v>
      </c>
      <c r="GW76" t="e">
        <f>AND(Liste!#REF!,"AAAAAHl33sw=")</f>
        <v>#REF!</v>
      </c>
      <c r="GX76" t="e">
        <f>AND(Liste!#REF!,"AAAAAHl33s0=")</f>
        <v>#REF!</v>
      </c>
      <c r="GY76" t="e">
        <f>IF(Liste!#REF!,"AAAAAHl33s4=",0)</f>
        <v>#REF!</v>
      </c>
      <c r="GZ76" t="e">
        <f>AND(Liste!#REF!,"AAAAAHl33s8=")</f>
        <v>#REF!</v>
      </c>
      <c r="HA76" t="e">
        <f>AND(Liste!#REF!,"AAAAAHl33tA=")</f>
        <v>#REF!</v>
      </c>
      <c r="HB76" t="e">
        <f>AND(Liste!#REF!,"AAAAAHl33tE=")</f>
        <v>#REF!</v>
      </c>
      <c r="HC76" t="e">
        <f>AND(Liste!#REF!,"AAAAAHl33tI=")</f>
        <v>#REF!</v>
      </c>
      <c r="HD76" t="e">
        <f>AND(Liste!#REF!,"AAAAAHl33tM=")</f>
        <v>#REF!</v>
      </c>
      <c r="HE76" t="e">
        <f>AND(Liste!#REF!,"AAAAAHl33tQ=")</f>
        <v>#REF!</v>
      </c>
      <c r="HF76" t="e">
        <f>AND(Liste!#REF!,"AAAAAHl33tU=")</f>
        <v>#REF!</v>
      </c>
      <c r="HG76" t="e">
        <f>AND(Liste!#REF!,"AAAAAHl33tY=")</f>
        <v>#REF!</v>
      </c>
      <c r="HH76" t="e">
        <f>AND(Liste!#REF!,"AAAAAHl33tc=")</f>
        <v>#REF!</v>
      </c>
      <c r="HI76" t="e">
        <f>AND(Liste!#REF!,"AAAAAHl33tg=")</f>
        <v>#REF!</v>
      </c>
      <c r="HJ76" t="e">
        <f>AND(Liste!#REF!,"AAAAAHl33tk=")</f>
        <v>#REF!</v>
      </c>
      <c r="HK76" t="e">
        <f>AND(Liste!#REF!,"AAAAAHl33to=")</f>
        <v>#REF!</v>
      </c>
      <c r="HL76" t="e">
        <f>AND(Liste!#REF!,"AAAAAHl33ts=")</f>
        <v>#REF!</v>
      </c>
      <c r="HM76" t="e">
        <f>AND(Liste!#REF!,"AAAAAHl33tw=")</f>
        <v>#REF!</v>
      </c>
      <c r="HN76" t="e">
        <f>AND(Liste!#REF!,"AAAAAHl33t0=")</f>
        <v>#REF!</v>
      </c>
      <c r="HO76" t="e">
        <f>AND(Liste!#REF!,"AAAAAHl33t4=")</f>
        <v>#REF!</v>
      </c>
      <c r="HP76" t="e">
        <f>AND(Liste!#REF!,"AAAAAHl33t8=")</f>
        <v>#REF!</v>
      </c>
      <c r="HQ76" t="e">
        <f>AND(Liste!#REF!,"AAAAAHl33uA=")</f>
        <v>#REF!</v>
      </c>
      <c r="HR76" t="e">
        <f>AND(Liste!#REF!,"AAAAAHl33uE=")</f>
        <v>#REF!</v>
      </c>
      <c r="HS76" t="e">
        <f>AND(Liste!#REF!,"AAAAAHl33uI=")</f>
        <v>#REF!</v>
      </c>
      <c r="HT76" t="e">
        <f>AND(Liste!#REF!,"AAAAAHl33uM=")</f>
        <v>#REF!</v>
      </c>
      <c r="HU76" t="e">
        <f>AND(Liste!#REF!,"AAAAAHl33uQ=")</f>
        <v>#REF!</v>
      </c>
      <c r="HV76" t="e">
        <f>AND(Liste!#REF!,"AAAAAHl33uU=")</f>
        <v>#REF!</v>
      </c>
      <c r="HW76" t="e">
        <f>AND(Liste!#REF!,"AAAAAHl33uY=")</f>
        <v>#REF!</v>
      </c>
      <c r="HX76" t="e">
        <f>AND(Liste!#REF!,"AAAAAHl33uc=")</f>
        <v>#REF!</v>
      </c>
      <c r="HY76" t="e">
        <f>AND(Liste!#REF!,"AAAAAHl33ug=")</f>
        <v>#REF!</v>
      </c>
      <c r="HZ76" t="e">
        <f>AND(Liste!#REF!,"AAAAAHl33uk=")</f>
        <v>#REF!</v>
      </c>
      <c r="IA76" t="e">
        <f>AND(Liste!#REF!,"AAAAAHl33uo=")</f>
        <v>#REF!</v>
      </c>
      <c r="IB76" t="e">
        <f>AND(Liste!#REF!,"AAAAAHl33us=")</f>
        <v>#REF!</v>
      </c>
      <c r="IC76" t="e">
        <f>AND(Liste!#REF!,"AAAAAHl33uw=")</f>
        <v>#REF!</v>
      </c>
      <c r="ID76" t="e">
        <f>IF(Liste!#REF!,"AAAAAHl33u0=",0)</f>
        <v>#REF!</v>
      </c>
      <c r="IE76" t="e">
        <f>AND(Liste!#REF!,"AAAAAHl33u4=")</f>
        <v>#REF!</v>
      </c>
      <c r="IF76" t="e">
        <f>AND(Liste!#REF!,"AAAAAHl33u8=")</f>
        <v>#REF!</v>
      </c>
      <c r="IG76" t="e">
        <f>AND(Liste!#REF!,"AAAAAHl33vA=")</f>
        <v>#REF!</v>
      </c>
      <c r="IH76" t="e">
        <f>AND(Liste!#REF!,"AAAAAHl33vE=")</f>
        <v>#REF!</v>
      </c>
      <c r="II76" t="e">
        <f>AND(Liste!#REF!,"AAAAAHl33vI=")</f>
        <v>#REF!</v>
      </c>
      <c r="IJ76" t="e">
        <f>AND(Liste!#REF!,"AAAAAHl33vM=")</f>
        <v>#REF!</v>
      </c>
      <c r="IK76" t="e">
        <f>AND(Liste!#REF!,"AAAAAHl33vQ=")</f>
        <v>#REF!</v>
      </c>
      <c r="IL76" t="e">
        <f>AND(Liste!#REF!,"AAAAAHl33vU=")</f>
        <v>#REF!</v>
      </c>
      <c r="IM76" t="e">
        <f>AND(Liste!#REF!,"AAAAAHl33vY=")</f>
        <v>#REF!</v>
      </c>
      <c r="IN76" t="e">
        <f>AND(Liste!#REF!,"AAAAAHl33vc=")</f>
        <v>#REF!</v>
      </c>
      <c r="IO76" t="e">
        <f>AND(Liste!#REF!,"AAAAAHl33vg=")</f>
        <v>#REF!</v>
      </c>
      <c r="IP76" t="e">
        <f>AND(Liste!#REF!,"AAAAAHl33vk=")</f>
        <v>#REF!</v>
      </c>
      <c r="IQ76" t="e">
        <f>AND(Liste!#REF!,"AAAAAHl33vo=")</f>
        <v>#REF!</v>
      </c>
      <c r="IR76" t="e">
        <f>AND(Liste!#REF!,"AAAAAHl33vs=")</f>
        <v>#REF!</v>
      </c>
      <c r="IS76" t="e">
        <f>AND(Liste!#REF!,"AAAAAHl33vw=")</f>
        <v>#REF!</v>
      </c>
      <c r="IT76" t="e">
        <f>AND(Liste!#REF!,"AAAAAHl33v0=")</f>
        <v>#REF!</v>
      </c>
      <c r="IU76" t="e">
        <f>AND(Liste!#REF!,"AAAAAHl33v4=")</f>
        <v>#REF!</v>
      </c>
      <c r="IV76" t="e">
        <f>AND(Liste!#REF!,"AAAAAHl33v8=")</f>
        <v>#REF!</v>
      </c>
    </row>
    <row r="77" spans="1:256" x14ac:dyDescent="0.2">
      <c r="A77" t="e">
        <f>AND(Liste!#REF!,"AAAAAF970wA=")</f>
        <v>#REF!</v>
      </c>
      <c r="B77" t="e">
        <f>AND(Liste!#REF!,"AAAAAF970wE=")</f>
        <v>#REF!</v>
      </c>
      <c r="C77" t="e">
        <f>AND(Liste!#REF!,"AAAAAF970wI=")</f>
        <v>#REF!</v>
      </c>
      <c r="D77" t="e">
        <f>AND(Liste!#REF!,"AAAAAF970wM=")</f>
        <v>#REF!</v>
      </c>
      <c r="E77" t="e">
        <f>AND(Liste!#REF!,"AAAAAF970wQ=")</f>
        <v>#REF!</v>
      </c>
      <c r="F77" t="e">
        <f>AND(Liste!#REF!,"AAAAAF970wU=")</f>
        <v>#REF!</v>
      </c>
      <c r="G77" t="e">
        <f>AND(Liste!#REF!,"AAAAAF970wY=")</f>
        <v>#REF!</v>
      </c>
      <c r="H77" t="e">
        <f>AND(Liste!#REF!,"AAAAAF970wc=")</f>
        <v>#REF!</v>
      </c>
      <c r="I77" t="e">
        <f>AND(Liste!#REF!,"AAAAAF970wg=")</f>
        <v>#REF!</v>
      </c>
      <c r="J77" t="e">
        <f>AND(Liste!#REF!,"AAAAAF970wk=")</f>
        <v>#REF!</v>
      </c>
      <c r="K77" t="e">
        <f>AND(Liste!#REF!,"AAAAAF970wo=")</f>
        <v>#REF!</v>
      </c>
      <c r="L77" t="e">
        <f>AND(Liste!#REF!,"AAAAAF970ws=")</f>
        <v>#REF!</v>
      </c>
      <c r="M77" t="e">
        <f>IF(Liste!#REF!,"AAAAAF970ww=",0)</f>
        <v>#REF!</v>
      </c>
      <c r="N77" t="e">
        <f>AND(Liste!#REF!,"AAAAAF970w0=")</f>
        <v>#REF!</v>
      </c>
      <c r="O77" t="e">
        <f>AND(Liste!#REF!,"AAAAAF970w4=")</f>
        <v>#REF!</v>
      </c>
      <c r="P77" t="e">
        <f>AND(Liste!#REF!,"AAAAAF970w8=")</f>
        <v>#REF!</v>
      </c>
      <c r="Q77" t="e">
        <f>AND(Liste!#REF!,"AAAAAF970xA=")</f>
        <v>#REF!</v>
      </c>
      <c r="R77" t="e">
        <f>AND(Liste!#REF!,"AAAAAF970xE=")</f>
        <v>#REF!</v>
      </c>
      <c r="S77" t="e">
        <f>AND(Liste!#REF!,"AAAAAF970xI=")</f>
        <v>#REF!</v>
      </c>
      <c r="T77" t="e">
        <f>AND(Liste!#REF!,"AAAAAF970xM=")</f>
        <v>#REF!</v>
      </c>
      <c r="U77" t="e">
        <f>AND(Liste!#REF!,"AAAAAF970xQ=")</f>
        <v>#REF!</v>
      </c>
      <c r="V77" t="e">
        <f>AND(Liste!#REF!,"AAAAAF970xU=")</f>
        <v>#REF!</v>
      </c>
      <c r="W77" t="e">
        <f>AND(Liste!#REF!,"AAAAAF970xY=")</f>
        <v>#REF!</v>
      </c>
      <c r="X77" t="e">
        <f>AND(Liste!#REF!,"AAAAAF970xc=")</f>
        <v>#REF!</v>
      </c>
      <c r="Y77" t="e">
        <f>AND(Liste!#REF!,"AAAAAF970xg=")</f>
        <v>#REF!</v>
      </c>
      <c r="Z77" t="e">
        <f>AND(Liste!#REF!,"AAAAAF970xk=")</f>
        <v>#REF!</v>
      </c>
      <c r="AA77" t="e">
        <f>AND(Liste!#REF!,"AAAAAF970xo=")</f>
        <v>#REF!</v>
      </c>
      <c r="AB77" t="e">
        <f>AND(Liste!#REF!,"AAAAAF970xs=")</f>
        <v>#REF!</v>
      </c>
      <c r="AC77" t="e">
        <f>AND(Liste!#REF!,"AAAAAF970xw=")</f>
        <v>#REF!</v>
      </c>
      <c r="AD77" t="e">
        <f>AND(Liste!#REF!,"AAAAAF970x0=")</f>
        <v>#REF!</v>
      </c>
      <c r="AE77" t="e">
        <f>AND(Liste!#REF!,"AAAAAF970x4=")</f>
        <v>#REF!</v>
      </c>
      <c r="AF77" t="e">
        <f>AND(Liste!#REF!,"AAAAAF970x8=")</f>
        <v>#REF!</v>
      </c>
      <c r="AG77" t="e">
        <f>AND(Liste!#REF!,"AAAAAF970yA=")</f>
        <v>#REF!</v>
      </c>
      <c r="AH77" t="e">
        <f>AND(Liste!#REF!,"AAAAAF970yE=")</f>
        <v>#REF!</v>
      </c>
      <c r="AI77" t="e">
        <f>AND(Liste!#REF!,"AAAAAF970yI=")</f>
        <v>#REF!</v>
      </c>
      <c r="AJ77" t="e">
        <f>AND(Liste!#REF!,"AAAAAF970yM=")</f>
        <v>#REF!</v>
      </c>
      <c r="AK77" t="e">
        <f>AND(Liste!#REF!,"AAAAAF970yQ=")</f>
        <v>#REF!</v>
      </c>
      <c r="AL77" t="e">
        <f>AND(Liste!#REF!,"AAAAAF970yU=")</f>
        <v>#REF!</v>
      </c>
      <c r="AM77" t="e">
        <f>AND(Liste!#REF!,"AAAAAF970yY=")</f>
        <v>#REF!</v>
      </c>
      <c r="AN77" t="e">
        <f>AND(Liste!#REF!,"AAAAAF970yc=")</f>
        <v>#REF!</v>
      </c>
      <c r="AO77" t="e">
        <f>AND(Liste!#REF!,"AAAAAF970yg=")</f>
        <v>#REF!</v>
      </c>
      <c r="AP77" t="e">
        <f>AND(Liste!#REF!,"AAAAAF970yk=")</f>
        <v>#REF!</v>
      </c>
      <c r="AQ77" t="e">
        <f>AND(Liste!#REF!,"AAAAAF970yo=")</f>
        <v>#REF!</v>
      </c>
      <c r="AR77" t="e">
        <f>IF(Liste!#REF!,"AAAAAF970ys=",0)</f>
        <v>#REF!</v>
      </c>
      <c r="AS77" t="e">
        <f>AND(Liste!#REF!,"AAAAAF970yw=")</f>
        <v>#REF!</v>
      </c>
      <c r="AT77" t="e">
        <f>AND(Liste!#REF!,"AAAAAF970y0=")</f>
        <v>#REF!</v>
      </c>
      <c r="AU77" t="e">
        <f>AND(Liste!#REF!,"AAAAAF970y4=")</f>
        <v>#REF!</v>
      </c>
      <c r="AV77" t="e">
        <f>AND(Liste!#REF!,"AAAAAF970y8=")</f>
        <v>#REF!</v>
      </c>
      <c r="AW77" t="e">
        <f>AND(Liste!#REF!,"AAAAAF970zA=")</f>
        <v>#REF!</v>
      </c>
      <c r="AX77" t="e">
        <f>AND(Liste!#REF!,"AAAAAF970zE=")</f>
        <v>#REF!</v>
      </c>
      <c r="AY77" t="e">
        <f>AND(Liste!#REF!,"AAAAAF970zI=")</f>
        <v>#REF!</v>
      </c>
      <c r="AZ77" t="e">
        <f>AND(Liste!#REF!,"AAAAAF970zM=")</f>
        <v>#REF!</v>
      </c>
      <c r="BA77" t="e">
        <f>AND(Liste!#REF!,"AAAAAF970zQ=")</f>
        <v>#REF!</v>
      </c>
      <c r="BB77" t="e">
        <f>AND(Liste!#REF!,"AAAAAF970zU=")</f>
        <v>#REF!</v>
      </c>
      <c r="BC77" t="e">
        <f>AND(Liste!#REF!,"AAAAAF970zY=")</f>
        <v>#REF!</v>
      </c>
      <c r="BD77" t="e">
        <f>AND(Liste!#REF!,"AAAAAF970zc=")</f>
        <v>#REF!</v>
      </c>
      <c r="BE77" t="e">
        <f>AND(Liste!#REF!,"AAAAAF970zg=")</f>
        <v>#REF!</v>
      </c>
      <c r="BF77" t="e">
        <f>AND(Liste!#REF!,"AAAAAF970zk=")</f>
        <v>#REF!</v>
      </c>
      <c r="BG77" t="e">
        <f>AND(Liste!#REF!,"AAAAAF970zo=")</f>
        <v>#REF!</v>
      </c>
      <c r="BH77" t="e">
        <f>AND(Liste!#REF!,"AAAAAF970zs=")</f>
        <v>#REF!</v>
      </c>
      <c r="BI77" t="e">
        <f>AND(Liste!#REF!,"AAAAAF970zw=")</f>
        <v>#REF!</v>
      </c>
      <c r="BJ77" t="e">
        <f>AND(Liste!#REF!,"AAAAAF970z0=")</f>
        <v>#REF!</v>
      </c>
      <c r="BK77" t="e">
        <f>AND(Liste!#REF!,"AAAAAF970z4=")</f>
        <v>#REF!</v>
      </c>
      <c r="BL77" t="e">
        <f>AND(Liste!#REF!,"AAAAAF970z8=")</f>
        <v>#REF!</v>
      </c>
      <c r="BM77" t="e">
        <f>AND(Liste!#REF!,"AAAAAF9700A=")</f>
        <v>#REF!</v>
      </c>
      <c r="BN77" t="e">
        <f>AND(Liste!#REF!,"AAAAAF9700E=")</f>
        <v>#REF!</v>
      </c>
      <c r="BO77" t="e">
        <f>AND(Liste!#REF!,"AAAAAF9700I=")</f>
        <v>#REF!</v>
      </c>
      <c r="BP77" t="e">
        <f>AND(Liste!#REF!,"AAAAAF9700M=")</f>
        <v>#REF!</v>
      </c>
      <c r="BQ77" t="e">
        <f>AND(Liste!#REF!,"AAAAAF9700Q=")</f>
        <v>#REF!</v>
      </c>
      <c r="BR77" t="e">
        <f>AND(Liste!#REF!,"AAAAAF9700U=")</f>
        <v>#REF!</v>
      </c>
      <c r="BS77" t="e">
        <f>AND(Liste!#REF!,"AAAAAF9700Y=")</f>
        <v>#REF!</v>
      </c>
      <c r="BT77" t="e">
        <f>AND(Liste!#REF!,"AAAAAF9700c=")</f>
        <v>#REF!</v>
      </c>
      <c r="BU77" t="e">
        <f>AND(Liste!#REF!,"AAAAAF9700g=")</f>
        <v>#REF!</v>
      </c>
      <c r="BV77" t="e">
        <f>AND(Liste!#REF!,"AAAAAF9700k=")</f>
        <v>#REF!</v>
      </c>
      <c r="BW77">
        <f>IF(Liste!509:509,"AAAAAF9700o=",0)</f>
        <v>0</v>
      </c>
      <c r="BX77" t="e">
        <f>AND(Liste!A509,"AAAAAF9700s=")</f>
        <v>#VALUE!</v>
      </c>
      <c r="BY77" t="e">
        <f>AND(Liste!C509,"AAAAAF9700w=")</f>
        <v>#VALUE!</v>
      </c>
      <c r="BZ77" t="e">
        <f>AND(Liste!D509,"AAAAAF97000=")</f>
        <v>#VALUE!</v>
      </c>
      <c r="CA77" t="e">
        <f>AND(Liste!E509,"AAAAAF97004=")</f>
        <v>#VALUE!</v>
      </c>
      <c r="CB77" t="e">
        <f>AND(Liste!F509,"AAAAAF97008=")</f>
        <v>#VALUE!</v>
      </c>
      <c r="CC77" t="e">
        <f>AND(Liste!G509,"AAAAAF9701A=")</f>
        <v>#VALUE!</v>
      </c>
      <c r="CD77" t="e">
        <f>AND(Liste!H509,"AAAAAF9701E=")</f>
        <v>#VALUE!</v>
      </c>
      <c r="CE77" t="e">
        <f>AND(Liste!I509,"AAAAAF9701I=")</f>
        <v>#VALUE!</v>
      </c>
      <c r="CF77" t="e">
        <f>AND(Liste!J509,"AAAAAF9701M=")</f>
        <v>#VALUE!</v>
      </c>
      <c r="CG77" t="e">
        <f>AND(Liste!#REF!,"AAAAAF9701Q=")</f>
        <v>#REF!</v>
      </c>
      <c r="CH77" t="e">
        <f>AND(Liste!#REF!,"AAAAAF9701U=")</f>
        <v>#REF!</v>
      </c>
      <c r="CI77" t="e">
        <f>AND(Liste!#REF!,"AAAAAF9701Y=")</f>
        <v>#REF!</v>
      </c>
      <c r="CJ77" t="e">
        <f>AND(Liste!#REF!,"AAAAAF9701c=")</f>
        <v>#REF!</v>
      </c>
      <c r="CK77" t="e">
        <f>AND(Liste!#REF!,"AAAAAF9701g=")</f>
        <v>#REF!</v>
      </c>
      <c r="CL77" t="e">
        <f>AND(Liste!#REF!,"AAAAAF9701k=")</f>
        <v>#REF!</v>
      </c>
      <c r="CM77" t="e">
        <f>AND(Liste!#REF!,"AAAAAF9701o=")</f>
        <v>#REF!</v>
      </c>
      <c r="CN77" t="e">
        <f>AND(Liste!#REF!,"AAAAAF9701s=")</f>
        <v>#REF!</v>
      </c>
      <c r="CO77" t="e">
        <f>AND(Liste!#REF!,"AAAAAF9701w=")</f>
        <v>#REF!</v>
      </c>
      <c r="CP77" t="e">
        <f>AND(Liste!#REF!,"AAAAAF97010=")</f>
        <v>#REF!</v>
      </c>
      <c r="CQ77" t="e">
        <f>AND(Liste!#REF!,"AAAAAF97014=")</f>
        <v>#REF!</v>
      </c>
      <c r="CR77" t="e">
        <f>AND(Liste!#REF!,"AAAAAF97018=")</f>
        <v>#REF!</v>
      </c>
      <c r="CS77" t="e">
        <f>AND(Liste!#REF!,"AAAAAF9702A=")</f>
        <v>#REF!</v>
      </c>
      <c r="CT77" t="e">
        <f>AND(Liste!#REF!,"AAAAAF9702E=")</f>
        <v>#REF!</v>
      </c>
      <c r="CU77" t="e">
        <f>AND(Liste!#REF!,"AAAAAF9702I=")</f>
        <v>#REF!</v>
      </c>
      <c r="CV77" t="e">
        <f>AND(Liste!#REF!,"AAAAAF9702M=")</f>
        <v>#REF!</v>
      </c>
      <c r="CW77" t="e">
        <f>AND(Liste!#REF!,"AAAAAF9702Q=")</f>
        <v>#REF!</v>
      </c>
      <c r="CX77" t="e">
        <f>AND(Liste!#REF!,"AAAAAF9702U=")</f>
        <v>#REF!</v>
      </c>
      <c r="CY77" t="e">
        <f>AND(Liste!#REF!,"AAAAAF9702Y=")</f>
        <v>#REF!</v>
      </c>
      <c r="CZ77" t="e">
        <f>AND(Liste!#REF!,"AAAAAF9702c=")</f>
        <v>#REF!</v>
      </c>
      <c r="DA77" t="e">
        <f>AND(Liste!#REF!,"AAAAAF9702g=")</f>
        <v>#REF!</v>
      </c>
      <c r="DB77">
        <f>IF(Liste!510:510,"AAAAAF9702k=",0)</f>
        <v>0</v>
      </c>
      <c r="DC77" t="e">
        <f>AND(Liste!A510,"AAAAAF9702o=")</f>
        <v>#VALUE!</v>
      </c>
      <c r="DD77" t="e">
        <f>AND(Liste!C510,"AAAAAF9702s=")</f>
        <v>#VALUE!</v>
      </c>
      <c r="DE77" t="e">
        <f>AND(Liste!D510,"AAAAAF9702w=")</f>
        <v>#VALUE!</v>
      </c>
      <c r="DF77" t="e">
        <f>AND(Liste!E510,"AAAAAF97020=")</f>
        <v>#VALUE!</v>
      </c>
      <c r="DG77" t="e">
        <f>AND(Liste!F510,"AAAAAF97024=")</f>
        <v>#VALUE!</v>
      </c>
      <c r="DH77" t="e">
        <f>AND(Liste!G510,"AAAAAF97028=")</f>
        <v>#VALUE!</v>
      </c>
      <c r="DI77" t="e">
        <f>AND(Liste!H510,"AAAAAF9703A=")</f>
        <v>#VALUE!</v>
      </c>
      <c r="DJ77" t="e">
        <f>AND(Liste!I510,"AAAAAF9703E=")</f>
        <v>#VALUE!</v>
      </c>
      <c r="DK77" t="e">
        <f>AND(Liste!J510,"AAAAAF9703I=")</f>
        <v>#VALUE!</v>
      </c>
      <c r="DL77" t="e">
        <f>AND(Liste!#REF!,"AAAAAF9703M=")</f>
        <v>#REF!</v>
      </c>
      <c r="DM77" t="e">
        <f>AND(Liste!#REF!,"AAAAAF9703Q=")</f>
        <v>#REF!</v>
      </c>
      <c r="DN77" t="e">
        <f>AND(Liste!#REF!,"AAAAAF9703U=")</f>
        <v>#REF!</v>
      </c>
      <c r="DO77" t="e">
        <f>AND(Liste!#REF!,"AAAAAF9703Y=")</f>
        <v>#REF!</v>
      </c>
      <c r="DP77" t="e">
        <f>AND(Liste!#REF!,"AAAAAF9703c=")</f>
        <v>#REF!</v>
      </c>
      <c r="DQ77" t="e">
        <f>AND(Liste!#REF!,"AAAAAF9703g=")</f>
        <v>#REF!</v>
      </c>
      <c r="DR77" t="e">
        <f>AND(Liste!#REF!,"AAAAAF9703k=")</f>
        <v>#REF!</v>
      </c>
      <c r="DS77" t="e">
        <f>AND(Liste!#REF!,"AAAAAF9703o=")</f>
        <v>#REF!</v>
      </c>
      <c r="DT77" t="e">
        <f>AND(Liste!#REF!,"AAAAAF9703s=")</f>
        <v>#REF!</v>
      </c>
      <c r="DU77" t="e">
        <f>AND(Liste!#REF!,"AAAAAF9703w=")</f>
        <v>#REF!</v>
      </c>
      <c r="DV77" t="e">
        <f>AND(Liste!#REF!,"AAAAAF97030=")</f>
        <v>#REF!</v>
      </c>
      <c r="DW77" t="e">
        <f>AND(Liste!#REF!,"AAAAAF97034=")</f>
        <v>#REF!</v>
      </c>
      <c r="DX77" t="e">
        <f>AND(Liste!#REF!,"AAAAAF97038=")</f>
        <v>#REF!</v>
      </c>
      <c r="DY77" t="e">
        <f>AND(Liste!#REF!,"AAAAAF9704A=")</f>
        <v>#REF!</v>
      </c>
      <c r="DZ77" t="e">
        <f>AND(Liste!#REF!,"AAAAAF9704E=")</f>
        <v>#REF!</v>
      </c>
      <c r="EA77" t="e">
        <f>AND(Liste!#REF!,"AAAAAF9704I=")</f>
        <v>#REF!</v>
      </c>
      <c r="EB77" t="e">
        <f>AND(Liste!#REF!,"AAAAAF9704M=")</f>
        <v>#REF!</v>
      </c>
      <c r="EC77" t="e">
        <f>AND(Liste!#REF!,"AAAAAF9704Q=")</f>
        <v>#REF!</v>
      </c>
      <c r="ED77" t="e">
        <f>AND(Liste!#REF!,"AAAAAF9704U=")</f>
        <v>#REF!</v>
      </c>
      <c r="EE77" t="e">
        <f>AND(Liste!#REF!,"AAAAAF9704Y=")</f>
        <v>#REF!</v>
      </c>
      <c r="EF77" t="e">
        <f>AND(Liste!#REF!,"AAAAAF9704c=")</f>
        <v>#REF!</v>
      </c>
      <c r="EG77">
        <f>IF(Liste!511:511,"AAAAAF9704g=",0)</f>
        <v>0</v>
      </c>
      <c r="EH77" t="b">
        <f>AND(Liste!A511,"AAAAAF9704k=")</f>
        <v>1</v>
      </c>
      <c r="EI77" t="e">
        <f>AND(Liste!#REF!,"AAAAAF9704o=")</f>
        <v>#REF!</v>
      </c>
      <c r="EJ77" t="e">
        <f>AND(Liste!#REF!,"AAAAAF9704s=")</f>
        <v>#REF!</v>
      </c>
      <c r="EK77" t="e">
        <f>AND(Liste!#REF!,"AAAAAF9704w=")</f>
        <v>#REF!</v>
      </c>
      <c r="EL77" t="e">
        <f>AND(Liste!F511,"AAAAAF97040=")</f>
        <v>#VALUE!</v>
      </c>
      <c r="EM77" t="e">
        <f>AND(Liste!G511,"AAAAAF97044=")</f>
        <v>#VALUE!</v>
      </c>
      <c r="EN77" t="e">
        <f>AND(Liste!H511,"AAAAAF97048=")</f>
        <v>#VALUE!</v>
      </c>
      <c r="EO77" t="e">
        <f>AND(Liste!I511,"AAAAAF9705A=")</f>
        <v>#VALUE!</v>
      </c>
      <c r="EP77" t="e">
        <f>AND(Liste!J511,"AAAAAF9705E=")</f>
        <v>#VALUE!</v>
      </c>
      <c r="EQ77" t="e">
        <f>AND(Liste!#REF!,"AAAAAF9705I=")</f>
        <v>#REF!</v>
      </c>
      <c r="ER77" t="e">
        <f>AND(Liste!#REF!,"AAAAAF9705M=")</f>
        <v>#REF!</v>
      </c>
      <c r="ES77" t="e">
        <f>AND(Liste!#REF!,"AAAAAF9705Q=")</f>
        <v>#REF!</v>
      </c>
      <c r="ET77" t="e">
        <f>AND(Liste!#REF!,"AAAAAF9705U=")</f>
        <v>#REF!</v>
      </c>
      <c r="EU77" t="e">
        <f>AND(Liste!#REF!,"AAAAAF9705Y=")</f>
        <v>#REF!</v>
      </c>
      <c r="EV77" t="e">
        <f>AND(Liste!#REF!,"AAAAAF9705c=")</f>
        <v>#REF!</v>
      </c>
      <c r="EW77" t="e">
        <f>AND(Liste!#REF!,"AAAAAF9705g=")</f>
        <v>#REF!</v>
      </c>
      <c r="EX77" t="e">
        <f>AND(Liste!#REF!,"AAAAAF9705k=")</f>
        <v>#REF!</v>
      </c>
      <c r="EY77" t="e">
        <f>AND(Liste!#REF!,"AAAAAF9705o=")</f>
        <v>#REF!</v>
      </c>
      <c r="EZ77" t="e">
        <f>AND(Liste!#REF!,"AAAAAF9705s=")</f>
        <v>#REF!</v>
      </c>
      <c r="FA77" t="e">
        <f>AND(Liste!#REF!,"AAAAAF9705w=")</f>
        <v>#REF!</v>
      </c>
      <c r="FB77" t="e">
        <f>AND(Liste!#REF!,"AAAAAF97050=")</f>
        <v>#REF!</v>
      </c>
      <c r="FC77" t="e">
        <f>AND(Liste!#REF!,"AAAAAF97054=")</f>
        <v>#REF!</v>
      </c>
      <c r="FD77" t="e">
        <f>AND(Liste!#REF!,"AAAAAF97058=")</f>
        <v>#REF!</v>
      </c>
      <c r="FE77" t="e">
        <f>AND(Liste!#REF!,"AAAAAF9706A=")</f>
        <v>#REF!</v>
      </c>
      <c r="FF77" t="e">
        <f>AND(Liste!#REF!,"AAAAAF9706E=")</f>
        <v>#REF!</v>
      </c>
      <c r="FG77" t="e">
        <f>AND(Liste!#REF!,"AAAAAF9706I=")</f>
        <v>#REF!</v>
      </c>
      <c r="FH77" t="e">
        <f>AND(Liste!#REF!,"AAAAAF9706M=")</f>
        <v>#REF!</v>
      </c>
      <c r="FI77" t="e">
        <f>AND(Liste!#REF!,"AAAAAF9706Q=")</f>
        <v>#REF!</v>
      </c>
      <c r="FJ77" t="e">
        <f>AND(Liste!#REF!,"AAAAAF9706U=")</f>
        <v>#REF!</v>
      </c>
      <c r="FK77" t="e">
        <f>AND(Liste!#REF!,"AAAAAF9706Y=")</f>
        <v>#REF!</v>
      </c>
      <c r="FL77">
        <f>IF(Liste!512:512,"AAAAAF9706c=",0)</f>
        <v>0</v>
      </c>
      <c r="FM77" t="b">
        <f>AND(Liste!A512,"AAAAAF9706g=")</f>
        <v>1</v>
      </c>
      <c r="FN77" t="e">
        <f>AND(Liste!#REF!,"AAAAAF9706k=")</f>
        <v>#REF!</v>
      </c>
      <c r="FO77" t="e">
        <f>AND(Liste!#REF!,"AAAAAF9706o=")</f>
        <v>#REF!</v>
      </c>
      <c r="FP77" t="e">
        <f>AND(Liste!#REF!,"AAAAAF9706s=")</f>
        <v>#REF!</v>
      </c>
      <c r="FQ77" t="e">
        <f>AND(Liste!F512,"AAAAAF9706w=")</f>
        <v>#VALUE!</v>
      </c>
      <c r="FR77" t="e">
        <f>AND(Liste!G512,"AAAAAF97060=")</f>
        <v>#VALUE!</v>
      </c>
      <c r="FS77" t="e">
        <f>AND(Liste!H512,"AAAAAF97064=")</f>
        <v>#VALUE!</v>
      </c>
      <c r="FT77" t="e">
        <f>AND(Liste!I512,"AAAAAF97068=")</f>
        <v>#VALUE!</v>
      </c>
      <c r="FU77" t="e">
        <f>AND(Liste!J512,"AAAAAF9707A=")</f>
        <v>#VALUE!</v>
      </c>
      <c r="FV77" t="e">
        <f>AND(Liste!#REF!,"AAAAAF9707E=")</f>
        <v>#REF!</v>
      </c>
      <c r="FW77" t="e">
        <f>AND(Liste!#REF!,"AAAAAF9707I=")</f>
        <v>#REF!</v>
      </c>
      <c r="FX77" t="e">
        <f>AND(Liste!#REF!,"AAAAAF9707M=")</f>
        <v>#REF!</v>
      </c>
      <c r="FY77" t="e">
        <f>AND(Liste!#REF!,"AAAAAF9707Q=")</f>
        <v>#REF!</v>
      </c>
      <c r="FZ77" t="e">
        <f>AND(Liste!#REF!,"AAAAAF9707U=")</f>
        <v>#REF!</v>
      </c>
      <c r="GA77" t="e">
        <f>AND(Liste!#REF!,"AAAAAF9707Y=")</f>
        <v>#REF!</v>
      </c>
      <c r="GB77" t="e">
        <f>AND(Liste!#REF!,"AAAAAF9707c=")</f>
        <v>#REF!</v>
      </c>
      <c r="GC77" t="e">
        <f>AND(Liste!#REF!,"AAAAAF9707g=")</f>
        <v>#REF!</v>
      </c>
      <c r="GD77" t="e">
        <f>AND(Liste!#REF!,"AAAAAF9707k=")</f>
        <v>#REF!</v>
      </c>
      <c r="GE77" t="e">
        <f>AND(Liste!#REF!,"AAAAAF9707o=")</f>
        <v>#REF!</v>
      </c>
      <c r="GF77" t="e">
        <f>AND(Liste!#REF!,"AAAAAF9707s=")</f>
        <v>#REF!</v>
      </c>
      <c r="GG77" t="e">
        <f>AND(Liste!#REF!,"AAAAAF9707w=")</f>
        <v>#REF!</v>
      </c>
      <c r="GH77" t="e">
        <f>AND(Liste!#REF!,"AAAAAF97070=")</f>
        <v>#REF!</v>
      </c>
      <c r="GI77" t="e">
        <f>AND(Liste!#REF!,"AAAAAF97074=")</f>
        <v>#REF!</v>
      </c>
      <c r="GJ77" t="e">
        <f>AND(Liste!#REF!,"AAAAAF97078=")</f>
        <v>#REF!</v>
      </c>
      <c r="GK77" t="e">
        <f>AND(Liste!#REF!,"AAAAAF9708A=")</f>
        <v>#REF!</v>
      </c>
      <c r="GL77" t="e">
        <f>AND(Liste!#REF!,"AAAAAF9708E=")</f>
        <v>#REF!</v>
      </c>
      <c r="GM77" t="e">
        <f>AND(Liste!#REF!,"AAAAAF9708I=")</f>
        <v>#REF!</v>
      </c>
      <c r="GN77" t="e">
        <f>AND(Liste!#REF!,"AAAAAF9708M=")</f>
        <v>#REF!</v>
      </c>
      <c r="GO77" t="e">
        <f>AND(Liste!#REF!,"AAAAAF9708Q=")</f>
        <v>#REF!</v>
      </c>
      <c r="GP77" t="e">
        <f>AND(Liste!#REF!,"AAAAAF9708U=")</f>
        <v>#REF!</v>
      </c>
      <c r="GQ77">
        <f>IF(Liste!513:513,"AAAAAF9708Y=",0)</f>
        <v>0</v>
      </c>
      <c r="GR77" t="b">
        <f>AND(Liste!A513,"AAAAAF9708c=")</f>
        <v>1</v>
      </c>
      <c r="GS77" t="e">
        <f>AND(Liste!#REF!,"AAAAAF9708g=")</f>
        <v>#REF!</v>
      </c>
      <c r="GT77" t="e">
        <f>AND(Liste!#REF!,"AAAAAF9708k=")</f>
        <v>#REF!</v>
      </c>
      <c r="GU77" t="e">
        <f>AND(Liste!#REF!,"AAAAAF9708o=")</f>
        <v>#REF!</v>
      </c>
      <c r="GV77" t="e">
        <f>AND(Liste!F513,"AAAAAF9708s=")</f>
        <v>#VALUE!</v>
      </c>
      <c r="GW77" t="e">
        <f>AND(Liste!G513,"AAAAAF9708w=")</f>
        <v>#VALUE!</v>
      </c>
      <c r="GX77" t="e">
        <f>AND(Liste!H513,"AAAAAF97080=")</f>
        <v>#VALUE!</v>
      </c>
      <c r="GY77" t="e">
        <f>AND(Liste!I513,"AAAAAF97084=")</f>
        <v>#VALUE!</v>
      </c>
      <c r="GZ77" t="e">
        <f>AND(Liste!J513,"AAAAAF97088=")</f>
        <v>#VALUE!</v>
      </c>
      <c r="HA77" t="e">
        <f>AND(Liste!#REF!,"AAAAAF9709A=")</f>
        <v>#REF!</v>
      </c>
      <c r="HB77" t="e">
        <f>AND(Liste!#REF!,"AAAAAF9709E=")</f>
        <v>#REF!</v>
      </c>
      <c r="HC77" t="e">
        <f>AND(Liste!#REF!,"AAAAAF9709I=")</f>
        <v>#REF!</v>
      </c>
      <c r="HD77" t="e">
        <f>AND(Liste!#REF!,"AAAAAF9709M=")</f>
        <v>#REF!</v>
      </c>
      <c r="HE77" t="e">
        <f>AND(Liste!#REF!,"AAAAAF9709Q=")</f>
        <v>#REF!</v>
      </c>
      <c r="HF77" t="e">
        <f>AND(Liste!#REF!,"AAAAAF9709U=")</f>
        <v>#REF!</v>
      </c>
      <c r="HG77" t="e">
        <f>AND(Liste!#REF!,"AAAAAF9709Y=")</f>
        <v>#REF!</v>
      </c>
      <c r="HH77" t="e">
        <f>AND(Liste!#REF!,"AAAAAF9709c=")</f>
        <v>#REF!</v>
      </c>
      <c r="HI77" t="e">
        <f>AND(Liste!#REF!,"AAAAAF9709g=")</f>
        <v>#REF!</v>
      </c>
      <c r="HJ77" t="e">
        <f>AND(Liste!#REF!,"AAAAAF9709k=")</f>
        <v>#REF!</v>
      </c>
      <c r="HK77" t="e">
        <f>AND(Liste!#REF!,"AAAAAF9709o=")</f>
        <v>#REF!</v>
      </c>
      <c r="HL77" t="e">
        <f>AND(Liste!#REF!,"AAAAAF9709s=")</f>
        <v>#REF!</v>
      </c>
      <c r="HM77" t="e">
        <f>AND(Liste!#REF!,"AAAAAF9709w=")</f>
        <v>#REF!</v>
      </c>
      <c r="HN77" t="e">
        <f>AND(Liste!#REF!,"AAAAAF97090=")</f>
        <v>#REF!</v>
      </c>
      <c r="HO77" t="e">
        <f>AND(Liste!#REF!,"AAAAAF97094=")</f>
        <v>#REF!</v>
      </c>
      <c r="HP77" t="e">
        <f>AND(Liste!#REF!,"AAAAAF97098=")</f>
        <v>#REF!</v>
      </c>
      <c r="HQ77" t="e">
        <f>AND(Liste!#REF!,"AAAAAF970+A=")</f>
        <v>#REF!</v>
      </c>
      <c r="HR77" t="e">
        <f>AND(Liste!#REF!,"AAAAAF970+E=")</f>
        <v>#REF!</v>
      </c>
      <c r="HS77" t="e">
        <f>AND(Liste!#REF!,"AAAAAF970+I=")</f>
        <v>#REF!</v>
      </c>
      <c r="HT77" t="e">
        <f>AND(Liste!#REF!,"AAAAAF970+M=")</f>
        <v>#REF!</v>
      </c>
      <c r="HU77" t="e">
        <f>AND(Liste!#REF!,"AAAAAF970+Q=")</f>
        <v>#REF!</v>
      </c>
      <c r="HV77">
        <f>IF(Liste!514:514,"AAAAAF970+U=",0)</f>
        <v>0</v>
      </c>
      <c r="HW77" t="b">
        <f>AND(Liste!A514,"AAAAAF970+Y=")</f>
        <v>1</v>
      </c>
      <c r="HX77" t="e">
        <f>AND(Liste!#REF!,"AAAAAF970+c=")</f>
        <v>#REF!</v>
      </c>
      <c r="HY77" t="e">
        <f>AND(Liste!#REF!,"AAAAAF970+g=")</f>
        <v>#REF!</v>
      </c>
      <c r="HZ77" t="e">
        <f>AND(Liste!#REF!,"AAAAAF970+k=")</f>
        <v>#REF!</v>
      </c>
      <c r="IA77" t="e">
        <f>AND(Liste!F514,"AAAAAF970+o=")</f>
        <v>#VALUE!</v>
      </c>
      <c r="IB77" t="e">
        <f>AND(Liste!G514,"AAAAAF970+s=")</f>
        <v>#VALUE!</v>
      </c>
      <c r="IC77" t="e">
        <f>AND(Liste!H514,"AAAAAF970+w=")</f>
        <v>#VALUE!</v>
      </c>
      <c r="ID77" t="e">
        <f>AND(Liste!I514,"AAAAAF970+0=")</f>
        <v>#VALUE!</v>
      </c>
      <c r="IE77" t="e">
        <f>AND(Liste!J514,"AAAAAF970+4=")</f>
        <v>#VALUE!</v>
      </c>
      <c r="IF77" t="e">
        <f>AND(Liste!#REF!,"AAAAAF970+8=")</f>
        <v>#REF!</v>
      </c>
      <c r="IG77" t="e">
        <f>AND(Liste!#REF!,"AAAAAF970/A=")</f>
        <v>#REF!</v>
      </c>
      <c r="IH77" t="e">
        <f>AND(Liste!#REF!,"AAAAAF970/E=")</f>
        <v>#REF!</v>
      </c>
      <c r="II77" t="e">
        <f>AND(Liste!#REF!,"AAAAAF970/I=")</f>
        <v>#REF!</v>
      </c>
      <c r="IJ77" t="e">
        <f>AND(Liste!#REF!,"AAAAAF970/M=")</f>
        <v>#REF!</v>
      </c>
      <c r="IK77" t="e">
        <f>AND(Liste!#REF!,"AAAAAF970/Q=")</f>
        <v>#REF!</v>
      </c>
      <c r="IL77" t="e">
        <f>AND(Liste!#REF!,"AAAAAF970/U=")</f>
        <v>#REF!</v>
      </c>
      <c r="IM77" t="e">
        <f>AND(Liste!#REF!,"AAAAAF970/Y=")</f>
        <v>#REF!</v>
      </c>
      <c r="IN77" t="e">
        <f>AND(Liste!#REF!,"AAAAAF970/c=")</f>
        <v>#REF!</v>
      </c>
      <c r="IO77" t="e">
        <f>AND(Liste!#REF!,"AAAAAF970/g=")</f>
        <v>#REF!</v>
      </c>
      <c r="IP77" t="e">
        <f>AND(Liste!#REF!,"AAAAAF970/k=")</f>
        <v>#REF!</v>
      </c>
      <c r="IQ77" t="e">
        <f>AND(Liste!#REF!,"AAAAAF970/o=")</f>
        <v>#REF!</v>
      </c>
      <c r="IR77" t="e">
        <f>AND(Liste!#REF!,"AAAAAF970/s=")</f>
        <v>#REF!</v>
      </c>
      <c r="IS77" t="e">
        <f>AND(Liste!#REF!,"AAAAAF970/w=")</f>
        <v>#REF!</v>
      </c>
      <c r="IT77" t="e">
        <f>AND(Liste!#REF!,"AAAAAF970/0=")</f>
        <v>#REF!</v>
      </c>
      <c r="IU77" t="e">
        <f>AND(Liste!#REF!,"AAAAAF970/4=")</f>
        <v>#REF!</v>
      </c>
      <c r="IV77" t="e">
        <f>AND(Liste!#REF!,"AAAAAF970/8=")</f>
        <v>#REF!</v>
      </c>
    </row>
    <row r="78" spans="1:256" x14ac:dyDescent="0.2">
      <c r="A78" t="e">
        <f>AND(Liste!#REF!,"AAAAAF93rQA=")</f>
        <v>#REF!</v>
      </c>
      <c r="B78" t="e">
        <f>AND(Liste!#REF!,"AAAAAF93rQE=")</f>
        <v>#REF!</v>
      </c>
      <c r="C78" t="e">
        <f>AND(Liste!#REF!,"AAAAAF93rQI=")</f>
        <v>#REF!</v>
      </c>
      <c r="D78" t="e">
        <f>AND(Liste!#REF!,"AAAAAF93rQM=")</f>
        <v>#REF!</v>
      </c>
      <c r="E78" t="e">
        <f>IF(Liste!515:515,"AAAAAF93rQQ=",0)</f>
        <v>#VALUE!</v>
      </c>
      <c r="F78" t="b">
        <f>AND(Liste!A515,"AAAAAF93rQU=")</f>
        <v>1</v>
      </c>
      <c r="G78" t="e">
        <f>AND(Liste!#REF!,"AAAAAF93rQY=")</f>
        <v>#REF!</v>
      </c>
      <c r="H78" t="e">
        <f>AND(Liste!#REF!,"AAAAAF93rQc=")</f>
        <v>#REF!</v>
      </c>
      <c r="I78" t="e">
        <f>AND(Liste!#REF!,"AAAAAF93rQg=")</f>
        <v>#REF!</v>
      </c>
      <c r="J78" t="e">
        <f>AND(Liste!F515,"AAAAAF93rQk=")</f>
        <v>#VALUE!</v>
      </c>
      <c r="K78" t="e">
        <f>AND(Liste!G515,"AAAAAF93rQo=")</f>
        <v>#VALUE!</v>
      </c>
      <c r="L78" t="e">
        <f>AND(Liste!H515,"AAAAAF93rQs=")</f>
        <v>#VALUE!</v>
      </c>
      <c r="M78" t="e">
        <f>AND(Liste!I515,"AAAAAF93rQw=")</f>
        <v>#VALUE!</v>
      </c>
      <c r="N78" t="e">
        <f>AND(Liste!J515,"AAAAAF93rQ0=")</f>
        <v>#VALUE!</v>
      </c>
      <c r="O78" t="e">
        <f>AND(Liste!#REF!,"AAAAAF93rQ4=")</f>
        <v>#REF!</v>
      </c>
      <c r="P78" t="e">
        <f>AND(Liste!#REF!,"AAAAAF93rQ8=")</f>
        <v>#REF!</v>
      </c>
      <c r="Q78" t="e">
        <f>AND(Liste!#REF!,"AAAAAF93rRA=")</f>
        <v>#REF!</v>
      </c>
      <c r="R78" t="e">
        <f>AND(Liste!#REF!,"AAAAAF93rRE=")</f>
        <v>#REF!</v>
      </c>
      <c r="S78" t="e">
        <f>AND(Liste!#REF!,"AAAAAF93rRI=")</f>
        <v>#REF!</v>
      </c>
      <c r="T78" t="e">
        <f>AND(Liste!#REF!,"AAAAAF93rRM=")</f>
        <v>#REF!</v>
      </c>
      <c r="U78" t="e">
        <f>AND(Liste!#REF!,"AAAAAF93rRQ=")</f>
        <v>#REF!</v>
      </c>
      <c r="V78" t="e">
        <f>AND(Liste!#REF!,"AAAAAF93rRU=")</f>
        <v>#REF!</v>
      </c>
      <c r="W78" t="e">
        <f>AND(Liste!#REF!,"AAAAAF93rRY=")</f>
        <v>#REF!</v>
      </c>
      <c r="X78" t="e">
        <f>AND(Liste!#REF!,"AAAAAF93rRc=")</f>
        <v>#REF!</v>
      </c>
      <c r="Y78" t="e">
        <f>AND(Liste!#REF!,"AAAAAF93rRg=")</f>
        <v>#REF!</v>
      </c>
      <c r="Z78" t="e">
        <f>AND(Liste!#REF!,"AAAAAF93rRk=")</f>
        <v>#REF!</v>
      </c>
      <c r="AA78" t="e">
        <f>AND(Liste!#REF!,"AAAAAF93rRo=")</f>
        <v>#REF!</v>
      </c>
      <c r="AB78" t="e">
        <f>AND(Liste!#REF!,"AAAAAF93rRs=")</f>
        <v>#REF!</v>
      </c>
      <c r="AC78" t="e">
        <f>AND(Liste!#REF!,"AAAAAF93rRw=")</f>
        <v>#REF!</v>
      </c>
      <c r="AD78" t="e">
        <f>AND(Liste!#REF!,"AAAAAF93rR0=")</f>
        <v>#REF!</v>
      </c>
      <c r="AE78" t="e">
        <f>AND(Liste!#REF!,"AAAAAF93rR4=")</f>
        <v>#REF!</v>
      </c>
      <c r="AF78" t="e">
        <f>AND(Liste!#REF!,"AAAAAF93rR8=")</f>
        <v>#REF!</v>
      </c>
      <c r="AG78" t="e">
        <f>AND(Liste!#REF!,"AAAAAF93rSA=")</f>
        <v>#REF!</v>
      </c>
      <c r="AH78" t="e">
        <f>AND(Liste!#REF!,"AAAAAF93rSE=")</f>
        <v>#REF!</v>
      </c>
      <c r="AI78" t="e">
        <f>AND(Liste!#REF!,"AAAAAF93rSI=")</f>
        <v>#REF!</v>
      </c>
      <c r="AJ78">
        <f>IF(Liste!516:516,"AAAAAF93rSM=",0)</f>
        <v>0</v>
      </c>
      <c r="AK78" t="b">
        <f>AND(Liste!A516,"AAAAAF93rSQ=")</f>
        <v>1</v>
      </c>
      <c r="AL78" t="e">
        <f>AND(Liste!#REF!,"AAAAAF93rSU=")</f>
        <v>#REF!</v>
      </c>
      <c r="AM78" t="e">
        <f>AND(Liste!#REF!,"AAAAAF93rSY=")</f>
        <v>#REF!</v>
      </c>
      <c r="AN78" t="e">
        <f>AND(Liste!#REF!,"AAAAAF93rSc=")</f>
        <v>#REF!</v>
      </c>
      <c r="AO78" t="e">
        <f>AND(Liste!F516,"AAAAAF93rSg=")</f>
        <v>#VALUE!</v>
      </c>
      <c r="AP78" t="e">
        <f>AND(Liste!G516,"AAAAAF93rSk=")</f>
        <v>#VALUE!</v>
      </c>
      <c r="AQ78" t="e">
        <f>AND(Liste!H516,"AAAAAF93rSo=")</f>
        <v>#VALUE!</v>
      </c>
      <c r="AR78" t="e">
        <f>AND(Liste!I516,"AAAAAF93rSs=")</f>
        <v>#VALUE!</v>
      </c>
      <c r="AS78" t="e">
        <f>AND(Liste!J516,"AAAAAF93rSw=")</f>
        <v>#VALUE!</v>
      </c>
      <c r="AT78" t="e">
        <f>AND(Liste!#REF!,"AAAAAF93rS0=")</f>
        <v>#REF!</v>
      </c>
      <c r="AU78" t="e">
        <f>AND(Liste!#REF!,"AAAAAF93rS4=")</f>
        <v>#REF!</v>
      </c>
      <c r="AV78" t="e">
        <f>AND(Liste!#REF!,"AAAAAF93rS8=")</f>
        <v>#REF!</v>
      </c>
      <c r="AW78" t="e">
        <f>AND(Liste!#REF!,"AAAAAF93rTA=")</f>
        <v>#REF!</v>
      </c>
      <c r="AX78" t="e">
        <f>AND(Liste!#REF!,"AAAAAF93rTE=")</f>
        <v>#REF!</v>
      </c>
      <c r="AY78" t="e">
        <f>AND(Liste!#REF!,"AAAAAF93rTI=")</f>
        <v>#REF!</v>
      </c>
      <c r="AZ78" t="e">
        <f>AND(Liste!#REF!,"AAAAAF93rTM=")</f>
        <v>#REF!</v>
      </c>
      <c r="BA78" t="e">
        <f>AND(Liste!#REF!,"AAAAAF93rTQ=")</f>
        <v>#REF!</v>
      </c>
      <c r="BB78" t="e">
        <f>AND(Liste!#REF!,"AAAAAF93rTU=")</f>
        <v>#REF!</v>
      </c>
      <c r="BC78" t="e">
        <f>AND(Liste!#REF!,"AAAAAF93rTY=")</f>
        <v>#REF!</v>
      </c>
      <c r="BD78" t="e">
        <f>AND(Liste!#REF!,"AAAAAF93rTc=")</f>
        <v>#REF!</v>
      </c>
      <c r="BE78" t="e">
        <f>AND(Liste!#REF!,"AAAAAF93rTg=")</f>
        <v>#REF!</v>
      </c>
      <c r="BF78" t="e">
        <f>AND(Liste!#REF!,"AAAAAF93rTk=")</f>
        <v>#REF!</v>
      </c>
      <c r="BG78" t="e">
        <f>AND(Liste!#REF!,"AAAAAF93rTo=")</f>
        <v>#REF!</v>
      </c>
      <c r="BH78" t="e">
        <f>AND(Liste!#REF!,"AAAAAF93rTs=")</f>
        <v>#REF!</v>
      </c>
      <c r="BI78" t="e">
        <f>AND(Liste!#REF!,"AAAAAF93rTw=")</f>
        <v>#REF!</v>
      </c>
      <c r="BJ78" t="e">
        <f>AND(Liste!#REF!,"AAAAAF93rT0=")</f>
        <v>#REF!</v>
      </c>
      <c r="BK78" t="e">
        <f>AND(Liste!#REF!,"AAAAAF93rT4=")</f>
        <v>#REF!</v>
      </c>
      <c r="BL78" t="e">
        <f>AND(Liste!#REF!,"AAAAAF93rT8=")</f>
        <v>#REF!</v>
      </c>
      <c r="BM78" t="e">
        <f>AND(Liste!#REF!,"AAAAAF93rUA=")</f>
        <v>#REF!</v>
      </c>
      <c r="BN78" t="e">
        <f>AND(Liste!#REF!,"AAAAAF93rUE=")</f>
        <v>#REF!</v>
      </c>
      <c r="BO78">
        <f>IF(Liste!517:517,"AAAAAF93rUI=",0)</f>
        <v>0</v>
      </c>
      <c r="BP78" t="b">
        <f>AND(Liste!A517,"AAAAAF93rUM=")</f>
        <v>1</v>
      </c>
      <c r="BQ78" t="e">
        <f>AND(Liste!#REF!,"AAAAAF93rUQ=")</f>
        <v>#REF!</v>
      </c>
      <c r="BR78" t="e">
        <f>AND(Liste!#REF!,"AAAAAF93rUU=")</f>
        <v>#REF!</v>
      </c>
      <c r="BS78" t="e">
        <f>AND(Liste!#REF!,"AAAAAF93rUY=")</f>
        <v>#REF!</v>
      </c>
      <c r="BT78" t="e">
        <f>AND(Liste!F517,"AAAAAF93rUc=")</f>
        <v>#VALUE!</v>
      </c>
      <c r="BU78" t="e">
        <f>AND(Liste!G517,"AAAAAF93rUg=")</f>
        <v>#VALUE!</v>
      </c>
      <c r="BV78" t="e">
        <f>AND(Liste!H517,"AAAAAF93rUk=")</f>
        <v>#VALUE!</v>
      </c>
      <c r="BW78" t="e">
        <f>AND(Liste!I517,"AAAAAF93rUo=")</f>
        <v>#VALUE!</v>
      </c>
      <c r="BX78" t="e">
        <f>AND(Liste!J517,"AAAAAF93rUs=")</f>
        <v>#VALUE!</v>
      </c>
      <c r="BY78" t="e">
        <f>AND(Liste!#REF!,"AAAAAF93rUw=")</f>
        <v>#REF!</v>
      </c>
      <c r="BZ78" t="e">
        <f>AND(Liste!#REF!,"AAAAAF93rU0=")</f>
        <v>#REF!</v>
      </c>
      <c r="CA78" t="e">
        <f>AND(Liste!#REF!,"AAAAAF93rU4=")</f>
        <v>#REF!</v>
      </c>
      <c r="CB78" t="e">
        <f>AND(Liste!#REF!,"AAAAAF93rU8=")</f>
        <v>#REF!</v>
      </c>
      <c r="CC78" t="e">
        <f>AND(Liste!#REF!,"AAAAAF93rVA=")</f>
        <v>#REF!</v>
      </c>
      <c r="CD78" t="e">
        <f>AND(Liste!#REF!,"AAAAAF93rVE=")</f>
        <v>#REF!</v>
      </c>
      <c r="CE78" t="e">
        <f>AND(Liste!#REF!,"AAAAAF93rVI=")</f>
        <v>#REF!</v>
      </c>
      <c r="CF78" t="e">
        <f>AND(Liste!#REF!,"AAAAAF93rVM=")</f>
        <v>#REF!</v>
      </c>
      <c r="CG78" t="e">
        <f>AND(Liste!#REF!,"AAAAAF93rVQ=")</f>
        <v>#REF!</v>
      </c>
      <c r="CH78" t="e">
        <f>AND(Liste!#REF!,"AAAAAF93rVU=")</f>
        <v>#REF!</v>
      </c>
      <c r="CI78" t="e">
        <f>AND(Liste!#REF!,"AAAAAF93rVY=")</f>
        <v>#REF!</v>
      </c>
      <c r="CJ78" t="e">
        <f>AND(Liste!#REF!,"AAAAAF93rVc=")</f>
        <v>#REF!</v>
      </c>
      <c r="CK78" t="e">
        <f>AND(Liste!#REF!,"AAAAAF93rVg=")</f>
        <v>#REF!</v>
      </c>
      <c r="CL78" t="e">
        <f>AND(Liste!#REF!,"AAAAAF93rVk=")</f>
        <v>#REF!</v>
      </c>
      <c r="CM78" t="e">
        <f>AND(Liste!#REF!,"AAAAAF93rVo=")</f>
        <v>#REF!</v>
      </c>
      <c r="CN78" t="e">
        <f>AND(Liste!#REF!,"AAAAAF93rVs=")</f>
        <v>#REF!</v>
      </c>
      <c r="CO78" t="e">
        <f>AND(Liste!#REF!,"AAAAAF93rVw=")</f>
        <v>#REF!</v>
      </c>
      <c r="CP78" t="e">
        <f>AND(Liste!#REF!,"AAAAAF93rV0=")</f>
        <v>#REF!</v>
      </c>
      <c r="CQ78" t="e">
        <f>AND(Liste!#REF!,"AAAAAF93rV4=")</f>
        <v>#REF!</v>
      </c>
      <c r="CR78" t="e">
        <f>AND(Liste!#REF!,"AAAAAF93rV8=")</f>
        <v>#REF!</v>
      </c>
      <c r="CS78" t="e">
        <f>AND(Liste!#REF!,"AAAAAF93rWA=")</f>
        <v>#REF!</v>
      </c>
      <c r="CT78">
        <f>IF(Liste!518:518,"AAAAAF93rWE=",0)</f>
        <v>0</v>
      </c>
      <c r="CU78" t="b">
        <f>AND(Liste!A518,"AAAAAF93rWI=")</f>
        <v>1</v>
      </c>
      <c r="CV78" t="e">
        <f>AND(Liste!#REF!,"AAAAAF93rWM=")</f>
        <v>#REF!</v>
      </c>
      <c r="CW78" t="e">
        <f>AND(Liste!#REF!,"AAAAAF93rWQ=")</f>
        <v>#REF!</v>
      </c>
      <c r="CX78" t="e">
        <f>AND(Liste!#REF!,"AAAAAF93rWU=")</f>
        <v>#REF!</v>
      </c>
      <c r="CY78" t="e">
        <f>AND(Liste!F518,"AAAAAF93rWY=")</f>
        <v>#VALUE!</v>
      </c>
      <c r="CZ78" t="e">
        <f>AND(Liste!G518,"AAAAAF93rWc=")</f>
        <v>#VALUE!</v>
      </c>
      <c r="DA78" t="e">
        <f>AND(Liste!H518,"AAAAAF93rWg=")</f>
        <v>#VALUE!</v>
      </c>
      <c r="DB78" t="e">
        <f>AND(Liste!I518,"AAAAAF93rWk=")</f>
        <v>#VALUE!</v>
      </c>
      <c r="DC78" t="e">
        <f>AND(Liste!J518,"AAAAAF93rWo=")</f>
        <v>#VALUE!</v>
      </c>
      <c r="DD78" t="e">
        <f>AND(Liste!#REF!,"AAAAAF93rWs=")</f>
        <v>#REF!</v>
      </c>
      <c r="DE78" t="e">
        <f>AND(Liste!#REF!,"AAAAAF93rWw=")</f>
        <v>#REF!</v>
      </c>
      <c r="DF78" t="e">
        <f>AND(Liste!#REF!,"AAAAAF93rW0=")</f>
        <v>#REF!</v>
      </c>
      <c r="DG78" t="e">
        <f>AND(Liste!#REF!,"AAAAAF93rW4=")</f>
        <v>#REF!</v>
      </c>
      <c r="DH78" t="e">
        <f>AND(Liste!#REF!,"AAAAAF93rW8=")</f>
        <v>#REF!</v>
      </c>
      <c r="DI78" t="e">
        <f>AND(Liste!#REF!,"AAAAAF93rXA=")</f>
        <v>#REF!</v>
      </c>
      <c r="DJ78" t="e">
        <f>AND(Liste!#REF!,"AAAAAF93rXE=")</f>
        <v>#REF!</v>
      </c>
      <c r="DK78" t="e">
        <f>AND(Liste!#REF!,"AAAAAF93rXI=")</f>
        <v>#REF!</v>
      </c>
      <c r="DL78" t="e">
        <f>AND(Liste!#REF!,"AAAAAF93rXM=")</f>
        <v>#REF!</v>
      </c>
      <c r="DM78" t="e">
        <f>AND(Liste!#REF!,"AAAAAF93rXQ=")</f>
        <v>#REF!</v>
      </c>
      <c r="DN78" t="e">
        <f>AND(Liste!#REF!,"AAAAAF93rXU=")</f>
        <v>#REF!</v>
      </c>
      <c r="DO78" t="e">
        <f>AND(Liste!#REF!,"AAAAAF93rXY=")</f>
        <v>#REF!</v>
      </c>
      <c r="DP78" t="e">
        <f>AND(Liste!#REF!,"AAAAAF93rXc=")</f>
        <v>#REF!</v>
      </c>
      <c r="DQ78" t="e">
        <f>AND(Liste!#REF!,"AAAAAF93rXg=")</f>
        <v>#REF!</v>
      </c>
      <c r="DR78" t="e">
        <f>AND(Liste!#REF!,"AAAAAF93rXk=")</f>
        <v>#REF!</v>
      </c>
      <c r="DS78" t="e">
        <f>AND(Liste!#REF!,"AAAAAF93rXo=")</f>
        <v>#REF!</v>
      </c>
      <c r="DT78" t="e">
        <f>AND(Liste!#REF!,"AAAAAF93rXs=")</f>
        <v>#REF!</v>
      </c>
      <c r="DU78" t="e">
        <f>AND(Liste!#REF!,"AAAAAF93rXw=")</f>
        <v>#REF!</v>
      </c>
      <c r="DV78" t="e">
        <f>AND(Liste!#REF!,"AAAAAF93rX0=")</f>
        <v>#REF!</v>
      </c>
      <c r="DW78" t="e">
        <f>AND(Liste!#REF!,"AAAAAF93rX4=")</f>
        <v>#REF!</v>
      </c>
      <c r="DX78" t="e">
        <f>AND(Liste!#REF!,"AAAAAF93rX8=")</f>
        <v>#REF!</v>
      </c>
      <c r="DY78">
        <f>IF(Liste!519:519,"AAAAAF93rYA=",0)</f>
        <v>0</v>
      </c>
      <c r="DZ78" t="b">
        <f>AND(Liste!A519,"AAAAAF93rYE=")</f>
        <v>1</v>
      </c>
      <c r="EA78" t="e">
        <f>AND(Liste!#REF!,"AAAAAF93rYI=")</f>
        <v>#REF!</v>
      </c>
      <c r="EB78" t="e">
        <f>AND(Liste!#REF!,"AAAAAF93rYM=")</f>
        <v>#REF!</v>
      </c>
      <c r="EC78" t="e">
        <f>AND(Liste!#REF!,"AAAAAF93rYQ=")</f>
        <v>#REF!</v>
      </c>
      <c r="ED78" t="e">
        <f>AND(Liste!F519,"AAAAAF93rYU=")</f>
        <v>#VALUE!</v>
      </c>
      <c r="EE78" t="e">
        <f>AND(Liste!G519,"AAAAAF93rYY=")</f>
        <v>#VALUE!</v>
      </c>
      <c r="EF78" t="e">
        <f>AND(Liste!H519,"AAAAAF93rYc=")</f>
        <v>#VALUE!</v>
      </c>
      <c r="EG78" t="e">
        <f>AND(Liste!I519,"AAAAAF93rYg=")</f>
        <v>#VALUE!</v>
      </c>
      <c r="EH78" t="e">
        <f>AND(Liste!J519,"AAAAAF93rYk=")</f>
        <v>#VALUE!</v>
      </c>
      <c r="EI78" t="e">
        <f>AND(Liste!#REF!,"AAAAAF93rYo=")</f>
        <v>#REF!</v>
      </c>
      <c r="EJ78" t="e">
        <f>AND(Liste!#REF!,"AAAAAF93rYs=")</f>
        <v>#REF!</v>
      </c>
      <c r="EK78" t="e">
        <f>AND(Liste!#REF!,"AAAAAF93rYw=")</f>
        <v>#REF!</v>
      </c>
      <c r="EL78" t="e">
        <f>AND(Liste!#REF!,"AAAAAF93rY0=")</f>
        <v>#REF!</v>
      </c>
      <c r="EM78" t="e">
        <f>AND(Liste!#REF!,"AAAAAF93rY4=")</f>
        <v>#REF!</v>
      </c>
      <c r="EN78" t="e">
        <f>AND(Liste!#REF!,"AAAAAF93rY8=")</f>
        <v>#REF!</v>
      </c>
      <c r="EO78" t="e">
        <f>AND(Liste!#REF!,"AAAAAF93rZA=")</f>
        <v>#REF!</v>
      </c>
      <c r="EP78" t="e">
        <f>AND(Liste!#REF!,"AAAAAF93rZE=")</f>
        <v>#REF!</v>
      </c>
      <c r="EQ78" t="e">
        <f>AND(Liste!#REF!,"AAAAAF93rZI=")</f>
        <v>#REF!</v>
      </c>
      <c r="ER78" t="e">
        <f>AND(Liste!#REF!,"AAAAAF93rZM=")</f>
        <v>#REF!</v>
      </c>
      <c r="ES78" t="e">
        <f>AND(Liste!#REF!,"AAAAAF93rZQ=")</f>
        <v>#REF!</v>
      </c>
      <c r="ET78" t="e">
        <f>AND(Liste!#REF!,"AAAAAF93rZU=")</f>
        <v>#REF!</v>
      </c>
      <c r="EU78" t="e">
        <f>AND(Liste!#REF!,"AAAAAF93rZY=")</f>
        <v>#REF!</v>
      </c>
      <c r="EV78" t="e">
        <f>AND(Liste!#REF!,"AAAAAF93rZc=")</f>
        <v>#REF!</v>
      </c>
      <c r="EW78" t="e">
        <f>AND(Liste!#REF!,"AAAAAF93rZg=")</f>
        <v>#REF!</v>
      </c>
      <c r="EX78" t="e">
        <f>AND(Liste!#REF!,"AAAAAF93rZk=")</f>
        <v>#REF!</v>
      </c>
      <c r="EY78" t="e">
        <f>AND(Liste!#REF!,"AAAAAF93rZo=")</f>
        <v>#REF!</v>
      </c>
      <c r="EZ78" t="e">
        <f>AND(Liste!#REF!,"AAAAAF93rZs=")</f>
        <v>#REF!</v>
      </c>
      <c r="FA78" t="e">
        <f>AND(Liste!#REF!,"AAAAAF93rZw=")</f>
        <v>#REF!</v>
      </c>
      <c r="FB78" t="e">
        <f>AND(Liste!#REF!,"AAAAAF93rZ0=")</f>
        <v>#REF!</v>
      </c>
      <c r="FC78" t="e">
        <f>AND(Liste!#REF!,"AAAAAF93rZ4=")</f>
        <v>#REF!</v>
      </c>
      <c r="FD78">
        <f>IF(Liste!520:520,"AAAAAF93rZ8=",0)</f>
        <v>0</v>
      </c>
      <c r="FE78" t="b">
        <f>AND(Liste!A520,"AAAAAF93raA=")</f>
        <v>1</v>
      </c>
      <c r="FF78" t="e">
        <f>AND(Liste!#REF!,"AAAAAF93raE=")</f>
        <v>#REF!</v>
      </c>
      <c r="FG78" t="e">
        <f>AND(Liste!#REF!,"AAAAAF93raI=")</f>
        <v>#REF!</v>
      </c>
      <c r="FH78" t="e">
        <f>AND(Liste!#REF!,"AAAAAF93raM=")</f>
        <v>#REF!</v>
      </c>
      <c r="FI78" t="e">
        <f>AND(Liste!F520,"AAAAAF93raQ=")</f>
        <v>#VALUE!</v>
      </c>
      <c r="FJ78" t="e">
        <f>AND(Liste!G520,"AAAAAF93raU=")</f>
        <v>#VALUE!</v>
      </c>
      <c r="FK78" t="e">
        <f>AND(Liste!H520,"AAAAAF93raY=")</f>
        <v>#VALUE!</v>
      </c>
      <c r="FL78" t="e">
        <f>AND(Liste!I520,"AAAAAF93rac=")</f>
        <v>#VALUE!</v>
      </c>
      <c r="FM78" t="e">
        <f>AND(Liste!J520,"AAAAAF93rag=")</f>
        <v>#VALUE!</v>
      </c>
      <c r="FN78" t="e">
        <f>AND(Liste!#REF!,"AAAAAF93rak=")</f>
        <v>#REF!</v>
      </c>
      <c r="FO78" t="e">
        <f>AND(Liste!#REF!,"AAAAAF93rao=")</f>
        <v>#REF!</v>
      </c>
      <c r="FP78" t="e">
        <f>AND(Liste!#REF!,"AAAAAF93ras=")</f>
        <v>#REF!</v>
      </c>
      <c r="FQ78" t="e">
        <f>AND(Liste!#REF!,"AAAAAF93raw=")</f>
        <v>#REF!</v>
      </c>
      <c r="FR78" t="e">
        <f>AND(Liste!#REF!,"AAAAAF93ra0=")</f>
        <v>#REF!</v>
      </c>
      <c r="FS78" t="e">
        <f>AND(Liste!#REF!,"AAAAAF93ra4=")</f>
        <v>#REF!</v>
      </c>
      <c r="FT78" t="e">
        <f>AND(Liste!#REF!,"AAAAAF93ra8=")</f>
        <v>#REF!</v>
      </c>
      <c r="FU78" t="e">
        <f>AND(Liste!#REF!,"AAAAAF93rbA=")</f>
        <v>#REF!</v>
      </c>
      <c r="FV78" t="e">
        <f>AND(Liste!#REF!,"AAAAAF93rbE=")</f>
        <v>#REF!</v>
      </c>
      <c r="FW78" t="e">
        <f>AND(Liste!#REF!,"AAAAAF93rbI=")</f>
        <v>#REF!</v>
      </c>
      <c r="FX78" t="e">
        <f>AND(Liste!#REF!,"AAAAAF93rbM=")</f>
        <v>#REF!</v>
      </c>
      <c r="FY78" t="e">
        <f>AND(Liste!#REF!,"AAAAAF93rbQ=")</f>
        <v>#REF!</v>
      </c>
      <c r="FZ78" t="e">
        <f>AND(Liste!#REF!,"AAAAAF93rbU=")</f>
        <v>#REF!</v>
      </c>
      <c r="GA78" t="e">
        <f>AND(Liste!#REF!,"AAAAAF93rbY=")</f>
        <v>#REF!</v>
      </c>
      <c r="GB78" t="e">
        <f>AND(Liste!#REF!,"AAAAAF93rbc=")</f>
        <v>#REF!</v>
      </c>
      <c r="GC78" t="e">
        <f>AND(Liste!#REF!,"AAAAAF93rbg=")</f>
        <v>#REF!</v>
      </c>
      <c r="GD78" t="e">
        <f>AND(Liste!#REF!,"AAAAAF93rbk=")</f>
        <v>#REF!</v>
      </c>
      <c r="GE78" t="e">
        <f>AND(Liste!#REF!,"AAAAAF93rbo=")</f>
        <v>#REF!</v>
      </c>
      <c r="GF78" t="e">
        <f>AND(Liste!#REF!,"AAAAAF93rbs=")</f>
        <v>#REF!</v>
      </c>
      <c r="GG78" t="e">
        <f>AND(Liste!#REF!,"AAAAAF93rbw=")</f>
        <v>#REF!</v>
      </c>
      <c r="GH78" t="e">
        <f>AND(Liste!#REF!,"AAAAAF93rb0=")</f>
        <v>#REF!</v>
      </c>
      <c r="GI78">
        <f>IF(Liste!521:521,"AAAAAF93rb4=",0)</f>
        <v>0</v>
      </c>
      <c r="GJ78" t="b">
        <f>AND(Liste!A521,"AAAAAF93rb8=")</f>
        <v>1</v>
      </c>
      <c r="GK78" t="e">
        <f>AND(Liste!#REF!,"AAAAAF93rcA=")</f>
        <v>#REF!</v>
      </c>
      <c r="GL78" t="e">
        <f>AND(Liste!#REF!,"AAAAAF93rcE=")</f>
        <v>#REF!</v>
      </c>
      <c r="GM78" t="e">
        <f>AND(Liste!#REF!,"AAAAAF93rcI=")</f>
        <v>#REF!</v>
      </c>
      <c r="GN78" t="e">
        <f>AND(Liste!F521,"AAAAAF93rcM=")</f>
        <v>#VALUE!</v>
      </c>
      <c r="GO78" t="e">
        <f>AND(Liste!G521,"AAAAAF93rcQ=")</f>
        <v>#VALUE!</v>
      </c>
      <c r="GP78" t="e">
        <f>AND(Liste!H521,"AAAAAF93rcU=")</f>
        <v>#VALUE!</v>
      </c>
      <c r="GQ78" t="e">
        <f>AND(Liste!I521,"AAAAAF93rcY=")</f>
        <v>#VALUE!</v>
      </c>
      <c r="GR78" t="e">
        <f>AND(Liste!J521,"AAAAAF93rcc=")</f>
        <v>#VALUE!</v>
      </c>
      <c r="GS78" t="e">
        <f>AND(Liste!#REF!,"AAAAAF93rcg=")</f>
        <v>#REF!</v>
      </c>
      <c r="GT78" t="e">
        <f>AND(Liste!#REF!,"AAAAAF93rck=")</f>
        <v>#REF!</v>
      </c>
      <c r="GU78" t="e">
        <f>AND(Liste!#REF!,"AAAAAF93rco=")</f>
        <v>#REF!</v>
      </c>
      <c r="GV78" t="e">
        <f>AND(Liste!#REF!,"AAAAAF93rcs=")</f>
        <v>#REF!</v>
      </c>
      <c r="GW78" t="e">
        <f>AND(Liste!#REF!,"AAAAAF93rcw=")</f>
        <v>#REF!</v>
      </c>
      <c r="GX78" t="e">
        <f>AND(Liste!#REF!,"AAAAAF93rc0=")</f>
        <v>#REF!</v>
      </c>
      <c r="GY78" t="e">
        <f>AND(Liste!#REF!,"AAAAAF93rc4=")</f>
        <v>#REF!</v>
      </c>
      <c r="GZ78" t="e">
        <f>AND(Liste!#REF!,"AAAAAF93rc8=")</f>
        <v>#REF!</v>
      </c>
      <c r="HA78" t="e">
        <f>AND(Liste!#REF!,"AAAAAF93rdA=")</f>
        <v>#REF!</v>
      </c>
      <c r="HB78" t="e">
        <f>AND(Liste!#REF!,"AAAAAF93rdE=")</f>
        <v>#REF!</v>
      </c>
      <c r="HC78" t="e">
        <f>AND(Liste!#REF!,"AAAAAF93rdI=")</f>
        <v>#REF!</v>
      </c>
      <c r="HD78" t="e">
        <f>AND(Liste!#REF!,"AAAAAF93rdM=")</f>
        <v>#REF!</v>
      </c>
      <c r="HE78" t="e">
        <f>AND(Liste!#REF!,"AAAAAF93rdQ=")</f>
        <v>#REF!</v>
      </c>
      <c r="HF78" t="e">
        <f>AND(Liste!#REF!,"AAAAAF93rdU=")</f>
        <v>#REF!</v>
      </c>
      <c r="HG78" t="e">
        <f>AND(Liste!#REF!,"AAAAAF93rdY=")</f>
        <v>#REF!</v>
      </c>
      <c r="HH78" t="e">
        <f>AND(Liste!#REF!,"AAAAAF93rdc=")</f>
        <v>#REF!</v>
      </c>
      <c r="HI78" t="e">
        <f>AND(Liste!#REF!,"AAAAAF93rdg=")</f>
        <v>#REF!</v>
      </c>
      <c r="HJ78" t="e">
        <f>AND(Liste!#REF!,"AAAAAF93rdk=")</f>
        <v>#REF!</v>
      </c>
      <c r="HK78" t="e">
        <f>AND(Liste!#REF!,"AAAAAF93rdo=")</f>
        <v>#REF!</v>
      </c>
      <c r="HL78" t="e">
        <f>AND(Liste!#REF!,"AAAAAF93rds=")</f>
        <v>#REF!</v>
      </c>
      <c r="HM78" t="e">
        <f>AND(Liste!#REF!,"AAAAAF93rdw=")</f>
        <v>#REF!</v>
      </c>
      <c r="HN78">
        <f>IF(Liste!522:522,"AAAAAF93rd0=",0)</f>
        <v>0</v>
      </c>
      <c r="HO78" t="b">
        <f>AND(Liste!A522,"AAAAAF93rd4=")</f>
        <v>1</v>
      </c>
      <c r="HP78" t="e">
        <f>AND(Liste!#REF!,"AAAAAF93rd8=")</f>
        <v>#REF!</v>
      </c>
      <c r="HQ78" t="e">
        <f>AND(Liste!#REF!,"AAAAAF93reA=")</f>
        <v>#REF!</v>
      </c>
      <c r="HR78" t="e">
        <f>AND(Liste!#REF!,"AAAAAF93reE=")</f>
        <v>#REF!</v>
      </c>
      <c r="HS78" t="e">
        <f>AND(Liste!F522,"AAAAAF93reI=")</f>
        <v>#VALUE!</v>
      </c>
      <c r="HT78" t="e">
        <f>AND(Liste!G522,"AAAAAF93reM=")</f>
        <v>#VALUE!</v>
      </c>
      <c r="HU78" t="e">
        <f>AND(Liste!H522,"AAAAAF93reQ=")</f>
        <v>#VALUE!</v>
      </c>
      <c r="HV78" t="e">
        <f>AND(Liste!I522,"AAAAAF93reU=")</f>
        <v>#VALUE!</v>
      </c>
      <c r="HW78" t="e">
        <f>AND(Liste!J522,"AAAAAF93reY=")</f>
        <v>#VALUE!</v>
      </c>
      <c r="HX78" t="e">
        <f>AND(Liste!#REF!,"AAAAAF93rec=")</f>
        <v>#REF!</v>
      </c>
      <c r="HY78" t="e">
        <f>AND(Liste!#REF!,"AAAAAF93reg=")</f>
        <v>#REF!</v>
      </c>
      <c r="HZ78" t="e">
        <f>AND(Liste!#REF!,"AAAAAF93rek=")</f>
        <v>#REF!</v>
      </c>
      <c r="IA78" t="e">
        <f>AND(Liste!#REF!,"AAAAAF93reo=")</f>
        <v>#REF!</v>
      </c>
      <c r="IB78" t="e">
        <f>AND(Liste!#REF!,"AAAAAF93res=")</f>
        <v>#REF!</v>
      </c>
      <c r="IC78" t="e">
        <f>AND(Liste!#REF!,"AAAAAF93rew=")</f>
        <v>#REF!</v>
      </c>
      <c r="ID78" t="e">
        <f>AND(Liste!#REF!,"AAAAAF93re0=")</f>
        <v>#REF!</v>
      </c>
      <c r="IE78" t="e">
        <f>AND(Liste!#REF!,"AAAAAF93re4=")</f>
        <v>#REF!</v>
      </c>
      <c r="IF78" t="e">
        <f>AND(Liste!#REF!,"AAAAAF93re8=")</f>
        <v>#REF!</v>
      </c>
      <c r="IG78" t="e">
        <f>AND(Liste!#REF!,"AAAAAF93rfA=")</f>
        <v>#REF!</v>
      </c>
      <c r="IH78" t="e">
        <f>AND(Liste!#REF!,"AAAAAF93rfE=")</f>
        <v>#REF!</v>
      </c>
      <c r="II78" t="e">
        <f>AND(Liste!#REF!,"AAAAAF93rfI=")</f>
        <v>#REF!</v>
      </c>
      <c r="IJ78" t="e">
        <f>AND(Liste!#REF!,"AAAAAF93rfM=")</f>
        <v>#REF!</v>
      </c>
      <c r="IK78" t="e">
        <f>AND(Liste!#REF!,"AAAAAF93rfQ=")</f>
        <v>#REF!</v>
      </c>
      <c r="IL78" t="e">
        <f>AND(Liste!#REF!,"AAAAAF93rfU=")</f>
        <v>#REF!</v>
      </c>
      <c r="IM78" t="e">
        <f>AND(Liste!#REF!,"AAAAAF93rfY=")</f>
        <v>#REF!</v>
      </c>
      <c r="IN78" t="e">
        <f>AND(Liste!#REF!,"AAAAAF93rfc=")</f>
        <v>#REF!</v>
      </c>
      <c r="IO78" t="e">
        <f>AND(Liste!#REF!,"AAAAAF93rfg=")</f>
        <v>#REF!</v>
      </c>
      <c r="IP78" t="e">
        <f>AND(Liste!#REF!,"AAAAAF93rfk=")</f>
        <v>#REF!</v>
      </c>
      <c r="IQ78" t="e">
        <f>AND(Liste!#REF!,"AAAAAF93rfo=")</f>
        <v>#REF!</v>
      </c>
      <c r="IR78" t="e">
        <f>AND(Liste!#REF!,"AAAAAF93rfs=")</f>
        <v>#REF!</v>
      </c>
      <c r="IS78">
        <f>IF(Liste!523:523,"AAAAAF93rfw=",0)</f>
        <v>0</v>
      </c>
      <c r="IT78" t="b">
        <f>AND(Liste!A523,"AAAAAF93rf0=")</f>
        <v>1</v>
      </c>
      <c r="IU78" t="e">
        <f>AND(Liste!#REF!,"AAAAAF93rf4=")</f>
        <v>#REF!</v>
      </c>
      <c r="IV78" t="e">
        <f>AND(Liste!#REF!,"AAAAAF93rf8=")</f>
        <v>#REF!</v>
      </c>
    </row>
    <row r="79" spans="1:256" x14ac:dyDescent="0.2">
      <c r="A79" t="e">
        <f>AND(Liste!#REF!,"AAAAADwj9gA=")</f>
        <v>#REF!</v>
      </c>
      <c r="B79" t="e">
        <f>AND(Liste!F523,"AAAAADwj9gE=")</f>
        <v>#VALUE!</v>
      </c>
      <c r="C79" t="e">
        <f>AND(Liste!G523,"AAAAADwj9gI=")</f>
        <v>#VALUE!</v>
      </c>
      <c r="D79" t="e">
        <f>AND(Liste!H523,"AAAAADwj9gM=")</f>
        <v>#VALUE!</v>
      </c>
      <c r="E79" t="e">
        <f>AND(Liste!I523,"AAAAADwj9gQ=")</f>
        <v>#VALUE!</v>
      </c>
      <c r="F79" t="e">
        <f>AND(Liste!J523,"AAAAADwj9gU=")</f>
        <v>#VALUE!</v>
      </c>
      <c r="G79" t="e">
        <f>AND(Liste!#REF!,"AAAAADwj9gY=")</f>
        <v>#REF!</v>
      </c>
      <c r="H79" t="e">
        <f>AND(Liste!#REF!,"AAAAADwj9gc=")</f>
        <v>#REF!</v>
      </c>
      <c r="I79" t="e">
        <f>AND(Liste!#REF!,"AAAAADwj9gg=")</f>
        <v>#REF!</v>
      </c>
      <c r="J79" t="e">
        <f>AND(Liste!#REF!,"AAAAADwj9gk=")</f>
        <v>#REF!</v>
      </c>
      <c r="K79" t="e">
        <f>AND(Liste!#REF!,"AAAAADwj9go=")</f>
        <v>#REF!</v>
      </c>
      <c r="L79" t="e">
        <f>AND(Liste!#REF!,"AAAAADwj9gs=")</f>
        <v>#REF!</v>
      </c>
      <c r="M79" t="e">
        <f>AND(Liste!#REF!,"AAAAADwj9gw=")</f>
        <v>#REF!</v>
      </c>
      <c r="N79" t="e">
        <f>AND(Liste!#REF!,"AAAAADwj9g0=")</f>
        <v>#REF!</v>
      </c>
      <c r="O79" t="e">
        <f>AND(Liste!#REF!,"AAAAADwj9g4=")</f>
        <v>#REF!</v>
      </c>
      <c r="P79" t="e">
        <f>AND(Liste!#REF!,"AAAAADwj9g8=")</f>
        <v>#REF!</v>
      </c>
      <c r="Q79" t="e">
        <f>AND(Liste!#REF!,"AAAAADwj9hA=")</f>
        <v>#REF!</v>
      </c>
      <c r="R79" t="e">
        <f>AND(Liste!#REF!,"AAAAADwj9hE=")</f>
        <v>#REF!</v>
      </c>
      <c r="S79" t="e">
        <f>AND(Liste!#REF!,"AAAAADwj9hI=")</f>
        <v>#REF!</v>
      </c>
      <c r="T79" t="e">
        <f>AND(Liste!#REF!,"AAAAADwj9hM=")</f>
        <v>#REF!</v>
      </c>
      <c r="U79" t="e">
        <f>AND(Liste!#REF!,"AAAAADwj9hQ=")</f>
        <v>#REF!</v>
      </c>
      <c r="V79" t="e">
        <f>AND(Liste!#REF!,"AAAAADwj9hU=")</f>
        <v>#REF!</v>
      </c>
      <c r="W79" t="e">
        <f>AND(Liste!#REF!,"AAAAADwj9hY=")</f>
        <v>#REF!</v>
      </c>
      <c r="X79" t="e">
        <f>AND(Liste!#REF!,"AAAAADwj9hc=")</f>
        <v>#REF!</v>
      </c>
      <c r="Y79" t="e">
        <f>AND(Liste!#REF!,"AAAAADwj9hg=")</f>
        <v>#REF!</v>
      </c>
      <c r="Z79" t="e">
        <f>AND(Liste!#REF!,"AAAAADwj9hk=")</f>
        <v>#REF!</v>
      </c>
      <c r="AA79" t="e">
        <f>AND(Liste!#REF!,"AAAAADwj9ho=")</f>
        <v>#REF!</v>
      </c>
      <c r="AB79">
        <f>IF(Liste!524:524,"AAAAADwj9hs=",0)</f>
        <v>0</v>
      </c>
      <c r="AC79" t="b">
        <f>AND(Liste!A524,"AAAAADwj9hw=")</f>
        <v>1</v>
      </c>
      <c r="AD79" t="e">
        <f>AND(Liste!#REF!,"AAAAADwj9h0=")</f>
        <v>#REF!</v>
      </c>
      <c r="AE79" t="e">
        <f>AND(Liste!#REF!,"AAAAADwj9h4=")</f>
        <v>#REF!</v>
      </c>
      <c r="AF79" t="e">
        <f>AND(Liste!#REF!,"AAAAADwj9h8=")</f>
        <v>#REF!</v>
      </c>
      <c r="AG79" t="e">
        <f>AND(Liste!F524,"AAAAADwj9iA=")</f>
        <v>#VALUE!</v>
      </c>
      <c r="AH79" t="e">
        <f>AND(Liste!G524,"AAAAADwj9iE=")</f>
        <v>#VALUE!</v>
      </c>
      <c r="AI79" t="e">
        <f>AND(Liste!H524,"AAAAADwj9iI=")</f>
        <v>#VALUE!</v>
      </c>
      <c r="AJ79" t="e">
        <f>AND(Liste!I524,"AAAAADwj9iM=")</f>
        <v>#VALUE!</v>
      </c>
      <c r="AK79" t="e">
        <f>AND(Liste!J524,"AAAAADwj9iQ=")</f>
        <v>#VALUE!</v>
      </c>
      <c r="AL79" t="e">
        <f>AND(Liste!#REF!,"AAAAADwj9iU=")</f>
        <v>#REF!</v>
      </c>
      <c r="AM79" t="e">
        <f>AND(Liste!#REF!,"AAAAADwj9iY=")</f>
        <v>#REF!</v>
      </c>
      <c r="AN79" t="e">
        <f>AND(Liste!#REF!,"AAAAADwj9ic=")</f>
        <v>#REF!</v>
      </c>
      <c r="AO79" t="e">
        <f>AND(Liste!#REF!,"AAAAADwj9ig=")</f>
        <v>#REF!</v>
      </c>
      <c r="AP79" t="e">
        <f>AND(Liste!#REF!,"AAAAADwj9ik=")</f>
        <v>#REF!</v>
      </c>
      <c r="AQ79" t="e">
        <f>AND(Liste!#REF!,"AAAAADwj9io=")</f>
        <v>#REF!</v>
      </c>
      <c r="AR79" t="e">
        <f>AND(Liste!#REF!,"AAAAADwj9is=")</f>
        <v>#REF!</v>
      </c>
      <c r="AS79" t="e">
        <f>AND(Liste!#REF!,"AAAAADwj9iw=")</f>
        <v>#REF!</v>
      </c>
      <c r="AT79" t="e">
        <f>AND(Liste!#REF!,"AAAAADwj9i0=")</f>
        <v>#REF!</v>
      </c>
      <c r="AU79" t="e">
        <f>AND(Liste!#REF!,"AAAAADwj9i4=")</f>
        <v>#REF!</v>
      </c>
      <c r="AV79" t="e">
        <f>AND(Liste!#REF!,"AAAAADwj9i8=")</f>
        <v>#REF!</v>
      </c>
      <c r="AW79" t="e">
        <f>AND(Liste!#REF!,"AAAAADwj9jA=")</f>
        <v>#REF!</v>
      </c>
      <c r="AX79" t="e">
        <f>AND(Liste!#REF!,"AAAAADwj9jE=")</f>
        <v>#REF!</v>
      </c>
      <c r="AY79" t="e">
        <f>AND(Liste!#REF!,"AAAAADwj9jI=")</f>
        <v>#REF!</v>
      </c>
      <c r="AZ79" t="e">
        <f>AND(Liste!#REF!,"AAAAADwj9jM=")</f>
        <v>#REF!</v>
      </c>
      <c r="BA79" t="e">
        <f>AND(Liste!#REF!,"AAAAADwj9jQ=")</f>
        <v>#REF!</v>
      </c>
      <c r="BB79" t="e">
        <f>AND(Liste!#REF!,"AAAAADwj9jU=")</f>
        <v>#REF!</v>
      </c>
      <c r="BC79" t="e">
        <f>AND(Liste!#REF!,"AAAAADwj9jY=")</f>
        <v>#REF!</v>
      </c>
      <c r="BD79" t="e">
        <f>AND(Liste!#REF!,"AAAAADwj9jc=")</f>
        <v>#REF!</v>
      </c>
      <c r="BE79" t="e">
        <f>AND(Liste!#REF!,"AAAAADwj9jg=")</f>
        <v>#REF!</v>
      </c>
      <c r="BF79" t="e">
        <f>AND(Liste!#REF!,"AAAAADwj9jk=")</f>
        <v>#REF!</v>
      </c>
      <c r="BG79">
        <f>IF(Liste!525:525,"AAAAADwj9jo=",0)</f>
        <v>0</v>
      </c>
      <c r="BH79" t="b">
        <f>AND(Liste!A525,"AAAAADwj9js=")</f>
        <v>1</v>
      </c>
      <c r="BI79" t="e">
        <f>AND(Liste!#REF!,"AAAAADwj9jw=")</f>
        <v>#REF!</v>
      </c>
      <c r="BJ79" t="e">
        <f>AND(Liste!#REF!,"AAAAADwj9j0=")</f>
        <v>#REF!</v>
      </c>
      <c r="BK79" t="e">
        <f>AND(Liste!#REF!,"AAAAADwj9j4=")</f>
        <v>#REF!</v>
      </c>
      <c r="BL79" t="e">
        <f>AND(Liste!F525,"AAAAADwj9j8=")</f>
        <v>#VALUE!</v>
      </c>
      <c r="BM79" t="e">
        <f>AND(Liste!G525,"AAAAADwj9kA=")</f>
        <v>#VALUE!</v>
      </c>
      <c r="BN79" t="e">
        <f>AND(Liste!H525,"AAAAADwj9kE=")</f>
        <v>#VALUE!</v>
      </c>
      <c r="BO79" t="e">
        <f>AND(Liste!I525,"AAAAADwj9kI=")</f>
        <v>#VALUE!</v>
      </c>
      <c r="BP79" t="e">
        <f>AND(Liste!J525,"AAAAADwj9kM=")</f>
        <v>#VALUE!</v>
      </c>
      <c r="BQ79" t="e">
        <f>AND(Liste!#REF!,"AAAAADwj9kQ=")</f>
        <v>#REF!</v>
      </c>
      <c r="BR79" t="e">
        <f>AND(Liste!#REF!,"AAAAADwj9kU=")</f>
        <v>#REF!</v>
      </c>
      <c r="BS79" t="e">
        <f>AND(Liste!#REF!,"AAAAADwj9kY=")</f>
        <v>#REF!</v>
      </c>
      <c r="BT79" t="e">
        <f>AND(Liste!#REF!,"AAAAADwj9kc=")</f>
        <v>#REF!</v>
      </c>
      <c r="BU79" t="e">
        <f>AND(Liste!#REF!,"AAAAADwj9kg=")</f>
        <v>#REF!</v>
      </c>
      <c r="BV79" t="e">
        <f>AND(Liste!#REF!,"AAAAADwj9kk=")</f>
        <v>#REF!</v>
      </c>
      <c r="BW79" t="e">
        <f>AND(Liste!#REF!,"AAAAADwj9ko=")</f>
        <v>#REF!</v>
      </c>
      <c r="BX79" t="e">
        <f>AND(Liste!#REF!,"AAAAADwj9ks=")</f>
        <v>#REF!</v>
      </c>
      <c r="BY79" t="e">
        <f>AND(Liste!#REF!,"AAAAADwj9kw=")</f>
        <v>#REF!</v>
      </c>
      <c r="BZ79" t="e">
        <f>AND(Liste!#REF!,"AAAAADwj9k0=")</f>
        <v>#REF!</v>
      </c>
      <c r="CA79" t="e">
        <f>AND(Liste!#REF!,"AAAAADwj9k4=")</f>
        <v>#REF!</v>
      </c>
      <c r="CB79" t="e">
        <f>AND(Liste!#REF!,"AAAAADwj9k8=")</f>
        <v>#REF!</v>
      </c>
      <c r="CC79" t="e">
        <f>AND(Liste!#REF!,"AAAAADwj9lA=")</f>
        <v>#REF!</v>
      </c>
      <c r="CD79" t="e">
        <f>AND(Liste!#REF!,"AAAAADwj9lE=")</f>
        <v>#REF!</v>
      </c>
      <c r="CE79" t="e">
        <f>AND(Liste!#REF!,"AAAAADwj9lI=")</f>
        <v>#REF!</v>
      </c>
      <c r="CF79" t="e">
        <f>AND(Liste!#REF!,"AAAAADwj9lM=")</f>
        <v>#REF!</v>
      </c>
      <c r="CG79" t="e">
        <f>AND(Liste!#REF!,"AAAAADwj9lQ=")</f>
        <v>#REF!</v>
      </c>
      <c r="CH79" t="e">
        <f>AND(Liste!#REF!,"AAAAADwj9lU=")</f>
        <v>#REF!</v>
      </c>
      <c r="CI79" t="e">
        <f>AND(Liste!#REF!,"AAAAADwj9lY=")</f>
        <v>#REF!</v>
      </c>
      <c r="CJ79" t="e">
        <f>AND(Liste!#REF!,"AAAAADwj9lc=")</f>
        <v>#REF!</v>
      </c>
      <c r="CK79" t="e">
        <f>AND(Liste!#REF!,"AAAAADwj9lg=")</f>
        <v>#REF!</v>
      </c>
      <c r="CL79">
        <f>IF(Liste!526:526,"AAAAADwj9lk=",0)</f>
        <v>0</v>
      </c>
      <c r="CM79" t="b">
        <f>AND(Liste!A526,"AAAAADwj9lo=")</f>
        <v>1</v>
      </c>
      <c r="CN79" t="e">
        <f>AND(Liste!#REF!,"AAAAADwj9ls=")</f>
        <v>#REF!</v>
      </c>
      <c r="CO79" t="e">
        <f>AND(Liste!#REF!,"AAAAADwj9lw=")</f>
        <v>#REF!</v>
      </c>
      <c r="CP79" t="e">
        <f>AND(Liste!#REF!,"AAAAADwj9l0=")</f>
        <v>#REF!</v>
      </c>
      <c r="CQ79" t="e">
        <f>AND(Liste!F526,"AAAAADwj9l4=")</f>
        <v>#VALUE!</v>
      </c>
      <c r="CR79" t="e">
        <f>AND(Liste!G526,"AAAAADwj9l8=")</f>
        <v>#VALUE!</v>
      </c>
      <c r="CS79" t="e">
        <f>AND(Liste!H526,"AAAAADwj9mA=")</f>
        <v>#VALUE!</v>
      </c>
      <c r="CT79" t="e">
        <f>AND(Liste!I526,"AAAAADwj9mE=")</f>
        <v>#VALUE!</v>
      </c>
      <c r="CU79" t="e">
        <f>AND(Liste!J526,"AAAAADwj9mI=")</f>
        <v>#VALUE!</v>
      </c>
      <c r="CV79" t="e">
        <f>AND(Liste!#REF!,"AAAAADwj9mM=")</f>
        <v>#REF!</v>
      </c>
      <c r="CW79" t="e">
        <f>AND(Liste!#REF!,"AAAAADwj9mQ=")</f>
        <v>#REF!</v>
      </c>
      <c r="CX79" t="e">
        <f>AND(Liste!#REF!,"AAAAADwj9mU=")</f>
        <v>#REF!</v>
      </c>
      <c r="CY79" t="e">
        <f>AND(Liste!#REF!,"AAAAADwj9mY=")</f>
        <v>#REF!</v>
      </c>
      <c r="CZ79" t="e">
        <f>AND(Liste!#REF!,"AAAAADwj9mc=")</f>
        <v>#REF!</v>
      </c>
      <c r="DA79" t="e">
        <f>AND(Liste!#REF!,"AAAAADwj9mg=")</f>
        <v>#REF!</v>
      </c>
      <c r="DB79" t="e">
        <f>AND(Liste!#REF!,"AAAAADwj9mk=")</f>
        <v>#REF!</v>
      </c>
      <c r="DC79" t="e">
        <f>AND(Liste!#REF!,"AAAAADwj9mo=")</f>
        <v>#REF!</v>
      </c>
      <c r="DD79" t="e">
        <f>AND(Liste!#REF!,"AAAAADwj9ms=")</f>
        <v>#REF!</v>
      </c>
      <c r="DE79" t="e">
        <f>AND(Liste!#REF!,"AAAAADwj9mw=")</f>
        <v>#REF!</v>
      </c>
      <c r="DF79" t="e">
        <f>AND(Liste!#REF!,"AAAAADwj9m0=")</f>
        <v>#REF!</v>
      </c>
      <c r="DG79" t="e">
        <f>AND(Liste!#REF!,"AAAAADwj9m4=")</f>
        <v>#REF!</v>
      </c>
      <c r="DH79" t="e">
        <f>AND(Liste!#REF!,"AAAAADwj9m8=")</f>
        <v>#REF!</v>
      </c>
      <c r="DI79" t="e">
        <f>AND(Liste!#REF!,"AAAAADwj9nA=")</f>
        <v>#REF!</v>
      </c>
      <c r="DJ79" t="e">
        <f>AND(Liste!#REF!,"AAAAADwj9nE=")</f>
        <v>#REF!</v>
      </c>
      <c r="DK79" t="e">
        <f>AND(Liste!#REF!,"AAAAADwj9nI=")</f>
        <v>#REF!</v>
      </c>
      <c r="DL79" t="e">
        <f>AND(Liste!#REF!,"AAAAADwj9nM=")</f>
        <v>#REF!</v>
      </c>
      <c r="DM79" t="e">
        <f>AND(Liste!#REF!,"AAAAADwj9nQ=")</f>
        <v>#REF!</v>
      </c>
      <c r="DN79" t="e">
        <f>AND(Liste!#REF!,"AAAAADwj9nU=")</f>
        <v>#REF!</v>
      </c>
      <c r="DO79" t="e">
        <f>AND(Liste!#REF!,"AAAAADwj9nY=")</f>
        <v>#REF!</v>
      </c>
      <c r="DP79" t="e">
        <f>AND(Liste!#REF!,"AAAAADwj9nc=")</f>
        <v>#REF!</v>
      </c>
      <c r="DQ79" t="e">
        <f>IF(Liste!#REF!,"AAAAADwj9ng=",0)</f>
        <v>#REF!</v>
      </c>
      <c r="DR79" t="e">
        <f>AND(Liste!#REF!,"AAAAADwj9nk=")</f>
        <v>#REF!</v>
      </c>
      <c r="DS79" t="e">
        <f>AND(Liste!#REF!,"AAAAADwj9no=")</f>
        <v>#REF!</v>
      </c>
      <c r="DT79" t="e">
        <f>AND(Liste!#REF!,"AAAAADwj9ns=")</f>
        <v>#REF!</v>
      </c>
      <c r="DU79" t="e">
        <f>AND(Liste!#REF!,"AAAAADwj9nw=")</f>
        <v>#REF!</v>
      </c>
      <c r="DV79" t="e">
        <f>AND(Liste!#REF!,"AAAAADwj9n0=")</f>
        <v>#REF!</v>
      </c>
      <c r="DW79" t="e">
        <f>AND(Liste!#REF!,"AAAAADwj9n4=")</f>
        <v>#REF!</v>
      </c>
      <c r="DX79" t="e">
        <f>AND(Liste!#REF!,"AAAAADwj9n8=")</f>
        <v>#REF!</v>
      </c>
      <c r="DY79" t="e">
        <f>AND(Liste!#REF!,"AAAAADwj9oA=")</f>
        <v>#REF!</v>
      </c>
      <c r="DZ79" t="e">
        <f>AND(Liste!#REF!,"AAAAADwj9oE=")</f>
        <v>#REF!</v>
      </c>
      <c r="EA79" t="e">
        <f>AND(Liste!#REF!,"AAAAADwj9oI=")</f>
        <v>#REF!</v>
      </c>
      <c r="EB79" t="e">
        <f>AND(Liste!#REF!,"AAAAADwj9oM=")</f>
        <v>#REF!</v>
      </c>
      <c r="EC79" t="e">
        <f>AND(Liste!#REF!,"AAAAADwj9oQ=")</f>
        <v>#REF!</v>
      </c>
      <c r="ED79" t="e">
        <f>AND(Liste!#REF!,"AAAAADwj9oU=")</f>
        <v>#REF!</v>
      </c>
      <c r="EE79" t="e">
        <f>AND(Liste!#REF!,"AAAAADwj9oY=")</f>
        <v>#REF!</v>
      </c>
      <c r="EF79" t="e">
        <f>AND(Liste!#REF!,"AAAAADwj9oc=")</f>
        <v>#REF!</v>
      </c>
      <c r="EG79" t="e">
        <f>AND(Liste!#REF!,"AAAAADwj9og=")</f>
        <v>#REF!</v>
      </c>
      <c r="EH79" t="e">
        <f>AND(Liste!#REF!,"AAAAADwj9ok=")</f>
        <v>#REF!</v>
      </c>
      <c r="EI79" t="e">
        <f>AND(Liste!#REF!,"AAAAADwj9oo=")</f>
        <v>#REF!</v>
      </c>
      <c r="EJ79" t="e">
        <f>AND(Liste!#REF!,"AAAAADwj9os=")</f>
        <v>#REF!</v>
      </c>
      <c r="EK79" t="e">
        <f>AND(Liste!#REF!,"AAAAADwj9ow=")</f>
        <v>#REF!</v>
      </c>
      <c r="EL79" t="e">
        <f>AND(Liste!#REF!,"AAAAADwj9o0=")</f>
        <v>#REF!</v>
      </c>
      <c r="EM79" t="e">
        <f>AND(Liste!#REF!,"AAAAADwj9o4=")</f>
        <v>#REF!</v>
      </c>
      <c r="EN79" t="e">
        <f>AND(Liste!#REF!,"AAAAADwj9o8=")</f>
        <v>#REF!</v>
      </c>
      <c r="EO79" t="e">
        <f>AND(Liste!#REF!,"AAAAADwj9pA=")</f>
        <v>#REF!</v>
      </c>
      <c r="EP79" t="e">
        <f>AND(Liste!#REF!,"AAAAADwj9pE=")</f>
        <v>#REF!</v>
      </c>
      <c r="EQ79" t="e">
        <f>AND(Liste!#REF!,"AAAAADwj9pI=")</f>
        <v>#REF!</v>
      </c>
      <c r="ER79" t="e">
        <f>AND(Liste!#REF!,"AAAAADwj9pM=")</f>
        <v>#REF!</v>
      </c>
      <c r="ES79" t="e">
        <f>AND(Liste!#REF!,"AAAAADwj9pQ=")</f>
        <v>#REF!</v>
      </c>
      <c r="ET79" t="e">
        <f>AND(Liste!#REF!,"AAAAADwj9pU=")</f>
        <v>#REF!</v>
      </c>
      <c r="EU79" t="e">
        <f>AND(Liste!#REF!,"AAAAADwj9pY=")</f>
        <v>#REF!</v>
      </c>
      <c r="EV79" t="e">
        <f>IF(Liste!#REF!,"AAAAADwj9pc=",0)</f>
        <v>#REF!</v>
      </c>
      <c r="EW79" t="e">
        <f>AND(Liste!#REF!,"AAAAADwj9pg=")</f>
        <v>#REF!</v>
      </c>
      <c r="EX79" t="e">
        <f>AND(Liste!#REF!,"AAAAADwj9pk=")</f>
        <v>#REF!</v>
      </c>
      <c r="EY79" t="e">
        <f>AND(Liste!#REF!,"AAAAADwj9po=")</f>
        <v>#REF!</v>
      </c>
      <c r="EZ79" t="e">
        <f>AND(Liste!#REF!,"AAAAADwj9ps=")</f>
        <v>#REF!</v>
      </c>
      <c r="FA79" t="e">
        <f>AND(Liste!#REF!,"AAAAADwj9pw=")</f>
        <v>#REF!</v>
      </c>
      <c r="FB79" t="e">
        <f>AND(Liste!#REF!,"AAAAADwj9p0=")</f>
        <v>#REF!</v>
      </c>
      <c r="FC79" t="e">
        <f>AND(Liste!#REF!,"AAAAADwj9p4=")</f>
        <v>#REF!</v>
      </c>
      <c r="FD79" t="e">
        <f>AND(Liste!#REF!,"AAAAADwj9p8=")</f>
        <v>#REF!</v>
      </c>
      <c r="FE79" t="e">
        <f>AND(Liste!#REF!,"AAAAADwj9qA=")</f>
        <v>#REF!</v>
      </c>
      <c r="FF79" t="e">
        <f>AND(Liste!#REF!,"AAAAADwj9qE=")</f>
        <v>#REF!</v>
      </c>
      <c r="FG79" t="e">
        <f>AND(Liste!#REF!,"AAAAADwj9qI=")</f>
        <v>#REF!</v>
      </c>
      <c r="FH79" t="e">
        <f>AND(Liste!#REF!,"AAAAADwj9qM=")</f>
        <v>#REF!</v>
      </c>
      <c r="FI79" t="e">
        <f>AND(Liste!#REF!,"AAAAADwj9qQ=")</f>
        <v>#REF!</v>
      </c>
      <c r="FJ79" t="e">
        <f>AND(Liste!#REF!,"AAAAADwj9qU=")</f>
        <v>#REF!</v>
      </c>
      <c r="FK79" t="e">
        <f>AND(Liste!#REF!,"AAAAADwj9qY=")</f>
        <v>#REF!</v>
      </c>
      <c r="FL79" t="e">
        <f>AND(Liste!#REF!,"AAAAADwj9qc=")</f>
        <v>#REF!</v>
      </c>
      <c r="FM79" t="e">
        <f>AND(Liste!#REF!,"AAAAADwj9qg=")</f>
        <v>#REF!</v>
      </c>
      <c r="FN79" t="e">
        <f>AND(Liste!#REF!,"AAAAADwj9qk=")</f>
        <v>#REF!</v>
      </c>
      <c r="FO79" t="e">
        <f>AND(Liste!#REF!,"AAAAADwj9qo=")</f>
        <v>#REF!</v>
      </c>
      <c r="FP79" t="e">
        <f>AND(Liste!#REF!,"AAAAADwj9qs=")</f>
        <v>#REF!</v>
      </c>
      <c r="FQ79" t="e">
        <f>AND(Liste!#REF!,"AAAAADwj9qw=")</f>
        <v>#REF!</v>
      </c>
      <c r="FR79" t="e">
        <f>AND(Liste!#REF!,"AAAAADwj9q0=")</f>
        <v>#REF!</v>
      </c>
      <c r="FS79" t="e">
        <f>AND(Liste!#REF!,"AAAAADwj9q4=")</f>
        <v>#REF!</v>
      </c>
      <c r="FT79" t="e">
        <f>AND(Liste!#REF!,"AAAAADwj9q8=")</f>
        <v>#REF!</v>
      </c>
      <c r="FU79" t="e">
        <f>AND(Liste!#REF!,"AAAAADwj9rA=")</f>
        <v>#REF!</v>
      </c>
      <c r="FV79" t="e">
        <f>AND(Liste!#REF!,"AAAAADwj9rE=")</f>
        <v>#REF!</v>
      </c>
      <c r="FW79" t="e">
        <f>AND(Liste!#REF!,"AAAAADwj9rI=")</f>
        <v>#REF!</v>
      </c>
      <c r="FX79" t="e">
        <f>AND(Liste!#REF!,"AAAAADwj9rM=")</f>
        <v>#REF!</v>
      </c>
      <c r="FY79" t="e">
        <f>AND(Liste!#REF!,"AAAAADwj9rQ=")</f>
        <v>#REF!</v>
      </c>
      <c r="FZ79" t="e">
        <f>AND(Liste!#REF!,"AAAAADwj9rU=")</f>
        <v>#REF!</v>
      </c>
      <c r="GA79" t="e">
        <f>IF(Liste!#REF!,"AAAAADwj9rY=",0)</f>
        <v>#REF!</v>
      </c>
      <c r="GB79" t="e">
        <f>AND(Liste!#REF!,"AAAAADwj9rc=")</f>
        <v>#REF!</v>
      </c>
      <c r="GC79" t="e">
        <f>AND(Liste!#REF!,"AAAAADwj9rg=")</f>
        <v>#REF!</v>
      </c>
      <c r="GD79" t="e">
        <f>AND(Liste!#REF!,"AAAAADwj9rk=")</f>
        <v>#REF!</v>
      </c>
      <c r="GE79" t="e">
        <f>AND(Liste!#REF!,"AAAAADwj9ro=")</f>
        <v>#REF!</v>
      </c>
      <c r="GF79" t="e">
        <f>AND(Liste!#REF!,"AAAAADwj9rs=")</f>
        <v>#REF!</v>
      </c>
      <c r="GG79" t="e">
        <f>AND(Liste!#REF!,"AAAAADwj9rw=")</f>
        <v>#REF!</v>
      </c>
      <c r="GH79" t="e">
        <f>AND(Liste!#REF!,"AAAAADwj9r0=")</f>
        <v>#REF!</v>
      </c>
      <c r="GI79" t="e">
        <f>AND(Liste!#REF!,"AAAAADwj9r4=")</f>
        <v>#REF!</v>
      </c>
      <c r="GJ79" t="e">
        <f>AND(Liste!#REF!,"AAAAADwj9r8=")</f>
        <v>#REF!</v>
      </c>
      <c r="GK79" t="e">
        <f>AND(Liste!#REF!,"AAAAADwj9sA=")</f>
        <v>#REF!</v>
      </c>
      <c r="GL79" t="e">
        <f>AND(Liste!#REF!,"AAAAADwj9sE=")</f>
        <v>#REF!</v>
      </c>
      <c r="GM79" t="e">
        <f>AND(Liste!#REF!,"AAAAADwj9sI=")</f>
        <v>#REF!</v>
      </c>
      <c r="GN79" t="e">
        <f>AND(Liste!#REF!,"AAAAADwj9sM=")</f>
        <v>#REF!</v>
      </c>
      <c r="GO79" t="e">
        <f>AND(Liste!#REF!,"AAAAADwj9sQ=")</f>
        <v>#REF!</v>
      </c>
      <c r="GP79" t="e">
        <f>AND(Liste!#REF!,"AAAAADwj9sU=")</f>
        <v>#REF!</v>
      </c>
      <c r="GQ79" t="e">
        <f>AND(Liste!#REF!,"AAAAADwj9sY=")</f>
        <v>#REF!</v>
      </c>
      <c r="GR79" t="e">
        <f>AND(Liste!#REF!,"AAAAADwj9sc=")</f>
        <v>#REF!</v>
      </c>
      <c r="GS79" t="e">
        <f>AND(Liste!#REF!,"AAAAADwj9sg=")</f>
        <v>#REF!</v>
      </c>
      <c r="GT79" t="e">
        <f>AND(Liste!#REF!,"AAAAADwj9sk=")</f>
        <v>#REF!</v>
      </c>
      <c r="GU79" t="e">
        <f>AND(Liste!#REF!,"AAAAADwj9so=")</f>
        <v>#REF!</v>
      </c>
      <c r="GV79" t="e">
        <f>AND(Liste!#REF!,"AAAAADwj9ss=")</f>
        <v>#REF!</v>
      </c>
      <c r="GW79" t="e">
        <f>AND(Liste!#REF!,"AAAAADwj9sw=")</f>
        <v>#REF!</v>
      </c>
      <c r="GX79" t="e">
        <f>AND(Liste!#REF!,"AAAAADwj9s0=")</f>
        <v>#REF!</v>
      </c>
      <c r="GY79" t="e">
        <f>AND(Liste!#REF!,"AAAAADwj9s4=")</f>
        <v>#REF!</v>
      </c>
      <c r="GZ79" t="e">
        <f>AND(Liste!#REF!,"AAAAADwj9s8=")</f>
        <v>#REF!</v>
      </c>
      <c r="HA79" t="e">
        <f>AND(Liste!#REF!,"AAAAADwj9tA=")</f>
        <v>#REF!</v>
      </c>
      <c r="HB79" t="e">
        <f>AND(Liste!#REF!,"AAAAADwj9tE=")</f>
        <v>#REF!</v>
      </c>
      <c r="HC79" t="e">
        <f>AND(Liste!#REF!,"AAAAADwj9tI=")</f>
        <v>#REF!</v>
      </c>
      <c r="HD79" t="e">
        <f>AND(Liste!#REF!,"AAAAADwj9tM=")</f>
        <v>#REF!</v>
      </c>
      <c r="HE79" t="e">
        <f>AND(Liste!#REF!,"AAAAADwj9tQ=")</f>
        <v>#REF!</v>
      </c>
      <c r="HF79" t="e">
        <f>IF(Liste!#REF!,"AAAAADwj9tU=",0)</f>
        <v>#REF!</v>
      </c>
      <c r="HG79" t="e">
        <f>AND(Liste!#REF!,"AAAAADwj9tY=")</f>
        <v>#REF!</v>
      </c>
      <c r="HH79" t="e">
        <f>AND(Liste!#REF!,"AAAAADwj9tc=")</f>
        <v>#REF!</v>
      </c>
      <c r="HI79" t="e">
        <f>AND(Liste!#REF!,"AAAAADwj9tg=")</f>
        <v>#REF!</v>
      </c>
      <c r="HJ79" t="e">
        <f>AND(Liste!#REF!,"AAAAADwj9tk=")</f>
        <v>#REF!</v>
      </c>
      <c r="HK79" t="e">
        <f>AND(Liste!#REF!,"AAAAADwj9to=")</f>
        <v>#REF!</v>
      </c>
      <c r="HL79" t="e">
        <f>AND(Liste!#REF!,"AAAAADwj9ts=")</f>
        <v>#REF!</v>
      </c>
      <c r="HM79" t="e">
        <f>AND(Liste!#REF!,"AAAAADwj9tw=")</f>
        <v>#REF!</v>
      </c>
      <c r="HN79" t="e">
        <f>AND(Liste!#REF!,"AAAAADwj9t0=")</f>
        <v>#REF!</v>
      </c>
      <c r="HO79" t="e">
        <f>AND(Liste!#REF!,"AAAAADwj9t4=")</f>
        <v>#REF!</v>
      </c>
      <c r="HP79" t="e">
        <f>AND(Liste!#REF!,"AAAAADwj9t8=")</f>
        <v>#REF!</v>
      </c>
      <c r="HQ79" t="e">
        <f>AND(Liste!#REF!,"AAAAADwj9uA=")</f>
        <v>#REF!</v>
      </c>
      <c r="HR79" t="e">
        <f>AND(Liste!#REF!,"AAAAADwj9uE=")</f>
        <v>#REF!</v>
      </c>
      <c r="HS79" t="e">
        <f>AND(Liste!#REF!,"AAAAADwj9uI=")</f>
        <v>#REF!</v>
      </c>
      <c r="HT79" t="e">
        <f>AND(Liste!#REF!,"AAAAADwj9uM=")</f>
        <v>#REF!</v>
      </c>
      <c r="HU79" t="e">
        <f>AND(Liste!#REF!,"AAAAADwj9uQ=")</f>
        <v>#REF!</v>
      </c>
      <c r="HV79" t="e">
        <f>AND(Liste!#REF!,"AAAAADwj9uU=")</f>
        <v>#REF!</v>
      </c>
      <c r="HW79" t="e">
        <f>AND(Liste!#REF!,"AAAAADwj9uY=")</f>
        <v>#REF!</v>
      </c>
      <c r="HX79" t="e">
        <f>AND(Liste!#REF!,"AAAAADwj9uc=")</f>
        <v>#REF!</v>
      </c>
      <c r="HY79" t="e">
        <f>AND(Liste!#REF!,"AAAAADwj9ug=")</f>
        <v>#REF!</v>
      </c>
      <c r="HZ79" t="e">
        <f>AND(Liste!#REF!,"AAAAADwj9uk=")</f>
        <v>#REF!</v>
      </c>
      <c r="IA79" t="e">
        <f>AND(Liste!#REF!,"AAAAADwj9uo=")</f>
        <v>#REF!</v>
      </c>
      <c r="IB79" t="e">
        <f>AND(Liste!#REF!,"AAAAADwj9us=")</f>
        <v>#REF!</v>
      </c>
      <c r="IC79" t="e">
        <f>AND(Liste!#REF!,"AAAAADwj9uw=")</f>
        <v>#REF!</v>
      </c>
      <c r="ID79" t="e">
        <f>AND(Liste!#REF!,"AAAAADwj9u0=")</f>
        <v>#REF!</v>
      </c>
      <c r="IE79" t="e">
        <f>AND(Liste!#REF!,"AAAAADwj9u4=")</f>
        <v>#REF!</v>
      </c>
      <c r="IF79" t="e">
        <f>AND(Liste!#REF!,"AAAAADwj9u8=")</f>
        <v>#REF!</v>
      </c>
      <c r="IG79" t="e">
        <f>AND(Liste!#REF!,"AAAAADwj9vA=")</f>
        <v>#REF!</v>
      </c>
      <c r="IH79" t="e">
        <f>AND(Liste!#REF!,"AAAAADwj9vE=")</f>
        <v>#REF!</v>
      </c>
      <c r="II79" t="e">
        <f>AND(Liste!#REF!,"AAAAADwj9vI=")</f>
        <v>#REF!</v>
      </c>
      <c r="IJ79" t="e">
        <f>AND(Liste!#REF!,"AAAAADwj9vM=")</f>
        <v>#REF!</v>
      </c>
      <c r="IK79" t="e">
        <f>IF(Liste!#REF!,"AAAAADwj9vQ=",0)</f>
        <v>#REF!</v>
      </c>
      <c r="IL79" t="e">
        <f>AND(Liste!#REF!,"AAAAADwj9vU=")</f>
        <v>#REF!</v>
      </c>
      <c r="IM79" t="e">
        <f>AND(Liste!#REF!,"AAAAADwj9vY=")</f>
        <v>#REF!</v>
      </c>
      <c r="IN79" t="e">
        <f>AND(Liste!#REF!,"AAAAADwj9vc=")</f>
        <v>#REF!</v>
      </c>
      <c r="IO79" t="e">
        <f>AND(Liste!#REF!,"AAAAADwj9vg=")</f>
        <v>#REF!</v>
      </c>
      <c r="IP79" t="e">
        <f>AND(Liste!#REF!,"AAAAADwj9vk=")</f>
        <v>#REF!</v>
      </c>
      <c r="IQ79" t="e">
        <f>AND(Liste!#REF!,"AAAAADwj9vo=")</f>
        <v>#REF!</v>
      </c>
      <c r="IR79" t="e">
        <f>AND(Liste!#REF!,"AAAAADwj9vs=")</f>
        <v>#REF!</v>
      </c>
      <c r="IS79" t="e">
        <f>AND(Liste!#REF!,"AAAAADwj9vw=")</f>
        <v>#REF!</v>
      </c>
      <c r="IT79" t="e">
        <f>AND(Liste!#REF!,"AAAAADwj9v0=")</f>
        <v>#REF!</v>
      </c>
      <c r="IU79" t="e">
        <f>AND(Liste!#REF!,"AAAAADwj9v4=")</f>
        <v>#REF!</v>
      </c>
      <c r="IV79" t="e">
        <f>AND(Liste!#REF!,"AAAAADwj9v8=")</f>
        <v>#REF!</v>
      </c>
    </row>
    <row r="80" spans="1:256" x14ac:dyDescent="0.2">
      <c r="A80" t="e">
        <f>AND(Liste!#REF!,"AAAAAC/m6wA=")</f>
        <v>#REF!</v>
      </c>
      <c r="B80" t="e">
        <f>AND(Liste!#REF!,"AAAAAC/m6wE=")</f>
        <v>#REF!</v>
      </c>
      <c r="C80" t="e">
        <f>AND(Liste!#REF!,"AAAAAC/m6wI=")</f>
        <v>#REF!</v>
      </c>
      <c r="D80" t="e">
        <f>AND(Liste!#REF!,"AAAAAC/m6wM=")</f>
        <v>#REF!</v>
      </c>
      <c r="E80" t="e">
        <f>AND(Liste!#REF!,"AAAAAC/m6wQ=")</f>
        <v>#REF!</v>
      </c>
      <c r="F80" t="e">
        <f>AND(Liste!#REF!,"AAAAAC/m6wU=")</f>
        <v>#REF!</v>
      </c>
      <c r="G80" t="e">
        <f>AND(Liste!#REF!,"AAAAAC/m6wY=")</f>
        <v>#REF!</v>
      </c>
      <c r="H80" t="e">
        <f>AND(Liste!#REF!,"AAAAAC/m6wc=")</f>
        <v>#REF!</v>
      </c>
      <c r="I80" t="e">
        <f>AND(Liste!#REF!,"AAAAAC/m6wg=")</f>
        <v>#REF!</v>
      </c>
      <c r="J80" t="e">
        <f>AND(Liste!#REF!,"AAAAAC/m6wk=")</f>
        <v>#REF!</v>
      </c>
      <c r="K80" t="e">
        <f>AND(Liste!#REF!,"AAAAAC/m6wo=")</f>
        <v>#REF!</v>
      </c>
      <c r="L80" t="e">
        <f>AND(Liste!#REF!,"AAAAAC/m6ws=")</f>
        <v>#REF!</v>
      </c>
      <c r="M80" t="e">
        <f>AND(Liste!#REF!,"AAAAAC/m6ww=")</f>
        <v>#REF!</v>
      </c>
      <c r="N80" t="e">
        <f>AND(Liste!#REF!,"AAAAAC/m6w0=")</f>
        <v>#REF!</v>
      </c>
      <c r="O80" t="e">
        <f>AND(Liste!#REF!,"AAAAAC/m6w4=")</f>
        <v>#REF!</v>
      </c>
      <c r="P80" t="e">
        <f>AND(Liste!#REF!,"AAAAAC/m6w8=")</f>
        <v>#REF!</v>
      </c>
      <c r="Q80" t="e">
        <f>AND(Liste!#REF!,"AAAAAC/m6xA=")</f>
        <v>#REF!</v>
      </c>
      <c r="R80" t="e">
        <f>AND(Liste!#REF!,"AAAAAC/m6xE=")</f>
        <v>#REF!</v>
      </c>
      <c r="S80" t="e">
        <f>AND(Liste!#REF!,"AAAAAC/m6xI=")</f>
        <v>#REF!</v>
      </c>
      <c r="T80" t="e">
        <f>IF(Liste!#REF!,"AAAAAC/m6xM=",0)</f>
        <v>#REF!</v>
      </c>
      <c r="U80" t="e">
        <f>AND(Liste!#REF!,"AAAAAC/m6xQ=")</f>
        <v>#REF!</v>
      </c>
      <c r="V80" t="e">
        <f>AND(Liste!#REF!,"AAAAAC/m6xU=")</f>
        <v>#REF!</v>
      </c>
      <c r="W80" t="e">
        <f>AND(Liste!#REF!,"AAAAAC/m6xY=")</f>
        <v>#REF!</v>
      </c>
      <c r="X80" t="e">
        <f>AND(Liste!#REF!,"AAAAAC/m6xc=")</f>
        <v>#REF!</v>
      </c>
      <c r="Y80" t="e">
        <f>AND(Liste!#REF!,"AAAAAC/m6xg=")</f>
        <v>#REF!</v>
      </c>
      <c r="Z80" t="e">
        <f>AND(Liste!#REF!,"AAAAAC/m6xk=")</f>
        <v>#REF!</v>
      </c>
      <c r="AA80" t="e">
        <f>AND(Liste!#REF!,"AAAAAC/m6xo=")</f>
        <v>#REF!</v>
      </c>
      <c r="AB80" t="e">
        <f>AND(Liste!#REF!,"AAAAAC/m6xs=")</f>
        <v>#REF!</v>
      </c>
      <c r="AC80" t="e">
        <f>AND(Liste!#REF!,"AAAAAC/m6xw=")</f>
        <v>#REF!</v>
      </c>
      <c r="AD80" t="e">
        <f>AND(Liste!#REF!,"AAAAAC/m6x0=")</f>
        <v>#REF!</v>
      </c>
      <c r="AE80" t="e">
        <f>AND(Liste!#REF!,"AAAAAC/m6x4=")</f>
        <v>#REF!</v>
      </c>
      <c r="AF80" t="e">
        <f>AND(Liste!#REF!,"AAAAAC/m6x8=")</f>
        <v>#REF!</v>
      </c>
      <c r="AG80" t="e">
        <f>AND(Liste!#REF!,"AAAAAC/m6yA=")</f>
        <v>#REF!</v>
      </c>
      <c r="AH80" t="e">
        <f>AND(Liste!#REF!,"AAAAAC/m6yE=")</f>
        <v>#REF!</v>
      </c>
      <c r="AI80" t="e">
        <f>AND(Liste!#REF!,"AAAAAC/m6yI=")</f>
        <v>#REF!</v>
      </c>
      <c r="AJ80" t="e">
        <f>AND(Liste!#REF!,"AAAAAC/m6yM=")</f>
        <v>#REF!</v>
      </c>
      <c r="AK80" t="e">
        <f>AND(Liste!#REF!,"AAAAAC/m6yQ=")</f>
        <v>#REF!</v>
      </c>
      <c r="AL80" t="e">
        <f>AND(Liste!#REF!,"AAAAAC/m6yU=")</f>
        <v>#REF!</v>
      </c>
      <c r="AM80" t="e">
        <f>AND(Liste!#REF!,"AAAAAC/m6yY=")</f>
        <v>#REF!</v>
      </c>
      <c r="AN80" t="e">
        <f>AND(Liste!#REF!,"AAAAAC/m6yc=")</f>
        <v>#REF!</v>
      </c>
      <c r="AO80" t="e">
        <f>AND(Liste!#REF!,"AAAAAC/m6yg=")</f>
        <v>#REF!</v>
      </c>
      <c r="AP80" t="e">
        <f>AND(Liste!#REF!,"AAAAAC/m6yk=")</f>
        <v>#REF!</v>
      </c>
      <c r="AQ80" t="e">
        <f>AND(Liste!#REF!,"AAAAAC/m6yo=")</f>
        <v>#REF!</v>
      </c>
      <c r="AR80" t="e">
        <f>AND(Liste!#REF!,"AAAAAC/m6ys=")</f>
        <v>#REF!</v>
      </c>
      <c r="AS80" t="e">
        <f>AND(Liste!#REF!,"AAAAAC/m6yw=")</f>
        <v>#REF!</v>
      </c>
      <c r="AT80" t="e">
        <f>AND(Liste!#REF!,"AAAAAC/m6y0=")</f>
        <v>#REF!</v>
      </c>
      <c r="AU80" t="e">
        <f>AND(Liste!#REF!,"AAAAAC/m6y4=")</f>
        <v>#REF!</v>
      </c>
      <c r="AV80" t="e">
        <f>AND(Liste!#REF!,"AAAAAC/m6y8=")</f>
        <v>#REF!</v>
      </c>
      <c r="AW80" t="e">
        <f>AND(Liste!#REF!,"AAAAAC/m6zA=")</f>
        <v>#REF!</v>
      </c>
      <c r="AX80" t="e">
        <f>AND(Liste!#REF!,"AAAAAC/m6zE=")</f>
        <v>#REF!</v>
      </c>
      <c r="AY80" t="e">
        <f>IF(Liste!#REF!,"AAAAAC/m6zI=",0)</f>
        <v>#REF!</v>
      </c>
      <c r="AZ80" t="e">
        <f>AND(Liste!#REF!,"AAAAAC/m6zM=")</f>
        <v>#REF!</v>
      </c>
      <c r="BA80" t="e">
        <f>AND(Liste!#REF!,"AAAAAC/m6zQ=")</f>
        <v>#REF!</v>
      </c>
      <c r="BB80" t="e">
        <f>AND(Liste!#REF!,"AAAAAC/m6zU=")</f>
        <v>#REF!</v>
      </c>
      <c r="BC80" t="e">
        <f>AND(Liste!#REF!,"AAAAAC/m6zY=")</f>
        <v>#REF!</v>
      </c>
      <c r="BD80" t="e">
        <f>AND(Liste!#REF!,"AAAAAC/m6zc=")</f>
        <v>#REF!</v>
      </c>
      <c r="BE80" t="e">
        <f>AND(Liste!#REF!,"AAAAAC/m6zg=")</f>
        <v>#REF!</v>
      </c>
      <c r="BF80" t="e">
        <f>AND(Liste!#REF!,"AAAAAC/m6zk=")</f>
        <v>#REF!</v>
      </c>
      <c r="BG80" t="e">
        <f>AND(Liste!#REF!,"AAAAAC/m6zo=")</f>
        <v>#REF!</v>
      </c>
      <c r="BH80" t="e">
        <f>AND(Liste!#REF!,"AAAAAC/m6zs=")</f>
        <v>#REF!</v>
      </c>
      <c r="BI80" t="e">
        <f>AND(Liste!#REF!,"AAAAAC/m6zw=")</f>
        <v>#REF!</v>
      </c>
      <c r="BJ80" t="e">
        <f>AND(Liste!#REF!,"AAAAAC/m6z0=")</f>
        <v>#REF!</v>
      </c>
      <c r="BK80" t="e">
        <f>AND(Liste!#REF!,"AAAAAC/m6z4=")</f>
        <v>#REF!</v>
      </c>
      <c r="BL80" t="e">
        <f>AND(Liste!#REF!,"AAAAAC/m6z8=")</f>
        <v>#REF!</v>
      </c>
      <c r="BM80" t="e">
        <f>AND(Liste!#REF!,"AAAAAC/m60A=")</f>
        <v>#REF!</v>
      </c>
      <c r="BN80" t="e">
        <f>AND(Liste!#REF!,"AAAAAC/m60E=")</f>
        <v>#REF!</v>
      </c>
      <c r="BO80" t="e">
        <f>AND(Liste!#REF!,"AAAAAC/m60I=")</f>
        <v>#REF!</v>
      </c>
      <c r="BP80" t="e">
        <f>AND(Liste!#REF!,"AAAAAC/m60M=")</f>
        <v>#REF!</v>
      </c>
      <c r="BQ80" t="e">
        <f>AND(Liste!#REF!,"AAAAAC/m60Q=")</f>
        <v>#REF!</v>
      </c>
      <c r="BR80" t="e">
        <f>AND(Liste!#REF!,"AAAAAC/m60U=")</f>
        <v>#REF!</v>
      </c>
      <c r="BS80" t="e">
        <f>AND(Liste!#REF!,"AAAAAC/m60Y=")</f>
        <v>#REF!</v>
      </c>
      <c r="BT80" t="e">
        <f>AND(Liste!#REF!,"AAAAAC/m60c=")</f>
        <v>#REF!</v>
      </c>
      <c r="BU80" t="e">
        <f>AND(Liste!#REF!,"AAAAAC/m60g=")</f>
        <v>#REF!</v>
      </c>
      <c r="BV80" t="e">
        <f>AND(Liste!#REF!,"AAAAAC/m60k=")</f>
        <v>#REF!</v>
      </c>
      <c r="BW80" t="e">
        <f>AND(Liste!#REF!,"AAAAAC/m60o=")</f>
        <v>#REF!</v>
      </c>
      <c r="BX80" t="e">
        <f>AND(Liste!#REF!,"AAAAAC/m60s=")</f>
        <v>#REF!</v>
      </c>
      <c r="BY80" t="e">
        <f>AND(Liste!#REF!,"AAAAAC/m60w=")</f>
        <v>#REF!</v>
      </c>
      <c r="BZ80" t="e">
        <f>AND(Liste!#REF!,"AAAAAC/m600=")</f>
        <v>#REF!</v>
      </c>
      <c r="CA80" t="e">
        <f>AND(Liste!#REF!,"AAAAAC/m604=")</f>
        <v>#REF!</v>
      </c>
      <c r="CB80" t="e">
        <f>AND(Liste!#REF!,"AAAAAC/m608=")</f>
        <v>#REF!</v>
      </c>
      <c r="CC80" t="e">
        <f>AND(Liste!#REF!,"AAAAAC/m61A=")</f>
        <v>#REF!</v>
      </c>
      <c r="CD80" t="e">
        <f>IF(Liste!#REF!,"AAAAAC/m61E=",0)</f>
        <v>#REF!</v>
      </c>
      <c r="CE80" t="e">
        <f>AND(Liste!#REF!,"AAAAAC/m61I=")</f>
        <v>#REF!</v>
      </c>
      <c r="CF80" t="e">
        <f>AND(Liste!#REF!,"AAAAAC/m61M=")</f>
        <v>#REF!</v>
      </c>
      <c r="CG80" t="e">
        <f>AND(Liste!#REF!,"AAAAAC/m61Q=")</f>
        <v>#REF!</v>
      </c>
      <c r="CH80" t="e">
        <f>AND(Liste!#REF!,"AAAAAC/m61U=")</f>
        <v>#REF!</v>
      </c>
      <c r="CI80" t="e">
        <f>AND(Liste!#REF!,"AAAAAC/m61Y=")</f>
        <v>#REF!</v>
      </c>
      <c r="CJ80" t="e">
        <f>AND(Liste!#REF!,"AAAAAC/m61c=")</f>
        <v>#REF!</v>
      </c>
      <c r="CK80" t="e">
        <f>AND(Liste!#REF!,"AAAAAC/m61g=")</f>
        <v>#REF!</v>
      </c>
      <c r="CL80" t="e">
        <f>AND(Liste!#REF!,"AAAAAC/m61k=")</f>
        <v>#REF!</v>
      </c>
      <c r="CM80" t="e">
        <f>AND(Liste!#REF!,"AAAAAC/m61o=")</f>
        <v>#REF!</v>
      </c>
      <c r="CN80" t="e">
        <f>AND(Liste!#REF!,"AAAAAC/m61s=")</f>
        <v>#REF!</v>
      </c>
      <c r="CO80" t="e">
        <f>AND(Liste!#REF!,"AAAAAC/m61w=")</f>
        <v>#REF!</v>
      </c>
      <c r="CP80" t="e">
        <f>AND(Liste!#REF!,"AAAAAC/m610=")</f>
        <v>#REF!</v>
      </c>
      <c r="CQ80" t="e">
        <f>AND(Liste!#REF!,"AAAAAC/m614=")</f>
        <v>#REF!</v>
      </c>
      <c r="CR80" t="e">
        <f>AND(Liste!#REF!,"AAAAAC/m618=")</f>
        <v>#REF!</v>
      </c>
      <c r="CS80" t="e">
        <f>AND(Liste!#REF!,"AAAAAC/m62A=")</f>
        <v>#REF!</v>
      </c>
      <c r="CT80" t="e">
        <f>AND(Liste!#REF!,"AAAAAC/m62E=")</f>
        <v>#REF!</v>
      </c>
      <c r="CU80" t="e">
        <f>AND(Liste!#REF!,"AAAAAC/m62I=")</f>
        <v>#REF!</v>
      </c>
      <c r="CV80" t="e">
        <f>AND(Liste!#REF!,"AAAAAC/m62M=")</f>
        <v>#REF!</v>
      </c>
      <c r="CW80" t="e">
        <f>AND(Liste!#REF!,"AAAAAC/m62Q=")</f>
        <v>#REF!</v>
      </c>
      <c r="CX80" t="e">
        <f>AND(Liste!#REF!,"AAAAAC/m62U=")</f>
        <v>#REF!</v>
      </c>
      <c r="CY80" t="e">
        <f>AND(Liste!#REF!,"AAAAAC/m62Y=")</f>
        <v>#REF!</v>
      </c>
      <c r="CZ80" t="e">
        <f>AND(Liste!#REF!,"AAAAAC/m62c=")</f>
        <v>#REF!</v>
      </c>
      <c r="DA80" t="e">
        <f>AND(Liste!#REF!,"AAAAAC/m62g=")</f>
        <v>#REF!</v>
      </c>
      <c r="DB80" t="e">
        <f>AND(Liste!#REF!,"AAAAAC/m62k=")</f>
        <v>#REF!</v>
      </c>
      <c r="DC80" t="e">
        <f>AND(Liste!#REF!,"AAAAAC/m62o=")</f>
        <v>#REF!</v>
      </c>
      <c r="DD80" t="e">
        <f>AND(Liste!#REF!,"AAAAAC/m62s=")</f>
        <v>#REF!</v>
      </c>
      <c r="DE80" t="e">
        <f>AND(Liste!#REF!,"AAAAAC/m62w=")</f>
        <v>#REF!</v>
      </c>
      <c r="DF80" t="e">
        <f>AND(Liste!#REF!,"AAAAAC/m620=")</f>
        <v>#REF!</v>
      </c>
      <c r="DG80" t="e">
        <f>AND(Liste!#REF!,"AAAAAC/m624=")</f>
        <v>#REF!</v>
      </c>
      <c r="DH80" t="e">
        <f>AND(Liste!#REF!,"AAAAAC/m628=")</f>
        <v>#REF!</v>
      </c>
      <c r="DI80" t="e">
        <f>IF(Liste!#REF!,"AAAAAC/m63A=",0)</f>
        <v>#REF!</v>
      </c>
      <c r="DJ80" t="e">
        <f>AND(Liste!#REF!,"AAAAAC/m63E=")</f>
        <v>#REF!</v>
      </c>
      <c r="DK80" t="e">
        <f>AND(Liste!#REF!,"AAAAAC/m63I=")</f>
        <v>#REF!</v>
      </c>
      <c r="DL80" t="e">
        <f>AND(Liste!#REF!,"AAAAAC/m63M=")</f>
        <v>#REF!</v>
      </c>
      <c r="DM80" t="e">
        <f>AND(Liste!#REF!,"AAAAAC/m63Q=")</f>
        <v>#REF!</v>
      </c>
      <c r="DN80" t="e">
        <f>AND(Liste!#REF!,"AAAAAC/m63U=")</f>
        <v>#REF!</v>
      </c>
      <c r="DO80" t="e">
        <f>AND(Liste!#REF!,"AAAAAC/m63Y=")</f>
        <v>#REF!</v>
      </c>
      <c r="DP80" t="e">
        <f>AND(Liste!#REF!,"AAAAAC/m63c=")</f>
        <v>#REF!</v>
      </c>
      <c r="DQ80" t="e">
        <f>AND(Liste!#REF!,"AAAAAC/m63g=")</f>
        <v>#REF!</v>
      </c>
      <c r="DR80" t="e">
        <f>AND(Liste!#REF!,"AAAAAC/m63k=")</f>
        <v>#REF!</v>
      </c>
      <c r="DS80" t="e">
        <f>AND(Liste!#REF!,"AAAAAC/m63o=")</f>
        <v>#REF!</v>
      </c>
      <c r="DT80" t="e">
        <f>AND(Liste!#REF!,"AAAAAC/m63s=")</f>
        <v>#REF!</v>
      </c>
      <c r="DU80" t="e">
        <f>AND(Liste!#REF!,"AAAAAC/m63w=")</f>
        <v>#REF!</v>
      </c>
      <c r="DV80" t="e">
        <f>AND(Liste!#REF!,"AAAAAC/m630=")</f>
        <v>#REF!</v>
      </c>
      <c r="DW80" t="e">
        <f>AND(Liste!#REF!,"AAAAAC/m634=")</f>
        <v>#REF!</v>
      </c>
      <c r="DX80" t="e">
        <f>AND(Liste!#REF!,"AAAAAC/m638=")</f>
        <v>#REF!</v>
      </c>
      <c r="DY80" t="e">
        <f>AND(Liste!#REF!,"AAAAAC/m64A=")</f>
        <v>#REF!</v>
      </c>
      <c r="DZ80" t="e">
        <f>AND(Liste!#REF!,"AAAAAC/m64E=")</f>
        <v>#REF!</v>
      </c>
      <c r="EA80" t="e">
        <f>AND(Liste!#REF!,"AAAAAC/m64I=")</f>
        <v>#REF!</v>
      </c>
      <c r="EB80" t="e">
        <f>AND(Liste!#REF!,"AAAAAC/m64M=")</f>
        <v>#REF!</v>
      </c>
      <c r="EC80" t="e">
        <f>AND(Liste!#REF!,"AAAAAC/m64Q=")</f>
        <v>#REF!</v>
      </c>
      <c r="ED80" t="e">
        <f>AND(Liste!#REF!,"AAAAAC/m64U=")</f>
        <v>#REF!</v>
      </c>
      <c r="EE80" t="e">
        <f>AND(Liste!#REF!,"AAAAAC/m64Y=")</f>
        <v>#REF!</v>
      </c>
      <c r="EF80" t="e">
        <f>AND(Liste!#REF!,"AAAAAC/m64c=")</f>
        <v>#REF!</v>
      </c>
      <c r="EG80" t="e">
        <f>AND(Liste!#REF!,"AAAAAC/m64g=")</f>
        <v>#REF!</v>
      </c>
      <c r="EH80" t="e">
        <f>AND(Liste!#REF!,"AAAAAC/m64k=")</f>
        <v>#REF!</v>
      </c>
      <c r="EI80" t="e">
        <f>AND(Liste!#REF!,"AAAAAC/m64o=")</f>
        <v>#REF!</v>
      </c>
      <c r="EJ80" t="e">
        <f>AND(Liste!#REF!,"AAAAAC/m64s=")</f>
        <v>#REF!</v>
      </c>
      <c r="EK80" t="e">
        <f>AND(Liste!#REF!,"AAAAAC/m64w=")</f>
        <v>#REF!</v>
      </c>
      <c r="EL80" t="e">
        <f>AND(Liste!#REF!,"AAAAAC/m640=")</f>
        <v>#REF!</v>
      </c>
      <c r="EM80" t="e">
        <f>AND(Liste!#REF!,"AAAAAC/m644=")</f>
        <v>#REF!</v>
      </c>
      <c r="EN80" t="e">
        <f>IF(Liste!#REF!,"AAAAAC/m648=",0)</f>
        <v>#REF!</v>
      </c>
      <c r="EO80" t="e">
        <f>AND(Liste!#REF!,"AAAAAC/m65A=")</f>
        <v>#REF!</v>
      </c>
      <c r="EP80" t="e">
        <f>AND(Liste!#REF!,"AAAAAC/m65E=")</f>
        <v>#REF!</v>
      </c>
      <c r="EQ80" t="e">
        <f>AND(Liste!#REF!,"AAAAAC/m65I=")</f>
        <v>#REF!</v>
      </c>
      <c r="ER80" t="e">
        <f>AND(Liste!#REF!,"AAAAAC/m65M=")</f>
        <v>#REF!</v>
      </c>
      <c r="ES80" t="e">
        <f>AND(Liste!#REF!,"AAAAAC/m65Q=")</f>
        <v>#REF!</v>
      </c>
      <c r="ET80" t="e">
        <f>AND(Liste!#REF!,"AAAAAC/m65U=")</f>
        <v>#REF!</v>
      </c>
      <c r="EU80" t="e">
        <f>AND(Liste!#REF!,"AAAAAC/m65Y=")</f>
        <v>#REF!</v>
      </c>
      <c r="EV80" t="e">
        <f>AND(Liste!#REF!,"AAAAAC/m65c=")</f>
        <v>#REF!</v>
      </c>
      <c r="EW80" t="e">
        <f>AND(Liste!#REF!,"AAAAAC/m65g=")</f>
        <v>#REF!</v>
      </c>
      <c r="EX80" t="e">
        <f>AND(Liste!#REF!,"AAAAAC/m65k=")</f>
        <v>#REF!</v>
      </c>
      <c r="EY80" t="e">
        <f>AND(Liste!#REF!,"AAAAAC/m65o=")</f>
        <v>#REF!</v>
      </c>
      <c r="EZ80" t="e">
        <f>AND(Liste!#REF!,"AAAAAC/m65s=")</f>
        <v>#REF!</v>
      </c>
      <c r="FA80" t="e">
        <f>AND(Liste!#REF!,"AAAAAC/m65w=")</f>
        <v>#REF!</v>
      </c>
      <c r="FB80" t="e">
        <f>AND(Liste!#REF!,"AAAAAC/m650=")</f>
        <v>#REF!</v>
      </c>
      <c r="FC80" t="e">
        <f>AND(Liste!#REF!,"AAAAAC/m654=")</f>
        <v>#REF!</v>
      </c>
      <c r="FD80" t="e">
        <f>AND(Liste!#REF!,"AAAAAC/m658=")</f>
        <v>#REF!</v>
      </c>
      <c r="FE80" t="e">
        <f>AND(Liste!#REF!,"AAAAAC/m66A=")</f>
        <v>#REF!</v>
      </c>
      <c r="FF80" t="e">
        <f>AND(Liste!#REF!,"AAAAAC/m66E=")</f>
        <v>#REF!</v>
      </c>
      <c r="FG80" t="e">
        <f>AND(Liste!#REF!,"AAAAAC/m66I=")</f>
        <v>#REF!</v>
      </c>
      <c r="FH80" t="e">
        <f>AND(Liste!#REF!,"AAAAAC/m66M=")</f>
        <v>#REF!</v>
      </c>
      <c r="FI80" t="e">
        <f>AND(Liste!#REF!,"AAAAAC/m66Q=")</f>
        <v>#REF!</v>
      </c>
      <c r="FJ80" t="e">
        <f>AND(Liste!#REF!,"AAAAAC/m66U=")</f>
        <v>#REF!</v>
      </c>
      <c r="FK80" t="e">
        <f>AND(Liste!#REF!,"AAAAAC/m66Y=")</f>
        <v>#REF!</v>
      </c>
      <c r="FL80" t="e">
        <f>AND(Liste!#REF!,"AAAAAC/m66c=")</f>
        <v>#REF!</v>
      </c>
      <c r="FM80" t="e">
        <f>AND(Liste!#REF!,"AAAAAC/m66g=")</f>
        <v>#REF!</v>
      </c>
      <c r="FN80" t="e">
        <f>AND(Liste!#REF!,"AAAAAC/m66k=")</f>
        <v>#REF!</v>
      </c>
      <c r="FO80" t="e">
        <f>AND(Liste!#REF!,"AAAAAC/m66o=")</f>
        <v>#REF!</v>
      </c>
      <c r="FP80" t="e">
        <f>AND(Liste!#REF!,"AAAAAC/m66s=")</f>
        <v>#REF!</v>
      </c>
      <c r="FQ80" t="e">
        <f>AND(Liste!#REF!,"AAAAAC/m66w=")</f>
        <v>#REF!</v>
      </c>
      <c r="FR80" t="e">
        <f>AND(Liste!#REF!,"AAAAAC/m660=")</f>
        <v>#REF!</v>
      </c>
      <c r="FS80" t="e">
        <f>IF(Liste!#REF!,"AAAAAC/m664=",0)</f>
        <v>#REF!</v>
      </c>
      <c r="FT80" t="e">
        <f>AND(Liste!#REF!,"AAAAAC/m668=")</f>
        <v>#REF!</v>
      </c>
      <c r="FU80" t="e">
        <f>AND(Liste!#REF!,"AAAAAC/m67A=")</f>
        <v>#REF!</v>
      </c>
      <c r="FV80" t="e">
        <f>AND(Liste!#REF!,"AAAAAC/m67E=")</f>
        <v>#REF!</v>
      </c>
      <c r="FW80" t="e">
        <f>AND(Liste!#REF!,"AAAAAC/m67I=")</f>
        <v>#REF!</v>
      </c>
      <c r="FX80" t="e">
        <f>AND(Liste!#REF!,"AAAAAC/m67M=")</f>
        <v>#REF!</v>
      </c>
      <c r="FY80" t="e">
        <f>AND(Liste!#REF!,"AAAAAC/m67Q=")</f>
        <v>#REF!</v>
      </c>
      <c r="FZ80" t="e">
        <f>AND(Liste!#REF!,"AAAAAC/m67U=")</f>
        <v>#REF!</v>
      </c>
      <c r="GA80" t="e">
        <f>AND(Liste!#REF!,"AAAAAC/m67Y=")</f>
        <v>#REF!</v>
      </c>
      <c r="GB80" t="e">
        <f>AND(Liste!#REF!,"AAAAAC/m67c=")</f>
        <v>#REF!</v>
      </c>
      <c r="GC80" t="e">
        <f>AND(Liste!#REF!,"AAAAAC/m67g=")</f>
        <v>#REF!</v>
      </c>
      <c r="GD80" t="e">
        <f>AND(Liste!#REF!,"AAAAAC/m67k=")</f>
        <v>#REF!</v>
      </c>
      <c r="GE80" t="e">
        <f>AND(Liste!#REF!,"AAAAAC/m67o=")</f>
        <v>#REF!</v>
      </c>
      <c r="GF80" t="e">
        <f>AND(Liste!#REF!,"AAAAAC/m67s=")</f>
        <v>#REF!</v>
      </c>
      <c r="GG80" t="e">
        <f>AND(Liste!#REF!,"AAAAAC/m67w=")</f>
        <v>#REF!</v>
      </c>
      <c r="GH80" t="e">
        <f>AND(Liste!#REF!,"AAAAAC/m670=")</f>
        <v>#REF!</v>
      </c>
      <c r="GI80" t="e">
        <f>AND(Liste!#REF!,"AAAAAC/m674=")</f>
        <v>#REF!</v>
      </c>
      <c r="GJ80" t="e">
        <f>AND(Liste!#REF!,"AAAAAC/m678=")</f>
        <v>#REF!</v>
      </c>
      <c r="GK80" t="e">
        <f>AND(Liste!#REF!,"AAAAAC/m68A=")</f>
        <v>#REF!</v>
      </c>
      <c r="GL80" t="e">
        <f>AND(Liste!#REF!,"AAAAAC/m68E=")</f>
        <v>#REF!</v>
      </c>
      <c r="GM80" t="e">
        <f>AND(Liste!#REF!,"AAAAAC/m68I=")</f>
        <v>#REF!</v>
      </c>
      <c r="GN80" t="e">
        <f>AND(Liste!#REF!,"AAAAAC/m68M=")</f>
        <v>#REF!</v>
      </c>
      <c r="GO80" t="e">
        <f>AND(Liste!#REF!,"AAAAAC/m68Q=")</f>
        <v>#REF!</v>
      </c>
      <c r="GP80" t="e">
        <f>AND(Liste!#REF!,"AAAAAC/m68U=")</f>
        <v>#REF!</v>
      </c>
      <c r="GQ80" t="e">
        <f>AND(Liste!#REF!,"AAAAAC/m68Y=")</f>
        <v>#REF!</v>
      </c>
      <c r="GR80" t="e">
        <f>AND(Liste!#REF!,"AAAAAC/m68c=")</f>
        <v>#REF!</v>
      </c>
      <c r="GS80" t="e">
        <f>AND(Liste!#REF!,"AAAAAC/m68g=")</f>
        <v>#REF!</v>
      </c>
      <c r="GT80" t="e">
        <f>AND(Liste!#REF!,"AAAAAC/m68k=")</f>
        <v>#REF!</v>
      </c>
      <c r="GU80" t="e">
        <f>AND(Liste!#REF!,"AAAAAC/m68o=")</f>
        <v>#REF!</v>
      </c>
      <c r="GV80" t="e">
        <f>AND(Liste!#REF!,"AAAAAC/m68s=")</f>
        <v>#REF!</v>
      </c>
      <c r="GW80" t="e">
        <f>AND(Liste!#REF!,"AAAAAC/m68w=")</f>
        <v>#REF!</v>
      </c>
      <c r="GX80" t="e">
        <f>IF(Liste!#REF!,"AAAAAC/m680=",0)</f>
        <v>#REF!</v>
      </c>
      <c r="GY80" t="e">
        <f>AND(Liste!#REF!,"AAAAAC/m684=")</f>
        <v>#REF!</v>
      </c>
      <c r="GZ80" t="e">
        <f>AND(Liste!#REF!,"AAAAAC/m688=")</f>
        <v>#REF!</v>
      </c>
      <c r="HA80" t="e">
        <f>AND(Liste!#REF!,"AAAAAC/m69A=")</f>
        <v>#REF!</v>
      </c>
      <c r="HB80" t="e">
        <f>AND(Liste!#REF!,"AAAAAC/m69E=")</f>
        <v>#REF!</v>
      </c>
      <c r="HC80" t="e">
        <f>AND(Liste!#REF!,"AAAAAC/m69I=")</f>
        <v>#REF!</v>
      </c>
      <c r="HD80" t="e">
        <f>AND(Liste!#REF!,"AAAAAC/m69M=")</f>
        <v>#REF!</v>
      </c>
      <c r="HE80" t="e">
        <f>AND(Liste!#REF!,"AAAAAC/m69Q=")</f>
        <v>#REF!</v>
      </c>
      <c r="HF80" t="e">
        <f>AND(Liste!#REF!,"AAAAAC/m69U=")</f>
        <v>#REF!</v>
      </c>
      <c r="HG80" t="e">
        <f>AND(Liste!#REF!,"AAAAAC/m69Y=")</f>
        <v>#REF!</v>
      </c>
      <c r="HH80" t="e">
        <f>AND(Liste!#REF!,"AAAAAC/m69c=")</f>
        <v>#REF!</v>
      </c>
      <c r="HI80" t="e">
        <f>AND(Liste!#REF!,"AAAAAC/m69g=")</f>
        <v>#REF!</v>
      </c>
      <c r="HJ80" t="e">
        <f>AND(Liste!#REF!,"AAAAAC/m69k=")</f>
        <v>#REF!</v>
      </c>
      <c r="HK80" t="e">
        <f>AND(Liste!#REF!,"AAAAAC/m69o=")</f>
        <v>#REF!</v>
      </c>
      <c r="HL80" t="e">
        <f>AND(Liste!#REF!,"AAAAAC/m69s=")</f>
        <v>#REF!</v>
      </c>
      <c r="HM80" t="e">
        <f>AND(Liste!#REF!,"AAAAAC/m69w=")</f>
        <v>#REF!</v>
      </c>
      <c r="HN80" t="e">
        <f>AND(Liste!#REF!,"AAAAAC/m690=")</f>
        <v>#REF!</v>
      </c>
      <c r="HO80" t="e">
        <f>AND(Liste!#REF!,"AAAAAC/m694=")</f>
        <v>#REF!</v>
      </c>
      <c r="HP80" t="e">
        <f>AND(Liste!#REF!,"AAAAAC/m698=")</f>
        <v>#REF!</v>
      </c>
      <c r="HQ80" t="e">
        <f>AND(Liste!#REF!,"AAAAAC/m6+A=")</f>
        <v>#REF!</v>
      </c>
      <c r="HR80" t="e">
        <f>AND(Liste!#REF!,"AAAAAC/m6+E=")</f>
        <v>#REF!</v>
      </c>
      <c r="HS80" t="e">
        <f>AND(Liste!#REF!,"AAAAAC/m6+I=")</f>
        <v>#REF!</v>
      </c>
      <c r="HT80" t="e">
        <f>AND(Liste!#REF!,"AAAAAC/m6+M=")</f>
        <v>#REF!</v>
      </c>
      <c r="HU80" t="e">
        <f>AND(Liste!#REF!,"AAAAAC/m6+Q=")</f>
        <v>#REF!</v>
      </c>
      <c r="HV80" t="e">
        <f>AND(Liste!#REF!,"AAAAAC/m6+U=")</f>
        <v>#REF!</v>
      </c>
      <c r="HW80" t="e">
        <f>AND(Liste!#REF!,"AAAAAC/m6+Y=")</f>
        <v>#REF!</v>
      </c>
      <c r="HX80" t="e">
        <f>AND(Liste!#REF!,"AAAAAC/m6+c=")</f>
        <v>#REF!</v>
      </c>
      <c r="HY80" t="e">
        <f>AND(Liste!#REF!,"AAAAAC/m6+g=")</f>
        <v>#REF!</v>
      </c>
      <c r="HZ80" t="e">
        <f>AND(Liste!#REF!,"AAAAAC/m6+k=")</f>
        <v>#REF!</v>
      </c>
      <c r="IA80" t="e">
        <f>AND(Liste!#REF!,"AAAAAC/m6+o=")</f>
        <v>#REF!</v>
      </c>
      <c r="IB80" t="e">
        <f>AND(Liste!#REF!,"AAAAAC/m6+s=")</f>
        <v>#REF!</v>
      </c>
      <c r="IC80" t="e">
        <f>IF(Liste!#REF!,"AAAAAC/m6+w=",0)</f>
        <v>#REF!</v>
      </c>
      <c r="ID80" t="e">
        <f>AND(Liste!#REF!,"AAAAAC/m6+0=")</f>
        <v>#REF!</v>
      </c>
      <c r="IE80" t="e">
        <f>AND(Liste!#REF!,"AAAAAC/m6+4=")</f>
        <v>#REF!</v>
      </c>
      <c r="IF80" t="e">
        <f>AND(Liste!#REF!,"AAAAAC/m6+8=")</f>
        <v>#REF!</v>
      </c>
      <c r="IG80" t="e">
        <f>AND(Liste!#REF!,"AAAAAC/m6/A=")</f>
        <v>#REF!</v>
      </c>
      <c r="IH80" t="e">
        <f>AND(Liste!#REF!,"AAAAAC/m6/E=")</f>
        <v>#REF!</v>
      </c>
      <c r="II80" t="e">
        <f>AND(Liste!#REF!,"AAAAAC/m6/I=")</f>
        <v>#REF!</v>
      </c>
      <c r="IJ80" t="e">
        <f>AND(Liste!#REF!,"AAAAAC/m6/M=")</f>
        <v>#REF!</v>
      </c>
      <c r="IK80" t="e">
        <f>AND(Liste!#REF!,"AAAAAC/m6/Q=")</f>
        <v>#REF!</v>
      </c>
      <c r="IL80" t="e">
        <f>AND(Liste!#REF!,"AAAAAC/m6/U=")</f>
        <v>#REF!</v>
      </c>
      <c r="IM80" t="e">
        <f>AND(Liste!#REF!,"AAAAAC/m6/Y=")</f>
        <v>#REF!</v>
      </c>
      <c r="IN80" t="e">
        <f>AND(Liste!#REF!,"AAAAAC/m6/c=")</f>
        <v>#REF!</v>
      </c>
      <c r="IO80" t="e">
        <f>AND(Liste!#REF!,"AAAAAC/m6/g=")</f>
        <v>#REF!</v>
      </c>
      <c r="IP80" t="e">
        <f>AND(Liste!#REF!,"AAAAAC/m6/k=")</f>
        <v>#REF!</v>
      </c>
      <c r="IQ80" t="e">
        <f>AND(Liste!#REF!,"AAAAAC/m6/o=")</f>
        <v>#REF!</v>
      </c>
      <c r="IR80" t="e">
        <f>AND(Liste!#REF!,"AAAAAC/m6/s=")</f>
        <v>#REF!</v>
      </c>
      <c r="IS80" t="e">
        <f>AND(Liste!#REF!,"AAAAAC/m6/w=")</f>
        <v>#REF!</v>
      </c>
      <c r="IT80" t="e">
        <f>AND(Liste!#REF!,"AAAAAC/m6/0=")</f>
        <v>#REF!</v>
      </c>
      <c r="IU80" t="e">
        <f>AND(Liste!#REF!,"AAAAAC/m6/4=")</f>
        <v>#REF!</v>
      </c>
      <c r="IV80" t="e">
        <f>AND(Liste!#REF!,"AAAAAC/m6/8=")</f>
        <v>#REF!</v>
      </c>
    </row>
    <row r="81" spans="1:256" x14ac:dyDescent="0.2">
      <c r="A81" t="e">
        <f>AND(Liste!#REF!,"AAAAAF+n3QA=")</f>
        <v>#REF!</v>
      </c>
      <c r="B81" t="e">
        <f>AND(Liste!#REF!,"AAAAAF+n3QE=")</f>
        <v>#REF!</v>
      </c>
      <c r="C81" t="e">
        <f>AND(Liste!#REF!,"AAAAAF+n3QI=")</f>
        <v>#REF!</v>
      </c>
      <c r="D81" t="e">
        <f>AND(Liste!#REF!,"AAAAAF+n3QM=")</f>
        <v>#REF!</v>
      </c>
      <c r="E81" t="e">
        <f>AND(Liste!#REF!,"AAAAAF+n3QQ=")</f>
        <v>#REF!</v>
      </c>
      <c r="F81" t="e">
        <f>AND(Liste!#REF!,"AAAAAF+n3QU=")</f>
        <v>#REF!</v>
      </c>
      <c r="G81" t="e">
        <f>AND(Liste!#REF!,"AAAAAF+n3QY=")</f>
        <v>#REF!</v>
      </c>
      <c r="H81" t="e">
        <f>AND(Liste!#REF!,"AAAAAF+n3Qc=")</f>
        <v>#REF!</v>
      </c>
      <c r="I81" t="e">
        <f>AND(Liste!#REF!,"AAAAAF+n3Qg=")</f>
        <v>#REF!</v>
      </c>
      <c r="J81" t="e">
        <f>AND(Liste!#REF!,"AAAAAF+n3Qk=")</f>
        <v>#REF!</v>
      </c>
      <c r="K81" t="e">
        <f>AND(Liste!#REF!,"AAAAAF+n3Qo=")</f>
        <v>#REF!</v>
      </c>
      <c r="L81" t="e">
        <f>IF(Liste!#REF!,"AAAAAF+n3Qs=",0)</f>
        <v>#REF!</v>
      </c>
      <c r="M81" t="e">
        <f>AND(Liste!#REF!,"AAAAAF+n3Qw=")</f>
        <v>#REF!</v>
      </c>
      <c r="N81" t="e">
        <f>AND(Liste!#REF!,"AAAAAF+n3Q0=")</f>
        <v>#REF!</v>
      </c>
      <c r="O81" t="e">
        <f>AND(Liste!#REF!,"AAAAAF+n3Q4=")</f>
        <v>#REF!</v>
      </c>
      <c r="P81" t="e">
        <f>AND(Liste!#REF!,"AAAAAF+n3Q8=")</f>
        <v>#REF!</v>
      </c>
      <c r="Q81" t="e">
        <f>AND(Liste!#REF!,"AAAAAF+n3RA=")</f>
        <v>#REF!</v>
      </c>
      <c r="R81" t="e">
        <f>AND(Liste!#REF!,"AAAAAF+n3RE=")</f>
        <v>#REF!</v>
      </c>
      <c r="S81" t="e">
        <f>AND(Liste!#REF!,"AAAAAF+n3RI=")</f>
        <v>#REF!</v>
      </c>
      <c r="T81" t="e">
        <f>AND(Liste!#REF!,"AAAAAF+n3RM=")</f>
        <v>#REF!</v>
      </c>
      <c r="U81" t="e">
        <f>AND(Liste!#REF!,"AAAAAF+n3RQ=")</f>
        <v>#REF!</v>
      </c>
      <c r="V81" t="e">
        <f>AND(Liste!#REF!,"AAAAAF+n3RU=")</f>
        <v>#REF!</v>
      </c>
      <c r="W81" t="e">
        <f>AND(Liste!#REF!,"AAAAAF+n3RY=")</f>
        <v>#REF!</v>
      </c>
      <c r="X81" t="e">
        <f>AND(Liste!#REF!,"AAAAAF+n3Rc=")</f>
        <v>#REF!</v>
      </c>
      <c r="Y81" t="e">
        <f>AND(Liste!#REF!,"AAAAAF+n3Rg=")</f>
        <v>#REF!</v>
      </c>
      <c r="Z81" t="e">
        <f>AND(Liste!#REF!,"AAAAAF+n3Rk=")</f>
        <v>#REF!</v>
      </c>
      <c r="AA81" t="e">
        <f>AND(Liste!#REF!,"AAAAAF+n3Ro=")</f>
        <v>#REF!</v>
      </c>
      <c r="AB81" t="e">
        <f>AND(Liste!#REF!,"AAAAAF+n3Rs=")</f>
        <v>#REF!</v>
      </c>
      <c r="AC81" t="e">
        <f>AND(Liste!#REF!,"AAAAAF+n3Rw=")</f>
        <v>#REF!</v>
      </c>
      <c r="AD81" t="e">
        <f>AND(Liste!#REF!,"AAAAAF+n3R0=")</f>
        <v>#REF!</v>
      </c>
      <c r="AE81" t="e">
        <f>AND(Liste!#REF!,"AAAAAF+n3R4=")</f>
        <v>#REF!</v>
      </c>
      <c r="AF81" t="e">
        <f>AND(Liste!#REF!,"AAAAAF+n3R8=")</f>
        <v>#REF!</v>
      </c>
      <c r="AG81" t="e">
        <f>AND(Liste!#REF!,"AAAAAF+n3SA=")</f>
        <v>#REF!</v>
      </c>
      <c r="AH81" t="e">
        <f>AND(Liste!#REF!,"AAAAAF+n3SE=")</f>
        <v>#REF!</v>
      </c>
      <c r="AI81" t="e">
        <f>AND(Liste!#REF!,"AAAAAF+n3SI=")</f>
        <v>#REF!</v>
      </c>
      <c r="AJ81" t="e">
        <f>AND(Liste!#REF!,"AAAAAF+n3SM=")</f>
        <v>#REF!</v>
      </c>
      <c r="AK81" t="e">
        <f>AND(Liste!#REF!,"AAAAAF+n3SQ=")</f>
        <v>#REF!</v>
      </c>
      <c r="AL81" t="e">
        <f>AND(Liste!#REF!,"AAAAAF+n3SU=")</f>
        <v>#REF!</v>
      </c>
      <c r="AM81" t="e">
        <f>AND(Liste!#REF!,"AAAAAF+n3SY=")</f>
        <v>#REF!</v>
      </c>
      <c r="AN81" t="e">
        <f>AND(Liste!#REF!,"AAAAAF+n3Sc=")</f>
        <v>#REF!</v>
      </c>
      <c r="AO81" t="e">
        <f>AND(Liste!#REF!,"AAAAAF+n3Sg=")</f>
        <v>#REF!</v>
      </c>
      <c r="AP81" t="e">
        <f>AND(Liste!#REF!,"AAAAAF+n3Sk=")</f>
        <v>#REF!</v>
      </c>
      <c r="AQ81">
        <f>IF(Liste!527:527,"AAAAAF+n3So=",0)</f>
        <v>0</v>
      </c>
      <c r="AR81" t="e">
        <f>AND(Liste!A527,"AAAAAF+n3Ss=")</f>
        <v>#VALUE!</v>
      </c>
      <c r="AS81" t="e">
        <f>AND(Liste!C527,"AAAAAF+n3Sw=")</f>
        <v>#VALUE!</v>
      </c>
      <c r="AT81" t="e">
        <f>AND(Liste!D527,"AAAAAF+n3S0=")</f>
        <v>#VALUE!</v>
      </c>
      <c r="AU81" t="e">
        <f>AND(Liste!E527,"AAAAAF+n3S4=")</f>
        <v>#VALUE!</v>
      </c>
      <c r="AV81" t="e">
        <f>AND(Liste!F527,"AAAAAF+n3S8=")</f>
        <v>#VALUE!</v>
      </c>
      <c r="AW81" t="e">
        <f>AND(Liste!G527,"AAAAAF+n3TA=")</f>
        <v>#VALUE!</v>
      </c>
      <c r="AX81" t="e">
        <f>AND(Liste!H527,"AAAAAF+n3TE=")</f>
        <v>#VALUE!</v>
      </c>
      <c r="AY81" t="e">
        <f>AND(Liste!I527,"AAAAAF+n3TI=")</f>
        <v>#VALUE!</v>
      </c>
      <c r="AZ81" t="e">
        <f>AND(Liste!J527,"AAAAAF+n3TM=")</f>
        <v>#VALUE!</v>
      </c>
      <c r="BA81" t="e">
        <f>AND(Liste!#REF!,"AAAAAF+n3TQ=")</f>
        <v>#REF!</v>
      </c>
      <c r="BB81" t="e">
        <f>AND(Liste!#REF!,"AAAAAF+n3TU=")</f>
        <v>#REF!</v>
      </c>
      <c r="BC81" t="e">
        <f>AND(Liste!#REF!,"AAAAAF+n3TY=")</f>
        <v>#REF!</v>
      </c>
      <c r="BD81" t="e">
        <f>AND(Liste!#REF!,"AAAAAF+n3Tc=")</f>
        <v>#REF!</v>
      </c>
      <c r="BE81" t="e">
        <f>AND(Liste!#REF!,"AAAAAF+n3Tg=")</f>
        <v>#REF!</v>
      </c>
      <c r="BF81" t="e">
        <f>AND(Liste!#REF!,"AAAAAF+n3Tk=")</f>
        <v>#REF!</v>
      </c>
      <c r="BG81" t="e">
        <f>AND(Liste!#REF!,"AAAAAF+n3To=")</f>
        <v>#REF!</v>
      </c>
      <c r="BH81" t="e">
        <f>AND(Liste!#REF!,"AAAAAF+n3Ts=")</f>
        <v>#REF!</v>
      </c>
      <c r="BI81" t="e">
        <f>AND(Liste!#REF!,"AAAAAF+n3Tw=")</f>
        <v>#REF!</v>
      </c>
      <c r="BJ81" t="e">
        <f>AND(Liste!#REF!,"AAAAAF+n3T0=")</f>
        <v>#REF!</v>
      </c>
      <c r="BK81" t="e">
        <f>AND(Liste!#REF!,"AAAAAF+n3T4=")</f>
        <v>#REF!</v>
      </c>
      <c r="BL81" t="e">
        <f>AND(Liste!#REF!,"AAAAAF+n3T8=")</f>
        <v>#REF!</v>
      </c>
      <c r="BM81" t="e">
        <f>AND(Liste!#REF!,"AAAAAF+n3UA=")</f>
        <v>#REF!</v>
      </c>
      <c r="BN81" t="e">
        <f>AND(Liste!#REF!,"AAAAAF+n3UE=")</f>
        <v>#REF!</v>
      </c>
      <c r="BO81" t="e">
        <f>AND(Liste!#REF!,"AAAAAF+n3UI=")</f>
        <v>#REF!</v>
      </c>
      <c r="BP81" t="e">
        <f>AND(Liste!#REF!,"AAAAAF+n3UM=")</f>
        <v>#REF!</v>
      </c>
      <c r="BQ81" t="e">
        <f>AND(Liste!#REF!,"AAAAAF+n3UQ=")</f>
        <v>#REF!</v>
      </c>
      <c r="BR81" t="e">
        <f>AND(Liste!#REF!,"AAAAAF+n3UU=")</f>
        <v>#REF!</v>
      </c>
      <c r="BS81" t="e">
        <f>AND(Liste!#REF!,"AAAAAF+n3UY=")</f>
        <v>#REF!</v>
      </c>
      <c r="BT81" t="e">
        <f>AND(Liste!#REF!,"AAAAAF+n3Uc=")</f>
        <v>#REF!</v>
      </c>
      <c r="BU81" t="e">
        <f>AND(Liste!#REF!,"AAAAAF+n3Ug=")</f>
        <v>#REF!</v>
      </c>
      <c r="BV81">
        <f>IF(Liste!528:528,"AAAAAF+n3Uk=",0)</f>
        <v>0</v>
      </c>
      <c r="BW81" t="e">
        <f>AND(Liste!A528,"AAAAAF+n3Uo=")</f>
        <v>#VALUE!</v>
      </c>
      <c r="BX81" t="e">
        <f>AND(Liste!C528,"AAAAAF+n3Us=")</f>
        <v>#VALUE!</v>
      </c>
      <c r="BY81" t="e">
        <f>AND(Liste!D528,"AAAAAF+n3Uw=")</f>
        <v>#VALUE!</v>
      </c>
      <c r="BZ81" t="e">
        <f>AND(Liste!E528,"AAAAAF+n3U0=")</f>
        <v>#VALUE!</v>
      </c>
      <c r="CA81" t="e">
        <f>AND(Liste!F528,"AAAAAF+n3U4=")</f>
        <v>#VALUE!</v>
      </c>
      <c r="CB81" t="e">
        <f>AND(Liste!G528,"AAAAAF+n3U8=")</f>
        <v>#VALUE!</v>
      </c>
      <c r="CC81" t="e">
        <f>AND(Liste!H528,"AAAAAF+n3VA=")</f>
        <v>#VALUE!</v>
      </c>
      <c r="CD81" t="e">
        <f>AND(Liste!I528,"AAAAAF+n3VE=")</f>
        <v>#VALUE!</v>
      </c>
      <c r="CE81" t="e">
        <f>AND(Liste!J528,"AAAAAF+n3VI=")</f>
        <v>#VALUE!</v>
      </c>
      <c r="CF81" t="e">
        <f>AND(Liste!#REF!,"AAAAAF+n3VM=")</f>
        <v>#REF!</v>
      </c>
      <c r="CG81" t="e">
        <f>AND(Liste!#REF!,"AAAAAF+n3VQ=")</f>
        <v>#REF!</v>
      </c>
      <c r="CH81" t="e">
        <f>AND(Liste!#REF!,"AAAAAF+n3VU=")</f>
        <v>#REF!</v>
      </c>
      <c r="CI81" t="e">
        <f>AND(Liste!#REF!,"AAAAAF+n3VY=")</f>
        <v>#REF!</v>
      </c>
      <c r="CJ81" t="e">
        <f>AND(Liste!#REF!,"AAAAAF+n3Vc=")</f>
        <v>#REF!</v>
      </c>
      <c r="CK81" t="e">
        <f>AND(Liste!#REF!,"AAAAAF+n3Vg=")</f>
        <v>#REF!</v>
      </c>
      <c r="CL81" t="e">
        <f>AND(Liste!#REF!,"AAAAAF+n3Vk=")</f>
        <v>#REF!</v>
      </c>
      <c r="CM81" t="e">
        <f>AND(Liste!#REF!,"AAAAAF+n3Vo=")</f>
        <v>#REF!</v>
      </c>
      <c r="CN81" t="e">
        <f>AND(Liste!#REF!,"AAAAAF+n3Vs=")</f>
        <v>#REF!</v>
      </c>
      <c r="CO81" t="e">
        <f>AND(Liste!#REF!,"AAAAAF+n3Vw=")</f>
        <v>#REF!</v>
      </c>
      <c r="CP81" t="e">
        <f>AND(Liste!#REF!,"AAAAAF+n3V0=")</f>
        <v>#REF!</v>
      </c>
      <c r="CQ81" t="e">
        <f>AND(Liste!#REF!,"AAAAAF+n3V4=")</f>
        <v>#REF!</v>
      </c>
      <c r="CR81" t="e">
        <f>AND(Liste!#REF!,"AAAAAF+n3V8=")</f>
        <v>#REF!</v>
      </c>
      <c r="CS81" t="e">
        <f>AND(Liste!#REF!,"AAAAAF+n3WA=")</f>
        <v>#REF!</v>
      </c>
      <c r="CT81" t="e">
        <f>AND(Liste!#REF!,"AAAAAF+n3WE=")</f>
        <v>#REF!</v>
      </c>
      <c r="CU81" t="e">
        <f>AND(Liste!#REF!,"AAAAAF+n3WI=")</f>
        <v>#REF!</v>
      </c>
      <c r="CV81" t="e">
        <f>AND(Liste!#REF!,"AAAAAF+n3WM=")</f>
        <v>#REF!</v>
      </c>
      <c r="CW81" t="e">
        <f>AND(Liste!#REF!,"AAAAAF+n3WQ=")</f>
        <v>#REF!</v>
      </c>
      <c r="CX81" t="e">
        <f>AND(Liste!#REF!,"AAAAAF+n3WU=")</f>
        <v>#REF!</v>
      </c>
      <c r="CY81" t="e">
        <f>AND(Liste!#REF!,"AAAAAF+n3WY=")</f>
        <v>#REF!</v>
      </c>
      <c r="CZ81" t="e">
        <f>AND(Liste!#REF!,"AAAAAF+n3Wc=")</f>
        <v>#REF!</v>
      </c>
      <c r="DA81">
        <f>IF(Liste!529:529,"AAAAAF+n3Wg=",0)</f>
        <v>0</v>
      </c>
      <c r="DB81" t="b">
        <f>AND(Liste!A529,"AAAAAF+n3Wk=")</f>
        <v>1</v>
      </c>
      <c r="DC81" t="e">
        <f>AND(Liste!#REF!,"AAAAAF+n3Wo=")</f>
        <v>#REF!</v>
      </c>
      <c r="DD81" t="e">
        <f>AND(Liste!#REF!,"AAAAAF+n3Ws=")</f>
        <v>#REF!</v>
      </c>
      <c r="DE81" t="e">
        <f>AND(Liste!#REF!,"AAAAAF+n3Ww=")</f>
        <v>#REF!</v>
      </c>
      <c r="DF81" t="e">
        <f>AND(Liste!F529,"AAAAAF+n3W0=")</f>
        <v>#VALUE!</v>
      </c>
      <c r="DG81" t="e">
        <f>AND(Liste!G529,"AAAAAF+n3W4=")</f>
        <v>#VALUE!</v>
      </c>
      <c r="DH81" t="e">
        <f>AND(Liste!H529,"AAAAAF+n3W8=")</f>
        <v>#VALUE!</v>
      </c>
      <c r="DI81" t="e">
        <f>AND(Liste!I529,"AAAAAF+n3XA=")</f>
        <v>#VALUE!</v>
      </c>
      <c r="DJ81" t="e">
        <f>AND(Liste!J529,"AAAAAF+n3XE=")</f>
        <v>#VALUE!</v>
      </c>
      <c r="DK81" t="e">
        <f>AND(Liste!#REF!,"AAAAAF+n3XI=")</f>
        <v>#REF!</v>
      </c>
      <c r="DL81" t="e">
        <f>AND(Liste!#REF!,"AAAAAF+n3XM=")</f>
        <v>#REF!</v>
      </c>
      <c r="DM81" t="e">
        <f>AND(Liste!#REF!,"AAAAAF+n3XQ=")</f>
        <v>#REF!</v>
      </c>
      <c r="DN81" t="e">
        <f>AND(Liste!#REF!,"AAAAAF+n3XU=")</f>
        <v>#REF!</v>
      </c>
      <c r="DO81" t="e">
        <f>AND(Liste!#REF!,"AAAAAF+n3XY=")</f>
        <v>#REF!</v>
      </c>
      <c r="DP81" t="e">
        <f>AND(Liste!#REF!,"AAAAAF+n3Xc=")</f>
        <v>#REF!</v>
      </c>
      <c r="DQ81" t="e">
        <f>AND(Liste!#REF!,"AAAAAF+n3Xg=")</f>
        <v>#REF!</v>
      </c>
      <c r="DR81" t="e">
        <f>AND(Liste!#REF!,"AAAAAF+n3Xk=")</f>
        <v>#REF!</v>
      </c>
      <c r="DS81" t="e">
        <f>AND(Liste!#REF!,"AAAAAF+n3Xo=")</f>
        <v>#REF!</v>
      </c>
      <c r="DT81" t="e">
        <f>AND(Liste!#REF!,"AAAAAF+n3Xs=")</f>
        <v>#REF!</v>
      </c>
      <c r="DU81" t="e">
        <f>AND(Liste!#REF!,"AAAAAF+n3Xw=")</f>
        <v>#REF!</v>
      </c>
      <c r="DV81" t="e">
        <f>AND(Liste!#REF!,"AAAAAF+n3X0=")</f>
        <v>#REF!</v>
      </c>
      <c r="DW81" t="e">
        <f>AND(Liste!#REF!,"AAAAAF+n3X4=")</f>
        <v>#REF!</v>
      </c>
      <c r="DX81" t="e">
        <f>AND(Liste!#REF!,"AAAAAF+n3X8=")</f>
        <v>#REF!</v>
      </c>
      <c r="DY81" t="e">
        <f>AND(Liste!#REF!,"AAAAAF+n3YA=")</f>
        <v>#REF!</v>
      </c>
      <c r="DZ81" t="e">
        <f>AND(Liste!#REF!,"AAAAAF+n3YE=")</f>
        <v>#REF!</v>
      </c>
      <c r="EA81" t="e">
        <f>AND(Liste!#REF!,"AAAAAF+n3YI=")</f>
        <v>#REF!</v>
      </c>
      <c r="EB81" t="e">
        <f>AND(Liste!#REF!,"AAAAAF+n3YM=")</f>
        <v>#REF!</v>
      </c>
      <c r="EC81" t="e">
        <f>AND(Liste!#REF!,"AAAAAF+n3YQ=")</f>
        <v>#REF!</v>
      </c>
      <c r="ED81" t="e">
        <f>AND(Liste!#REF!,"AAAAAF+n3YU=")</f>
        <v>#REF!</v>
      </c>
      <c r="EE81" t="e">
        <f>AND(Liste!#REF!,"AAAAAF+n3YY=")</f>
        <v>#REF!</v>
      </c>
      <c r="EF81">
        <f>IF(Liste!530:530,"AAAAAF+n3Yc=",0)</f>
        <v>0</v>
      </c>
      <c r="EG81" t="b">
        <f>AND(Liste!A530,"AAAAAF+n3Yg=")</f>
        <v>1</v>
      </c>
      <c r="EH81" t="e">
        <f>AND(Liste!#REF!,"AAAAAF+n3Yk=")</f>
        <v>#REF!</v>
      </c>
      <c r="EI81" t="e">
        <f>AND(Liste!#REF!,"AAAAAF+n3Yo=")</f>
        <v>#REF!</v>
      </c>
      <c r="EJ81" t="e">
        <f>AND(Liste!#REF!,"AAAAAF+n3Ys=")</f>
        <v>#REF!</v>
      </c>
      <c r="EK81" t="e">
        <f>AND(Liste!F530,"AAAAAF+n3Yw=")</f>
        <v>#VALUE!</v>
      </c>
      <c r="EL81" t="e">
        <f>AND(Liste!G530,"AAAAAF+n3Y0=")</f>
        <v>#VALUE!</v>
      </c>
      <c r="EM81" t="e">
        <f>AND(Liste!H530,"AAAAAF+n3Y4=")</f>
        <v>#VALUE!</v>
      </c>
      <c r="EN81" t="e">
        <f>AND(Liste!I530,"AAAAAF+n3Y8=")</f>
        <v>#VALUE!</v>
      </c>
      <c r="EO81" t="e">
        <f>AND(Liste!J530,"AAAAAF+n3ZA=")</f>
        <v>#VALUE!</v>
      </c>
      <c r="EP81" t="e">
        <f>AND(Liste!#REF!,"AAAAAF+n3ZE=")</f>
        <v>#REF!</v>
      </c>
      <c r="EQ81" t="e">
        <f>AND(Liste!#REF!,"AAAAAF+n3ZI=")</f>
        <v>#REF!</v>
      </c>
      <c r="ER81" t="e">
        <f>AND(Liste!#REF!,"AAAAAF+n3ZM=")</f>
        <v>#REF!</v>
      </c>
      <c r="ES81" t="e">
        <f>AND(Liste!#REF!,"AAAAAF+n3ZQ=")</f>
        <v>#REF!</v>
      </c>
      <c r="ET81" t="e">
        <f>AND(Liste!#REF!,"AAAAAF+n3ZU=")</f>
        <v>#REF!</v>
      </c>
      <c r="EU81" t="e">
        <f>AND(Liste!#REF!,"AAAAAF+n3ZY=")</f>
        <v>#REF!</v>
      </c>
      <c r="EV81" t="e">
        <f>AND(Liste!#REF!,"AAAAAF+n3Zc=")</f>
        <v>#REF!</v>
      </c>
      <c r="EW81" t="e">
        <f>AND(Liste!#REF!,"AAAAAF+n3Zg=")</f>
        <v>#REF!</v>
      </c>
      <c r="EX81" t="e">
        <f>AND(Liste!#REF!,"AAAAAF+n3Zk=")</f>
        <v>#REF!</v>
      </c>
      <c r="EY81" t="e">
        <f>AND(Liste!#REF!,"AAAAAF+n3Zo=")</f>
        <v>#REF!</v>
      </c>
      <c r="EZ81" t="e">
        <f>AND(Liste!#REF!,"AAAAAF+n3Zs=")</f>
        <v>#REF!</v>
      </c>
      <c r="FA81" t="e">
        <f>AND(Liste!#REF!,"AAAAAF+n3Zw=")</f>
        <v>#REF!</v>
      </c>
      <c r="FB81" t="e">
        <f>AND(Liste!#REF!,"AAAAAF+n3Z0=")</f>
        <v>#REF!</v>
      </c>
      <c r="FC81" t="e">
        <f>AND(Liste!#REF!,"AAAAAF+n3Z4=")</f>
        <v>#REF!</v>
      </c>
      <c r="FD81" t="e">
        <f>AND(Liste!#REF!,"AAAAAF+n3Z8=")</f>
        <v>#REF!</v>
      </c>
      <c r="FE81" t="e">
        <f>AND(Liste!#REF!,"AAAAAF+n3aA=")</f>
        <v>#REF!</v>
      </c>
      <c r="FF81" t="e">
        <f>AND(Liste!#REF!,"AAAAAF+n3aE=")</f>
        <v>#REF!</v>
      </c>
      <c r="FG81" t="e">
        <f>AND(Liste!#REF!,"AAAAAF+n3aI=")</f>
        <v>#REF!</v>
      </c>
      <c r="FH81" t="e">
        <f>AND(Liste!#REF!,"AAAAAF+n3aM=")</f>
        <v>#REF!</v>
      </c>
      <c r="FI81" t="e">
        <f>AND(Liste!#REF!,"AAAAAF+n3aQ=")</f>
        <v>#REF!</v>
      </c>
      <c r="FJ81" t="e">
        <f>AND(Liste!#REF!,"AAAAAF+n3aU=")</f>
        <v>#REF!</v>
      </c>
      <c r="FK81">
        <f>IF(Liste!531:531,"AAAAAF+n3aY=",0)</f>
        <v>0</v>
      </c>
      <c r="FL81" t="b">
        <f>AND(Liste!A531,"AAAAAF+n3ac=")</f>
        <v>1</v>
      </c>
      <c r="FM81" t="e">
        <f>AND(Liste!#REF!,"AAAAAF+n3ag=")</f>
        <v>#REF!</v>
      </c>
      <c r="FN81" t="e">
        <f>AND(Liste!#REF!,"AAAAAF+n3ak=")</f>
        <v>#REF!</v>
      </c>
      <c r="FO81" t="e">
        <f>AND(Liste!#REF!,"AAAAAF+n3ao=")</f>
        <v>#REF!</v>
      </c>
      <c r="FP81" t="e">
        <f>AND(Liste!F531,"AAAAAF+n3as=")</f>
        <v>#VALUE!</v>
      </c>
      <c r="FQ81" t="e">
        <f>AND(Liste!G531,"AAAAAF+n3aw=")</f>
        <v>#VALUE!</v>
      </c>
      <c r="FR81" t="e">
        <f>AND(Liste!H531,"AAAAAF+n3a0=")</f>
        <v>#VALUE!</v>
      </c>
      <c r="FS81" t="e">
        <f>AND(Liste!I531,"AAAAAF+n3a4=")</f>
        <v>#VALUE!</v>
      </c>
      <c r="FT81" t="e">
        <f>AND(Liste!J531,"AAAAAF+n3a8=")</f>
        <v>#VALUE!</v>
      </c>
      <c r="FU81" t="e">
        <f>AND(Liste!#REF!,"AAAAAF+n3bA=")</f>
        <v>#REF!</v>
      </c>
      <c r="FV81" t="e">
        <f>AND(Liste!#REF!,"AAAAAF+n3bE=")</f>
        <v>#REF!</v>
      </c>
      <c r="FW81" t="e">
        <f>AND(Liste!#REF!,"AAAAAF+n3bI=")</f>
        <v>#REF!</v>
      </c>
      <c r="FX81" t="e">
        <f>AND(Liste!#REF!,"AAAAAF+n3bM=")</f>
        <v>#REF!</v>
      </c>
      <c r="FY81" t="e">
        <f>AND(Liste!#REF!,"AAAAAF+n3bQ=")</f>
        <v>#REF!</v>
      </c>
      <c r="FZ81" t="e">
        <f>AND(Liste!#REF!,"AAAAAF+n3bU=")</f>
        <v>#REF!</v>
      </c>
      <c r="GA81" t="e">
        <f>AND(Liste!#REF!,"AAAAAF+n3bY=")</f>
        <v>#REF!</v>
      </c>
      <c r="GB81" t="e">
        <f>AND(Liste!#REF!,"AAAAAF+n3bc=")</f>
        <v>#REF!</v>
      </c>
      <c r="GC81" t="e">
        <f>AND(Liste!#REF!,"AAAAAF+n3bg=")</f>
        <v>#REF!</v>
      </c>
      <c r="GD81" t="e">
        <f>AND(Liste!#REF!,"AAAAAF+n3bk=")</f>
        <v>#REF!</v>
      </c>
      <c r="GE81" t="e">
        <f>AND(Liste!#REF!,"AAAAAF+n3bo=")</f>
        <v>#REF!</v>
      </c>
      <c r="GF81" t="e">
        <f>AND(Liste!#REF!,"AAAAAF+n3bs=")</f>
        <v>#REF!</v>
      </c>
      <c r="GG81" t="e">
        <f>AND(Liste!#REF!,"AAAAAF+n3bw=")</f>
        <v>#REF!</v>
      </c>
      <c r="GH81" t="e">
        <f>AND(Liste!#REF!,"AAAAAF+n3b0=")</f>
        <v>#REF!</v>
      </c>
      <c r="GI81" t="e">
        <f>AND(Liste!#REF!,"AAAAAF+n3b4=")</f>
        <v>#REF!</v>
      </c>
      <c r="GJ81" t="e">
        <f>AND(Liste!#REF!,"AAAAAF+n3b8=")</f>
        <v>#REF!</v>
      </c>
      <c r="GK81" t="e">
        <f>AND(Liste!#REF!,"AAAAAF+n3cA=")</f>
        <v>#REF!</v>
      </c>
      <c r="GL81" t="e">
        <f>AND(Liste!#REF!,"AAAAAF+n3cE=")</f>
        <v>#REF!</v>
      </c>
      <c r="GM81" t="e">
        <f>AND(Liste!#REF!,"AAAAAF+n3cI=")</f>
        <v>#REF!</v>
      </c>
      <c r="GN81" t="e">
        <f>AND(Liste!#REF!,"AAAAAF+n3cM=")</f>
        <v>#REF!</v>
      </c>
      <c r="GO81" t="e">
        <f>AND(Liste!#REF!,"AAAAAF+n3cQ=")</f>
        <v>#REF!</v>
      </c>
      <c r="GP81">
        <f>IF(Liste!532:532,"AAAAAF+n3cU=",0)</f>
        <v>0</v>
      </c>
      <c r="GQ81" t="b">
        <f>AND(Liste!A532,"AAAAAF+n3cY=")</f>
        <v>1</v>
      </c>
      <c r="GR81" t="e">
        <f>AND(Liste!#REF!,"AAAAAF+n3cc=")</f>
        <v>#REF!</v>
      </c>
      <c r="GS81" t="e">
        <f>AND(Liste!#REF!,"AAAAAF+n3cg=")</f>
        <v>#REF!</v>
      </c>
      <c r="GT81" t="e">
        <f>AND(Liste!#REF!,"AAAAAF+n3ck=")</f>
        <v>#REF!</v>
      </c>
      <c r="GU81" t="e">
        <f>AND(Liste!F532,"AAAAAF+n3co=")</f>
        <v>#VALUE!</v>
      </c>
      <c r="GV81" t="e">
        <f>AND(Liste!G532,"AAAAAF+n3cs=")</f>
        <v>#VALUE!</v>
      </c>
      <c r="GW81" t="e">
        <f>AND(Liste!H532,"AAAAAF+n3cw=")</f>
        <v>#VALUE!</v>
      </c>
      <c r="GX81" t="e">
        <f>AND(Liste!I532,"AAAAAF+n3c0=")</f>
        <v>#VALUE!</v>
      </c>
      <c r="GY81" t="e">
        <f>AND(Liste!J532,"AAAAAF+n3c4=")</f>
        <v>#VALUE!</v>
      </c>
      <c r="GZ81" t="e">
        <f>AND(Liste!#REF!,"AAAAAF+n3c8=")</f>
        <v>#REF!</v>
      </c>
      <c r="HA81" t="e">
        <f>AND(Liste!#REF!,"AAAAAF+n3dA=")</f>
        <v>#REF!</v>
      </c>
      <c r="HB81" t="e">
        <f>AND(Liste!#REF!,"AAAAAF+n3dE=")</f>
        <v>#REF!</v>
      </c>
      <c r="HC81" t="e">
        <f>AND(Liste!#REF!,"AAAAAF+n3dI=")</f>
        <v>#REF!</v>
      </c>
      <c r="HD81" t="e">
        <f>AND(Liste!#REF!,"AAAAAF+n3dM=")</f>
        <v>#REF!</v>
      </c>
      <c r="HE81" t="e">
        <f>AND(Liste!#REF!,"AAAAAF+n3dQ=")</f>
        <v>#REF!</v>
      </c>
      <c r="HF81" t="e">
        <f>AND(Liste!#REF!,"AAAAAF+n3dU=")</f>
        <v>#REF!</v>
      </c>
      <c r="HG81" t="e">
        <f>AND(Liste!#REF!,"AAAAAF+n3dY=")</f>
        <v>#REF!</v>
      </c>
      <c r="HH81" t="e">
        <f>AND(Liste!#REF!,"AAAAAF+n3dc=")</f>
        <v>#REF!</v>
      </c>
      <c r="HI81" t="e">
        <f>AND(Liste!#REF!,"AAAAAF+n3dg=")</f>
        <v>#REF!</v>
      </c>
      <c r="HJ81" t="e">
        <f>AND(Liste!#REF!,"AAAAAF+n3dk=")</f>
        <v>#REF!</v>
      </c>
      <c r="HK81" t="e">
        <f>AND(Liste!#REF!,"AAAAAF+n3do=")</f>
        <v>#REF!</v>
      </c>
      <c r="HL81" t="e">
        <f>AND(Liste!#REF!,"AAAAAF+n3ds=")</f>
        <v>#REF!</v>
      </c>
      <c r="HM81" t="e">
        <f>AND(Liste!#REF!,"AAAAAF+n3dw=")</f>
        <v>#REF!</v>
      </c>
      <c r="HN81" t="e">
        <f>AND(Liste!#REF!,"AAAAAF+n3d0=")</f>
        <v>#REF!</v>
      </c>
      <c r="HO81" t="e">
        <f>AND(Liste!#REF!,"AAAAAF+n3d4=")</f>
        <v>#REF!</v>
      </c>
      <c r="HP81" t="e">
        <f>AND(Liste!#REF!,"AAAAAF+n3d8=")</f>
        <v>#REF!</v>
      </c>
      <c r="HQ81" t="e">
        <f>AND(Liste!#REF!,"AAAAAF+n3eA=")</f>
        <v>#REF!</v>
      </c>
      <c r="HR81" t="e">
        <f>AND(Liste!#REF!,"AAAAAF+n3eE=")</f>
        <v>#REF!</v>
      </c>
      <c r="HS81" t="e">
        <f>AND(Liste!#REF!,"AAAAAF+n3eI=")</f>
        <v>#REF!</v>
      </c>
      <c r="HT81" t="e">
        <f>AND(Liste!#REF!,"AAAAAF+n3eM=")</f>
        <v>#REF!</v>
      </c>
      <c r="HU81">
        <f>IF(Liste!533:533,"AAAAAF+n3eQ=",0)</f>
        <v>0</v>
      </c>
      <c r="HV81" t="b">
        <f>AND(Liste!A533,"AAAAAF+n3eU=")</f>
        <v>1</v>
      </c>
      <c r="HW81" t="e">
        <f>AND(Liste!#REF!,"AAAAAF+n3eY=")</f>
        <v>#REF!</v>
      </c>
      <c r="HX81" t="e">
        <f>AND(Liste!#REF!,"AAAAAF+n3ec=")</f>
        <v>#REF!</v>
      </c>
      <c r="HY81" t="e">
        <f>AND(Liste!#REF!,"AAAAAF+n3eg=")</f>
        <v>#REF!</v>
      </c>
      <c r="HZ81" t="e">
        <f>AND(Liste!F533,"AAAAAF+n3ek=")</f>
        <v>#VALUE!</v>
      </c>
      <c r="IA81" t="e">
        <f>AND(Liste!G533,"AAAAAF+n3eo=")</f>
        <v>#VALUE!</v>
      </c>
      <c r="IB81" t="e">
        <f>AND(Liste!H533,"AAAAAF+n3es=")</f>
        <v>#VALUE!</v>
      </c>
      <c r="IC81" t="e">
        <f>AND(Liste!I533,"AAAAAF+n3ew=")</f>
        <v>#VALUE!</v>
      </c>
      <c r="ID81" t="e">
        <f>AND(Liste!J533,"AAAAAF+n3e0=")</f>
        <v>#VALUE!</v>
      </c>
      <c r="IE81" t="e">
        <f>AND(Liste!#REF!,"AAAAAF+n3e4=")</f>
        <v>#REF!</v>
      </c>
      <c r="IF81" t="e">
        <f>AND(Liste!#REF!,"AAAAAF+n3e8=")</f>
        <v>#REF!</v>
      </c>
      <c r="IG81" t="e">
        <f>AND(Liste!#REF!,"AAAAAF+n3fA=")</f>
        <v>#REF!</v>
      </c>
      <c r="IH81" t="e">
        <f>AND(Liste!#REF!,"AAAAAF+n3fE=")</f>
        <v>#REF!</v>
      </c>
      <c r="II81" t="e">
        <f>AND(Liste!#REF!,"AAAAAF+n3fI=")</f>
        <v>#REF!</v>
      </c>
      <c r="IJ81" t="e">
        <f>AND(Liste!#REF!,"AAAAAF+n3fM=")</f>
        <v>#REF!</v>
      </c>
      <c r="IK81" t="e">
        <f>AND(Liste!#REF!,"AAAAAF+n3fQ=")</f>
        <v>#REF!</v>
      </c>
      <c r="IL81" t="e">
        <f>AND(Liste!#REF!,"AAAAAF+n3fU=")</f>
        <v>#REF!</v>
      </c>
      <c r="IM81" t="e">
        <f>AND(Liste!#REF!,"AAAAAF+n3fY=")</f>
        <v>#REF!</v>
      </c>
      <c r="IN81" t="e">
        <f>AND(Liste!#REF!,"AAAAAF+n3fc=")</f>
        <v>#REF!</v>
      </c>
      <c r="IO81" t="e">
        <f>AND(Liste!#REF!,"AAAAAF+n3fg=")</f>
        <v>#REF!</v>
      </c>
      <c r="IP81" t="e">
        <f>AND(Liste!#REF!,"AAAAAF+n3fk=")</f>
        <v>#REF!</v>
      </c>
      <c r="IQ81" t="e">
        <f>AND(Liste!#REF!,"AAAAAF+n3fo=")</f>
        <v>#REF!</v>
      </c>
      <c r="IR81" t="e">
        <f>AND(Liste!#REF!,"AAAAAF+n3fs=")</f>
        <v>#REF!</v>
      </c>
      <c r="IS81" t="e">
        <f>AND(Liste!#REF!,"AAAAAF+n3fw=")</f>
        <v>#REF!</v>
      </c>
      <c r="IT81" t="e">
        <f>AND(Liste!#REF!,"AAAAAF+n3f0=")</f>
        <v>#REF!</v>
      </c>
      <c r="IU81" t="e">
        <f>AND(Liste!#REF!,"AAAAAF+n3f4=")</f>
        <v>#REF!</v>
      </c>
      <c r="IV81" t="e">
        <f>AND(Liste!#REF!,"AAAAAF+n3f8=")</f>
        <v>#REF!</v>
      </c>
    </row>
    <row r="82" spans="1:256" x14ac:dyDescent="0.2">
      <c r="A82" t="e">
        <f>AND(Liste!#REF!,"AAAAAHX/6wA=")</f>
        <v>#REF!</v>
      </c>
      <c r="B82" t="e">
        <f>AND(Liste!#REF!,"AAAAAHX/6wE=")</f>
        <v>#REF!</v>
      </c>
      <c r="C82" t="e">
        <f>AND(Liste!#REF!,"AAAAAHX/6wI=")</f>
        <v>#REF!</v>
      </c>
      <c r="D82" t="e">
        <f>IF(Liste!534:534,"AAAAAHX/6wM=",0)</f>
        <v>#VALUE!</v>
      </c>
      <c r="E82" t="b">
        <f>AND(Liste!A534,"AAAAAHX/6wQ=")</f>
        <v>1</v>
      </c>
      <c r="F82" t="e">
        <f>AND(Liste!#REF!,"AAAAAHX/6wU=")</f>
        <v>#REF!</v>
      </c>
      <c r="G82" t="e">
        <f>AND(Liste!#REF!,"AAAAAHX/6wY=")</f>
        <v>#REF!</v>
      </c>
      <c r="H82" t="e">
        <f>AND(Liste!#REF!,"AAAAAHX/6wc=")</f>
        <v>#REF!</v>
      </c>
      <c r="I82" t="e">
        <f>AND(Liste!F534,"AAAAAHX/6wg=")</f>
        <v>#VALUE!</v>
      </c>
      <c r="J82" t="e">
        <f>AND(Liste!G534,"AAAAAHX/6wk=")</f>
        <v>#VALUE!</v>
      </c>
      <c r="K82" t="e">
        <f>AND(Liste!H534,"AAAAAHX/6wo=")</f>
        <v>#VALUE!</v>
      </c>
      <c r="L82" t="e">
        <f>AND(Liste!I534,"AAAAAHX/6ws=")</f>
        <v>#VALUE!</v>
      </c>
      <c r="M82" t="e">
        <f>AND(Liste!J534,"AAAAAHX/6ww=")</f>
        <v>#VALUE!</v>
      </c>
      <c r="N82" t="e">
        <f>AND(Liste!#REF!,"AAAAAHX/6w0=")</f>
        <v>#REF!</v>
      </c>
      <c r="O82" t="e">
        <f>AND(Liste!#REF!,"AAAAAHX/6w4=")</f>
        <v>#REF!</v>
      </c>
      <c r="P82" t="e">
        <f>AND(Liste!#REF!,"AAAAAHX/6w8=")</f>
        <v>#REF!</v>
      </c>
      <c r="Q82" t="e">
        <f>AND(Liste!#REF!,"AAAAAHX/6xA=")</f>
        <v>#REF!</v>
      </c>
      <c r="R82" t="e">
        <f>AND(Liste!#REF!,"AAAAAHX/6xE=")</f>
        <v>#REF!</v>
      </c>
      <c r="S82" t="e">
        <f>AND(Liste!#REF!,"AAAAAHX/6xI=")</f>
        <v>#REF!</v>
      </c>
      <c r="T82" t="e">
        <f>AND(Liste!#REF!,"AAAAAHX/6xM=")</f>
        <v>#REF!</v>
      </c>
      <c r="U82" t="e">
        <f>AND(Liste!#REF!,"AAAAAHX/6xQ=")</f>
        <v>#REF!</v>
      </c>
      <c r="V82" t="e">
        <f>AND(Liste!#REF!,"AAAAAHX/6xU=")</f>
        <v>#REF!</v>
      </c>
      <c r="W82" t="e">
        <f>AND(Liste!#REF!,"AAAAAHX/6xY=")</f>
        <v>#REF!</v>
      </c>
      <c r="X82" t="e">
        <f>AND(Liste!#REF!,"AAAAAHX/6xc=")</f>
        <v>#REF!</v>
      </c>
      <c r="Y82" t="e">
        <f>AND(Liste!#REF!,"AAAAAHX/6xg=")</f>
        <v>#REF!</v>
      </c>
      <c r="Z82" t="e">
        <f>AND(Liste!#REF!,"AAAAAHX/6xk=")</f>
        <v>#REF!</v>
      </c>
      <c r="AA82" t="e">
        <f>AND(Liste!#REF!,"AAAAAHX/6xo=")</f>
        <v>#REF!</v>
      </c>
      <c r="AB82" t="e">
        <f>AND(Liste!#REF!,"AAAAAHX/6xs=")</f>
        <v>#REF!</v>
      </c>
      <c r="AC82" t="e">
        <f>AND(Liste!#REF!,"AAAAAHX/6xw=")</f>
        <v>#REF!</v>
      </c>
      <c r="AD82" t="e">
        <f>AND(Liste!#REF!,"AAAAAHX/6x0=")</f>
        <v>#REF!</v>
      </c>
      <c r="AE82" t="e">
        <f>AND(Liste!#REF!,"AAAAAHX/6x4=")</f>
        <v>#REF!</v>
      </c>
      <c r="AF82" t="e">
        <f>AND(Liste!#REF!,"AAAAAHX/6x8=")</f>
        <v>#REF!</v>
      </c>
      <c r="AG82" t="e">
        <f>AND(Liste!#REF!,"AAAAAHX/6yA=")</f>
        <v>#REF!</v>
      </c>
      <c r="AH82" t="e">
        <f>AND(Liste!#REF!,"AAAAAHX/6yE=")</f>
        <v>#REF!</v>
      </c>
      <c r="AI82">
        <f>IF(Liste!535:535,"AAAAAHX/6yI=",0)</f>
        <v>0</v>
      </c>
      <c r="AJ82" t="b">
        <f>AND(Liste!A535,"AAAAAHX/6yM=")</f>
        <v>1</v>
      </c>
      <c r="AK82" t="e">
        <f>AND(Liste!#REF!,"AAAAAHX/6yQ=")</f>
        <v>#REF!</v>
      </c>
      <c r="AL82" t="e">
        <f>AND(Liste!#REF!,"AAAAAHX/6yU=")</f>
        <v>#REF!</v>
      </c>
      <c r="AM82" t="e">
        <f>AND(Liste!#REF!,"AAAAAHX/6yY=")</f>
        <v>#REF!</v>
      </c>
      <c r="AN82" t="e">
        <f>AND(Liste!F535,"AAAAAHX/6yc=")</f>
        <v>#VALUE!</v>
      </c>
      <c r="AO82" t="e">
        <f>AND(Liste!G535,"AAAAAHX/6yg=")</f>
        <v>#VALUE!</v>
      </c>
      <c r="AP82" t="e">
        <f>AND(Liste!H535,"AAAAAHX/6yk=")</f>
        <v>#VALUE!</v>
      </c>
      <c r="AQ82" t="e">
        <f>AND(Liste!I535,"AAAAAHX/6yo=")</f>
        <v>#VALUE!</v>
      </c>
      <c r="AR82" t="e">
        <f>AND(Liste!J535,"AAAAAHX/6ys=")</f>
        <v>#VALUE!</v>
      </c>
      <c r="AS82" t="e">
        <f>AND(Liste!#REF!,"AAAAAHX/6yw=")</f>
        <v>#REF!</v>
      </c>
      <c r="AT82" t="e">
        <f>AND(Liste!#REF!,"AAAAAHX/6y0=")</f>
        <v>#REF!</v>
      </c>
      <c r="AU82" t="e">
        <f>AND(Liste!#REF!,"AAAAAHX/6y4=")</f>
        <v>#REF!</v>
      </c>
      <c r="AV82" t="e">
        <f>AND(Liste!#REF!,"AAAAAHX/6y8=")</f>
        <v>#REF!</v>
      </c>
      <c r="AW82" t="e">
        <f>AND(Liste!#REF!,"AAAAAHX/6zA=")</f>
        <v>#REF!</v>
      </c>
      <c r="AX82" t="e">
        <f>AND(Liste!#REF!,"AAAAAHX/6zE=")</f>
        <v>#REF!</v>
      </c>
      <c r="AY82" t="e">
        <f>AND(Liste!#REF!,"AAAAAHX/6zI=")</f>
        <v>#REF!</v>
      </c>
      <c r="AZ82" t="e">
        <f>AND(Liste!#REF!,"AAAAAHX/6zM=")</f>
        <v>#REF!</v>
      </c>
      <c r="BA82" t="e">
        <f>AND(Liste!#REF!,"AAAAAHX/6zQ=")</f>
        <v>#REF!</v>
      </c>
      <c r="BB82" t="e">
        <f>AND(Liste!#REF!,"AAAAAHX/6zU=")</f>
        <v>#REF!</v>
      </c>
      <c r="BC82" t="e">
        <f>AND(Liste!#REF!,"AAAAAHX/6zY=")</f>
        <v>#REF!</v>
      </c>
      <c r="BD82" t="e">
        <f>AND(Liste!#REF!,"AAAAAHX/6zc=")</f>
        <v>#REF!</v>
      </c>
      <c r="BE82" t="e">
        <f>AND(Liste!#REF!,"AAAAAHX/6zg=")</f>
        <v>#REF!</v>
      </c>
      <c r="BF82" t="e">
        <f>AND(Liste!#REF!,"AAAAAHX/6zk=")</f>
        <v>#REF!</v>
      </c>
      <c r="BG82" t="e">
        <f>AND(Liste!#REF!,"AAAAAHX/6zo=")</f>
        <v>#REF!</v>
      </c>
      <c r="BH82" t="e">
        <f>AND(Liste!#REF!,"AAAAAHX/6zs=")</f>
        <v>#REF!</v>
      </c>
      <c r="BI82" t="e">
        <f>AND(Liste!#REF!,"AAAAAHX/6zw=")</f>
        <v>#REF!</v>
      </c>
      <c r="BJ82" t="e">
        <f>AND(Liste!#REF!,"AAAAAHX/6z0=")</f>
        <v>#REF!</v>
      </c>
      <c r="BK82" t="e">
        <f>AND(Liste!#REF!,"AAAAAHX/6z4=")</f>
        <v>#REF!</v>
      </c>
      <c r="BL82" t="e">
        <f>AND(Liste!#REF!,"AAAAAHX/6z8=")</f>
        <v>#REF!</v>
      </c>
      <c r="BM82" t="e">
        <f>AND(Liste!#REF!,"AAAAAHX/60A=")</f>
        <v>#REF!</v>
      </c>
      <c r="BN82">
        <f>IF(Liste!536:536,"AAAAAHX/60E=",0)</f>
        <v>0</v>
      </c>
      <c r="BO82" t="b">
        <f>AND(Liste!A536,"AAAAAHX/60I=")</f>
        <v>1</v>
      </c>
      <c r="BP82" t="e">
        <f>AND(Liste!#REF!,"AAAAAHX/60M=")</f>
        <v>#REF!</v>
      </c>
      <c r="BQ82" t="e">
        <f>AND(Liste!#REF!,"AAAAAHX/60Q=")</f>
        <v>#REF!</v>
      </c>
      <c r="BR82" t="e">
        <f>AND(Liste!#REF!,"AAAAAHX/60U=")</f>
        <v>#REF!</v>
      </c>
      <c r="BS82" t="e">
        <f>AND(Liste!F536,"AAAAAHX/60Y=")</f>
        <v>#VALUE!</v>
      </c>
      <c r="BT82" t="e">
        <f>AND(Liste!G536,"AAAAAHX/60c=")</f>
        <v>#VALUE!</v>
      </c>
      <c r="BU82" t="e">
        <f>AND(Liste!H536,"AAAAAHX/60g=")</f>
        <v>#VALUE!</v>
      </c>
      <c r="BV82" t="e">
        <f>AND(Liste!I536,"AAAAAHX/60k=")</f>
        <v>#VALUE!</v>
      </c>
      <c r="BW82" t="e">
        <f>AND(Liste!J536,"AAAAAHX/60o=")</f>
        <v>#VALUE!</v>
      </c>
      <c r="BX82" t="e">
        <f>AND(Liste!#REF!,"AAAAAHX/60s=")</f>
        <v>#REF!</v>
      </c>
      <c r="BY82" t="e">
        <f>AND(Liste!#REF!,"AAAAAHX/60w=")</f>
        <v>#REF!</v>
      </c>
      <c r="BZ82" t="e">
        <f>AND(Liste!#REF!,"AAAAAHX/600=")</f>
        <v>#REF!</v>
      </c>
      <c r="CA82" t="e">
        <f>AND(Liste!#REF!,"AAAAAHX/604=")</f>
        <v>#REF!</v>
      </c>
      <c r="CB82" t="e">
        <f>AND(Liste!#REF!,"AAAAAHX/608=")</f>
        <v>#REF!</v>
      </c>
      <c r="CC82" t="e">
        <f>AND(Liste!#REF!,"AAAAAHX/61A=")</f>
        <v>#REF!</v>
      </c>
      <c r="CD82" t="e">
        <f>AND(Liste!#REF!,"AAAAAHX/61E=")</f>
        <v>#REF!</v>
      </c>
      <c r="CE82" t="e">
        <f>AND(Liste!#REF!,"AAAAAHX/61I=")</f>
        <v>#REF!</v>
      </c>
      <c r="CF82" t="e">
        <f>AND(Liste!#REF!,"AAAAAHX/61M=")</f>
        <v>#REF!</v>
      </c>
      <c r="CG82" t="e">
        <f>AND(Liste!#REF!,"AAAAAHX/61Q=")</f>
        <v>#REF!</v>
      </c>
      <c r="CH82" t="e">
        <f>AND(Liste!#REF!,"AAAAAHX/61U=")</f>
        <v>#REF!</v>
      </c>
      <c r="CI82" t="e">
        <f>AND(Liste!#REF!,"AAAAAHX/61Y=")</f>
        <v>#REF!</v>
      </c>
      <c r="CJ82" t="e">
        <f>AND(Liste!#REF!,"AAAAAHX/61c=")</f>
        <v>#REF!</v>
      </c>
      <c r="CK82" t="e">
        <f>AND(Liste!#REF!,"AAAAAHX/61g=")</f>
        <v>#REF!</v>
      </c>
      <c r="CL82" t="e">
        <f>AND(Liste!#REF!,"AAAAAHX/61k=")</f>
        <v>#REF!</v>
      </c>
      <c r="CM82" t="e">
        <f>AND(Liste!#REF!,"AAAAAHX/61o=")</f>
        <v>#REF!</v>
      </c>
      <c r="CN82" t="e">
        <f>AND(Liste!#REF!,"AAAAAHX/61s=")</f>
        <v>#REF!</v>
      </c>
      <c r="CO82" t="e">
        <f>AND(Liste!#REF!,"AAAAAHX/61w=")</f>
        <v>#REF!</v>
      </c>
      <c r="CP82" t="e">
        <f>AND(Liste!#REF!,"AAAAAHX/610=")</f>
        <v>#REF!</v>
      </c>
      <c r="CQ82" t="e">
        <f>AND(Liste!#REF!,"AAAAAHX/614=")</f>
        <v>#REF!</v>
      </c>
      <c r="CR82" t="e">
        <f>AND(Liste!#REF!,"AAAAAHX/618=")</f>
        <v>#REF!</v>
      </c>
      <c r="CS82">
        <f>IF(Liste!537:537,"AAAAAHX/62A=",0)</f>
        <v>0</v>
      </c>
      <c r="CT82" t="b">
        <f>AND(Liste!A537,"AAAAAHX/62E=")</f>
        <v>1</v>
      </c>
      <c r="CU82" t="e">
        <f>AND(Liste!#REF!,"AAAAAHX/62I=")</f>
        <v>#REF!</v>
      </c>
      <c r="CV82" t="e">
        <f>AND(Liste!#REF!,"AAAAAHX/62M=")</f>
        <v>#REF!</v>
      </c>
      <c r="CW82" t="e">
        <f>AND(Liste!#REF!,"AAAAAHX/62Q=")</f>
        <v>#REF!</v>
      </c>
      <c r="CX82" t="e">
        <f>AND(Liste!F537,"AAAAAHX/62U=")</f>
        <v>#VALUE!</v>
      </c>
      <c r="CY82" t="e">
        <f>AND(Liste!G537,"AAAAAHX/62Y=")</f>
        <v>#VALUE!</v>
      </c>
      <c r="CZ82" t="e">
        <f>AND(Liste!H537,"AAAAAHX/62c=")</f>
        <v>#VALUE!</v>
      </c>
      <c r="DA82" t="e">
        <f>AND(Liste!I537,"AAAAAHX/62g=")</f>
        <v>#VALUE!</v>
      </c>
      <c r="DB82" t="e">
        <f>AND(Liste!J537,"AAAAAHX/62k=")</f>
        <v>#VALUE!</v>
      </c>
      <c r="DC82" t="e">
        <f>AND(Liste!#REF!,"AAAAAHX/62o=")</f>
        <v>#REF!</v>
      </c>
      <c r="DD82" t="e">
        <f>AND(Liste!#REF!,"AAAAAHX/62s=")</f>
        <v>#REF!</v>
      </c>
      <c r="DE82" t="e">
        <f>AND(Liste!#REF!,"AAAAAHX/62w=")</f>
        <v>#REF!</v>
      </c>
      <c r="DF82" t="e">
        <f>AND(Liste!#REF!,"AAAAAHX/620=")</f>
        <v>#REF!</v>
      </c>
      <c r="DG82" t="e">
        <f>AND(Liste!#REF!,"AAAAAHX/624=")</f>
        <v>#REF!</v>
      </c>
      <c r="DH82" t="e">
        <f>AND(Liste!#REF!,"AAAAAHX/628=")</f>
        <v>#REF!</v>
      </c>
      <c r="DI82" t="e">
        <f>AND(Liste!#REF!,"AAAAAHX/63A=")</f>
        <v>#REF!</v>
      </c>
      <c r="DJ82" t="e">
        <f>AND(Liste!#REF!,"AAAAAHX/63E=")</f>
        <v>#REF!</v>
      </c>
      <c r="DK82" t="e">
        <f>AND(Liste!#REF!,"AAAAAHX/63I=")</f>
        <v>#REF!</v>
      </c>
      <c r="DL82" t="e">
        <f>AND(Liste!#REF!,"AAAAAHX/63M=")</f>
        <v>#REF!</v>
      </c>
      <c r="DM82" t="e">
        <f>AND(Liste!#REF!,"AAAAAHX/63Q=")</f>
        <v>#REF!</v>
      </c>
      <c r="DN82" t="e">
        <f>AND(Liste!#REF!,"AAAAAHX/63U=")</f>
        <v>#REF!</v>
      </c>
      <c r="DO82" t="e">
        <f>AND(Liste!#REF!,"AAAAAHX/63Y=")</f>
        <v>#REF!</v>
      </c>
      <c r="DP82" t="e">
        <f>AND(Liste!#REF!,"AAAAAHX/63c=")</f>
        <v>#REF!</v>
      </c>
      <c r="DQ82" t="e">
        <f>AND(Liste!#REF!,"AAAAAHX/63g=")</f>
        <v>#REF!</v>
      </c>
      <c r="DR82" t="e">
        <f>AND(Liste!#REF!,"AAAAAHX/63k=")</f>
        <v>#REF!</v>
      </c>
      <c r="DS82" t="e">
        <f>AND(Liste!#REF!,"AAAAAHX/63o=")</f>
        <v>#REF!</v>
      </c>
      <c r="DT82" t="e">
        <f>AND(Liste!#REF!,"AAAAAHX/63s=")</f>
        <v>#REF!</v>
      </c>
      <c r="DU82" t="e">
        <f>AND(Liste!#REF!,"AAAAAHX/63w=")</f>
        <v>#REF!</v>
      </c>
      <c r="DV82" t="e">
        <f>AND(Liste!#REF!,"AAAAAHX/630=")</f>
        <v>#REF!</v>
      </c>
      <c r="DW82" t="e">
        <f>AND(Liste!#REF!,"AAAAAHX/634=")</f>
        <v>#REF!</v>
      </c>
      <c r="DX82">
        <f>IF(Liste!538:538,"AAAAAHX/638=",0)</f>
        <v>0</v>
      </c>
      <c r="DY82" t="b">
        <f>AND(Liste!A538,"AAAAAHX/64A=")</f>
        <v>1</v>
      </c>
      <c r="DZ82" t="e">
        <f>AND(Liste!#REF!,"AAAAAHX/64E=")</f>
        <v>#REF!</v>
      </c>
      <c r="EA82" t="e">
        <f>AND(Liste!#REF!,"AAAAAHX/64I=")</f>
        <v>#REF!</v>
      </c>
      <c r="EB82" t="e">
        <f>AND(Liste!#REF!,"AAAAAHX/64M=")</f>
        <v>#REF!</v>
      </c>
      <c r="EC82" t="e">
        <f>AND(Liste!F538,"AAAAAHX/64Q=")</f>
        <v>#VALUE!</v>
      </c>
      <c r="ED82" t="e">
        <f>AND(Liste!G538,"AAAAAHX/64U=")</f>
        <v>#VALUE!</v>
      </c>
      <c r="EE82" t="e">
        <f>AND(Liste!H538,"AAAAAHX/64Y=")</f>
        <v>#VALUE!</v>
      </c>
      <c r="EF82" t="e">
        <f>AND(Liste!I538,"AAAAAHX/64c=")</f>
        <v>#VALUE!</v>
      </c>
      <c r="EG82" t="e">
        <f>AND(Liste!J538,"AAAAAHX/64g=")</f>
        <v>#VALUE!</v>
      </c>
      <c r="EH82" t="e">
        <f>AND(Liste!#REF!,"AAAAAHX/64k=")</f>
        <v>#REF!</v>
      </c>
      <c r="EI82" t="e">
        <f>AND(Liste!#REF!,"AAAAAHX/64o=")</f>
        <v>#REF!</v>
      </c>
      <c r="EJ82" t="e">
        <f>AND(Liste!#REF!,"AAAAAHX/64s=")</f>
        <v>#REF!</v>
      </c>
      <c r="EK82" t="e">
        <f>AND(Liste!#REF!,"AAAAAHX/64w=")</f>
        <v>#REF!</v>
      </c>
      <c r="EL82" t="e">
        <f>AND(Liste!#REF!,"AAAAAHX/640=")</f>
        <v>#REF!</v>
      </c>
      <c r="EM82" t="e">
        <f>AND(Liste!#REF!,"AAAAAHX/644=")</f>
        <v>#REF!</v>
      </c>
      <c r="EN82" t="e">
        <f>AND(Liste!#REF!,"AAAAAHX/648=")</f>
        <v>#REF!</v>
      </c>
      <c r="EO82" t="e">
        <f>AND(Liste!#REF!,"AAAAAHX/65A=")</f>
        <v>#REF!</v>
      </c>
      <c r="EP82" t="e">
        <f>AND(Liste!#REF!,"AAAAAHX/65E=")</f>
        <v>#REF!</v>
      </c>
      <c r="EQ82" t="e">
        <f>AND(Liste!#REF!,"AAAAAHX/65I=")</f>
        <v>#REF!</v>
      </c>
      <c r="ER82" t="e">
        <f>AND(Liste!#REF!,"AAAAAHX/65M=")</f>
        <v>#REF!</v>
      </c>
      <c r="ES82" t="e">
        <f>AND(Liste!#REF!,"AAAAAHX/65Q=")</f>
        <v>#REF!</v>
      </c>
      <c r="ET82" t="e">
        <f>AND(Liste!#REF!,"AAAAAHX/65U=")</f>
        <v>#REF!</v>
      </c>
      <c r="EU82" t="e">
        <f>AND(Liste!#REF!,"AAAAAHX/65Y=")</f>
        <v>#REF!</v>
      </c>
      <c r="EV82" t="e">
        <f>AND(Liste!#REF!,"AAAAAHX/65c=")</f>
        <v>#REF!</v>
      </c>
      <c r="EW82" t="e">
        <f>AND(Liste!#REF!,"AAAAAHX/65g=")</f>
        <v>#REF!</v>
      </c>
      <c r="EX82" t="e">
        <f>AND(Liste!#REF!,"AAAAAHX/65k=")</f>
        <v>#REF!</v>
      </c>
      <c r="EY82" t="e">
        <f>AND(Liste!#REF!,"AAAAAHX/65o=")</f>
        <v>#REF!</v>
      </c>
      <c r="EZ82" t="e">
        <f>AND(Liste!#REF!,"AAAAAHX/65s=")</f>
        <v>#REF!</v>
      </c>
      <c r="FA82" t="e">
        <f>AND(Liste!#REF!,"AAAAAHX/65w=")</f>
        <v>#REF!</v>
      </c>
      <c r="FB82" t="e">
        <f>AND(Liste!#REF!,"AAAAAHX/650=")</f>
        <v>#REF!</v>
      </c>
      <c r="FC82">
        <f>IF(Liste!539:539,"AAAAAHX/654=",0)</f>
        <v>0</v>
      </c>
      <c r="FD82" t="b">
        <f>AND(Liste!A539,"AAAAAHX/658=")</f>
        <v>1</v>
      </c>
      <c r="FE82" t="e">
        <f>AND(Liste!#REF!,"AAAAAHX/66A=")</f>
        <v>#REF!</v>
      </c>
      <c r="FF82" t="e">
        <f>AND(Liste!#REF!,"AAAAAHX/66E=")</f>
        <v>#REF!</v>
      </c>
      <c r="FG82" t="e">
        <f>AND(Liste!#REF!,"AAAAAHX/66I=")</f>
        <v>#REF!</v>
      </c>
      <c r="FH82" t="e">
        <f>AND(Liste!F539,"AAAAAHX/66M=")</f>
        <v>#VALUE!</v>
      </c>
      <c r="FI82" t="e">
        <f>AND(Liste!G539,"AAAAAHX/66Q=")</f>
        <v>#VALUE!</v>
      </c>
      <c r="FJ82" t="e">
        <f>AND(Liste!H539,"AAAAAHX/66U=")</f>
        <v>#VALUE!</v>
      </c>
      <c r="FK82" t="e">
        <f>AND(Liste!I539,"AAAAAHX/66Y=")</f>
        <v>#VALUE!</v>
      </c>
      <c r="FL82" t="e">
        <f>AND(Liste!J539,"AAAAAHX/66c=")</f>
        <v>#VALUE!</v>
      </c>
      <c r="FM82" t="e">
        <f>AND(Liste!#REF!,"AAAAAHX/66g=")</f>
        <v>#REF!</v>
      </c>
      <c r="FN82" t="e">
        <f>AND(Liste!#REF!,"AAAAAHX/66k=")</f>
        <v>#REF!</v>
      </c>
      <c r="FO82" t="e">
        <f>AND(Liste!#REF!,"AAAAAHX/66o=")</f>
        <v>#REF!</v>
      </c>
      <c r="FP82" t="e">
        <f>AND(Liste!#REF!,"AAAAAHX/66s=")</f>
        <v>#REF!</v>
      </c>
      <c r="FQ82" t="e">
        <f>AND(Liste!#REF!,"AAAAAHX/66w=")</f>
        <v>#REF!</v>
      </c>
      <c r="FR82" t="e">
        <f>AND(Liste!#REF!,"AAAAAHX/660=")</f>
        <v>#REF!</v>
      </c>
      <c r="FS82" t="e">
        <f>AND(Liste!#REF!,"AAAAAHX/664=")</f>
        <v>#REF!</v>
      </c>
      <c r="FT82" t="e">
        <f>AND(Liste!#REF!,"AAAAAHX/668=")</f>
        <v>#REF!</v>
      </c>
      <c r="FU82" t="e">
        <f>AND(Liste!#REF!,"AAAAAHX/67A=")</f>
        <v>#REF!</v>
      </c>
      <c r="FV82" t="e">
        <f>AND(Liste!#REF!,"AAAAAHX/67E=")</f>
        <v>#REF!</v>
      </c>
      <c r="FW82" t="e">
        <f>AND(Liste!#REF!,"AAAAAHX/67I=")</f>
        <v>#REF!</v>
      </c>
      <c r="FX82" t="e">
        <f>AND(Liste!#REF!,"AAAAAHX/67M=")</f>
        <v>#REF!</v>
      </c>
      <c r="FY82" t="e">
        <f>AND(Liste!#REF!,"AAAAAHX/67Q=")</f>
        <v>#REF!</v>
      </c>
      <c r="FZ82" t="e">
        <f>AND(Liste!#REF!,"AAAAAHX/67U=")</f>
        <v>#REF!</v>
      </c>
      <c r="GA82" t="e">
        <f>AND(Liste!#REF!,"AAAAAHX/67Y=")</f>
        <v>#REF!</v>
      </c>
      <c r="GB82" t="e">
        <f>AND(Liste!#REF!,"AAAAAHX/67c=")</f>
        <v>#REF!</v>
      </c>
      <c r="GC82" t="e">
        <f>AND(Liste!#REF!,"AAAAAHX/67g=")</f>
        <v>#REF!</v>
      </c>
      <c r="GD82" t="e">
        <f>AND(Liste!#REF!,"AAAAAHX/67k=")</f>
        <v>#REF!</v>
      </c>
      <c r="GE82" t="e">
        <f>AND(Liste!#REF!,"AAAAAHX/67o=")</f>
        <v>#REF!</v>
      </c>
      <c r="GF82" t="e">
        <f>AND(Liste!#REF!,"AAAAAHX/67s=")</f>
        <v>#REF!</v>
      </c>
      <c r="GG82" t="e">
        <f>AND(Liste!#REF!,"AAAAAHX/67w=")</f>
        <v>#REF!</v>
      </c>
      <c r="GH82">
        <f>IF(Liste!540:540,"AAAAAHX/670=",0)</f>
        <v>0</v>
      </c>
      <c r="GI82" t="b">
        <f>AND(Liste!A540,"AAAAAHX/674=")</f>
        <v>1</v>
      </c>
      <c r="GJ82" t="e">
        <f>AND(Liste!#REF!,"AAAAAHX/678=")</f>
        <v>#REF!</v>
      </c>
      <c r="GK82" t="e">
        <f>AND(Liste!#REF!,"AAAAAHX/68A=")</f>
        <v>#REF!</v>
      </c>
      <c r="GL82" t="e">
        <f>AND(Liste!#REF!,"AAAAAHX/68E=")</f>
        <v>#REF!</v>
      </c>
      <c r="GM82" t="e">
        <f>AND(Liste!F540,"AAAAAHX/68I=")</f>
        <v>#VALUE!</v>
      </c>
      <c r="GN82" t="e">
        <f>AND(Liste!G540,"AAAAAHX/68M=")</f>
        <v>#VALUE!</v>
      </c>
      <c r="GO82" t="e">
        <f>AND(Liste!H540,"AAAAAHX/68Q=")</f>
        <v>#VALUE!</v>
      </c>
      <c r="GP82" t="e">
        <f>AND(Liste!I540,"AAAAAHX/68U=")</f>
        <v>#VALUE!</v>
      </c>
      <c r="GQ82" t="e">
        <f>AND(Liste!J540,"AAAAAHX/68Y=")</f>
        <v>#VALUE!</v>
      </c>
      <c r="GR82" t="e">
        <f>AND(Liste!#REF!,"AAAAAHX/68c=")</f>
        <v>#REF!</v>
      </c>
      <c r="GS82" t="e">
        <f>AND(Liste!#REF!,"AAAAAHX/68g=")</f>
        <v>#REF!</v>
      </c>
      <c r="GT82" t="e">
        <f>AND(Liste!#REF!,"AAAAAHX/68k=")</f>
        <v>#REF!</v>
      </c>
      <c r="GU82" t="e">
        <f>AND(Liste!#REF!,"AAAAAHX/68o=")</f>
        <v>#REF!</v>
      </c>
      <c r="GV82" t="e">
        <f>AND(Liste!#REF!,"AAAAAHX/68s=")</f>
        <v>#REF!</v>
      </c>
      <c r="GW82" t="e">
        <f>AND(Liste!#REF!,"AAAAAHX/68w=")</f>
        <v>#REF!</v>
      </c>
      <c r="GX82" t="e">
        <f>AND(Liste!#REF!,"AAAAAHX/680=")</f>
        <v>#REF!</v>
      </c>
      <c r="GY82" t="e">
        <f>AND(Liste!#REF!,"AAAAAHX/684=")</f>
        <v>#REF!</v>
      </c>
      <c r="GZ82" t="e">
        <f>AND(Liste!#REF!,"AAAAAHX/688=")</f>
        <v>#REF!</v>
      </c>
      <c r="HA82" t="e">
        <f>AND(Liste!#REF!,"AAAAAHX/69A=")</f>
        <v>#REF!</v>
      </c>
      <c r="HB82" t="e">
        <f>AND(Liste!#REF!,"AAAAAHX/69E=")</f>
        <v>#REF!</v>
      </c>
      <c r="HC82" t="e">
        <f>AND(Liste!#REF!,"AAAAAHX/69I=")</f>
        <v>#REF!</v>
      </c>
      <c r="HD82" t="e">
        <f>AND(Liste!#REF!,"AAAAAHX/69M=")</f>
        <v>#REF!</v>
      </c>
      <c r="HE82" t="e">
        <f>AND(Liste!#REF!,"AAAAAHX/69Q=")</f>
        <v>#REF!</v>
      </c>
      <c r="HF82" t="e">
        <f>AND(Liste!#REF!,"AAAAAHX/69U=")</f>
        <v>#REF!</v>
      </c>
      <c r="HG82" t="e">
        <f>AND(Liste!#REF!,"AAAAAHX/69Y=")</f>
        <v>#REF!</v>
      </c>
      <c r="HH82" t="e">
        <f>AND(Liste!#REF!,"AAAAAHX/69c=")</f>
        <v>#REF!</v>
      </c>
      <c r="HI82" t="e">
        <f>AND(Liste!#REF!,"AAAAAHX/69g=")</f>
        <v>#REF!</v>
      </c>
      <c r="HJ82" t="e">
        <f>AND(Liste!#REF!,"AAAAAHX/69k=")</f>
        <v>#REF!</v>
      </c>
      <c r="HK82" t="e">
        <f>AND(Liste!#REF!,"AAAAAHX/69o=")</f>
        <v>#REF!</v>
      </c>
      <c r="HL82" t="e">
        <f>AND(Liste!#REF!,"AAAAAHX/69s=")</f>
        <v>#REF!</v>
      </c>
      <c r="HM82">
        <f>IF(Liste!541:541,"AAAAAHX/69w=",0)</f>
        <v>0</v>
      </c>
      <c r="HN82" t="b">
        <f>AND(Liste!A541,"AAAAAHX/690=")</f>
        <v>1</v>
      </c>
      <c r="HO82" t="e">
        <f>AND(Liste!#REF!,"AAAAAHX/694=")</f>
        <v>#REF!</v>
      </c>
      <c r="HP82" t="e">
        <f>AND(Liste!#REF!,"AAAAAHX/698=")</f>
        <v>#REF!</v>
      </c>
      <c r="HQ82" t="e">
        <f>AND(Liste!#REF!,"AAAAAHX/6+A=")</f>
        <v>#REF!</v>
      </c>
      <c r="HR82" t="e">
        <f>AND(Liste!F541,"AAAAAHX/6+E=")</f>
        <v>#VALUE!</v>
      </c>
      <c r="HS82" t="e">
        <f>AND(Liste!G541,"AAAAAHX/6+I=")</f>
        <v>#VALUE!</v>
      </c>
      <c r="HT82" t="e">
        <f>AND(Liste!H541,"AAAAAHX/6+M=")</f>
        <v>#VALUE!</v>
      </c>
      <c r="HU82" t="e">
        <f>AND(Liste!I541,"AAAAAHX/6+Q=")</f>
        <v>#VALUE!</v>
      </c>
      <c r="HV82" t="e">
        <f>AND(Liste!J541,"AAAAAHX/6+U=")</f>
        <v>#VALUE!</v>
      </c>
      <c r="HW82" t="e">
        <f>AND(Liste!#REF!,"AAAAAHX/6+Y=")</f>
        <v>#REF!</v>
      </c>
      <c r="HX82" t="e">
        <f>AND(Liste!#REF!,"AAAAAHX/6+c=")</f>
        <v>#REF!</v>
      </c>
      <c r="HY82" t="e">
        <f>AND(Liste!#REF!,"AAAAAHX/6+g=")</f>
        <v>#REF!</v>
      </c>
      <c r="HZ82" t="e">
        <f>AND(Liste!#REF!,"AAAAAHX/6+k=")</f>
        <v>#REF!</v>
      </c>
      <c r="IA82" t="e">
        <f>AND(Liste!#REF!,"AAAAAHX/6+o=")</f>
        <v>#REF!</v>
      </c>
      <c r="IB82" t="e">
        <f>AND(Liste!#REF!,"AAAAAHX/6+s=")</f>
        <v>#REF!</v>
      </c>
      <c r="IC82" t="e">
        <f>AND(Liste!#REF!,"AAAAAHX/6+w=")</f>
        <v>#REF!</v>
      </c>
      <c r="ID82" t="e">
        <f>AND(Liste!#REF!,"AAAAAHX/6+0=")</f>
        <v>#REF!</v>
      </c>
      <c r="IE82" t="e">
        <f>AND(Liste!#REF!,"AAAAAHX/6+4=")</f>
        <v>#REF!</v>
      </c>
      <c r="IF82" t="e">
        <f>AND(Liste!#REF!,"AAAAAHX/6+8=")</f>
        <v>#REF!</v>
      </c>
      <c r="IG82" t="e">
        <f>AND(Liste!#REF!,"AAAAAHX/6/A=")</f>
        <v>#REF!</v>
      </c>
      <c r="IH82" t="e">
        <f>AND(Liste!#REF!,"AAAAAHX/6/E=")</f>
        <v>#REF!</v>
      </c>
      <c r="II82" t="e">
        <f>AND(Liste!#REF!,"AAAAAHX/6/I=")</f>
        <v>#REF!</v>
      </c>
      <c r="IJ82" t="e">
        <f>AND(Liste!#REF!,"AAAAAHX/6/M=")</f>
        <v>#REF!</v>
      </c>
      <c r="IK82" t="e">
        <f>AND(Liste!#REF!,"AAAAAHX/6/Q=")</f>
        <v>#REF!</v>
      </c>
      <c r="IL82" t="e">
        <f>AND(Liste!#REF!,"AAAAAHX/6/U=")</f>
        <v>#REF!</v>
      </c>
      <c r="IM82" t="e">
        <f>AND(Liste!#REF!,"AAAAAHX/6/Y=")</f>
        <v>#REF!</v>
      </c>
      <c r="IN82" t="e">
        <f>AND(Liste!#REF!,"AAAAAHX/6/c=")</f>
        <v>#REF!</v>
      </c>
      <c r="IO82" t="e">
        <f>AND(Liste!#REF!,"AAAAAHX/6/g=")</f>
        <v>#REF!</v>
      </c>
      <c r="IP82" t="e">
        <f>AND(Liste!#REF!,"AAAAAHX/6/k=")</f>
        <v>#REF!</v>
      </c>
      <c r="IQ82" t="e">
        <f>AND(Liste!#REF!,"AAAAAHX/6/o=")</f>
        <v>#REF!</v>
      </c>
      <c r="IR82">
        <f>IF(Liste!542:542,"AAAAAHX/6/s=",0)</f>
        <v>0</v>
      </c>
      <c r="IS82" t="b">
        <f>AND(Liste!A542,"AAAAAHX/6/w=")</f>
        <v>1</v>
      </c>
      <c r="IT82" t="e">
        <f>AND(Liste!#REF!,"AAAAAHX/6/0=")</f>
        <v>#REF!</v>
      </c>
      <c r="IU82" t="e">
        <f>AND(Liste!#REF!,"AAAAAHX/6/4=")</f>
        <v>#REF!</v>
      </c>
      <c r="IV82" t="e">
        <f>AND(Liste!#REF!,"AAAAAHX/6/8=")</f>
        <v>#REF!</v>
      </c>
    </row>
    <row r="83" spans="1:256" x14ac:dyDescent="0.2">
      <c r="A83" t="e">
        <f>AND(Liste!F542,"AAAAAF3bzwA=")</f>
        <v>#VALUE!</v>
      </c>
      <c r="B83" t="e">
        <f>AND(Liste!G542,"AAAAAF3bzwE=")</f>
        <v>#VALUE!</v>
      </c>
      <c r="C83" t="e">
        <f>AND(Liste!H542,"AAAAAF3bzwI=")</f>
        <v>#VALUE!</v>
      </c>
      <c r="D83" t="e">
        <f>AND(Liste!I542,"AAAAAF3bzwM=")</f>
        <v>#VALUE!</v>
      </c>
      <c r="E83" t="e">
        <f>AND(Liste!J542,"AAAAAF3bzwQ=")</f>
        <v>#VALUE!</v>
      </c>
      <c r="F83" t="e">
        <f>AND(Liste!#REF!,"AAAAAF3bzwU=")</f>
        <v>#REF!</v>
      </c>
      <c r="G83" t="e">
        <f>AND(Liste!#REF!,"AAAAAF3bzwY=")</f>
        <v>#REF!</v>
      </c>
      <c r="H83" t="e">
        <f>AND(Liste!#REF!,"AAAAAF3bzwc=")</f>
        <v>#REF!</v>
      </c>
      <c r="I83" t="e">
        <f>AND(Liste!#REF!,"AAAAAF3bzwg=")</f>
        <v>#REF!</v>
      </c>
      <c r="J83" t="e">
        <f>AND(Liste!#REF!,"AAAAAF3bzwk=")</f>
        <v>#REF!</v>
      </c>
      <c r="K83" t="e">
        <f>AND(Liste!#REF!,"AAAAAF3bzwo=")</f>
        <v>#REF!</v>
      </c>
      <c r="L83" t="e">
        <f>AND(Liste!#REF!,"AAAAAF3bzws=")</f>
        <v>#REF!</v>
      </c>
      <c r="M83" t="e">
        <f>AND(Liste!#REF!,"AAAAAF3bzww=")</f>
        <v>#REF!</v>
      </c>
      <c r="N83" t="e">
        <f>AND(Liste!#REF!,"AAAAAF3bzw0=")</f>
        <v>#REF!</v>
      </c>
      <c r="O83" t="e">
        <f>AND(Liste!#REF!,"AAAAAF3bzw4=")</f>
        <v>#REF!</v>
      </c>
      <c r="P83" t="e">
        <f>AND(Liste!#REF!,"AAAAAF3bzw8=")</f>
        <v>#REF!</v>
      </c>
      <c r="Q83" t="e">
        <f>AND(Liste!#REF!,"AAAAAF3bzxA=")</f>
        <v>#REF!</v>
      </c>
      <c r="R83" t="e">
        <f>AND(Liste!#REF!,"AAAAAF3bzxE=")</f>
        <v>#REF!</v>
      </c>
      <c r="S83" t="e">
        <f>AND(Liste!#REF!,"AAAAAF3bzxI=")</f>
        <v>#REF!</v>
      </c>
      <c r="T83" t="e">
        <f>AND(Liste!#REF!,"AAAAAF3bzxM=")</f>
        <v>#REF!</v>
      </c>
      <c r="U83" t="e">
        <f>AND(Liste!#REF!,"AAAAAF3bzxQ=")</f>
        <v>#REF!</v>
      </c>
      <c r="V83" t="e">
        <f>AND(Liste!#REF!,"AAAAAF3bzxU=")</f>
        <v>#REF!</v>
      </c>
      <c r="W83" t="e">
        <f>AND(Liste!#REF!,"AAAAAF3bzxY=")</f>
        <v>#REF!</v>
      </c>
      <c r="X83" t="e">
        <f>AND(Liste!#REF!,"AAAAAF3bzxc=")</f>
        <v>#REF!</v>
      </c>
      <c r="Y83" t="e">
        <f>AND(Liste!#REF!,"AAAAAF3bzxg=")</f>
        <v>#REF!</v>
      </c>
      <c r="Z83" t="e">
        <f>AND(Liste!#REF!,"AAAAAF3bzxk=")</f>
        <v>#REF!</v>
      </c>
      <c r="AA83">
        <f>IF(Liste!543:543,"AAAAAF3bzxo=",0)</f>
        <v>0</v>
      </c>
      <c r="AB83" t="b">
        <f>AND(Liste!A543,"AAAAAF3bzxs=")</f>
        <v>1</v>
      </c>
      <c r="AC83" t="e">
        <f>AND(Liste!#REF!,"AAAAAF3bzxw=")</f>
        <v>#REF!</v>
      </c>
      <c r="AD83" t="e">
        <f>AND(Liste!#REF!,"AAAAAF3bzx0=")</f>
        <v>#REF!</v>
      </c>
      <c r="AE83" t="e">
        <f>AND(Liste!#REF!,"AAAAAF3bzx4=")</f>
        <v>#REF!</v>
      </c>
      <c r="AF83" t="e">
        <f>AND(Liste!F543,"AAAAAF3bzx8=")</f>
        <v>#VALUE!</v>
      </c>
      <c r="AG83" t="e">
        <f>AND(Liste!G543,"AAAAAF3bzyA=")</f>
        <v>#VALUE!</v>
      </c>
      <c r="AH83" t="e">
        <f>AND(Liste!H543,"AAAAAF3bzyE=")</f>
        <v>#VALUE!</v>
      </c>
      <c r="AI83" t="e">
        <f>AND(Liste!I543,"AAAAAF3bzyI=")</f>
        <v>#VALUE!</v>
      </c>
      <c r="AJ83" t="e">
        <f>AND(Liste!J543,"AAAAAF3bzyM=")</f>
        <v>#VALUE!</v>
      </c>
      <c r="AK83" t="e">
        <f>AND(Liste!#REF!,"AAAAAF3bzyQ=")</f>
        <v>#REF!</v>
      </c>
      <c r="AL83" t="e">
        <f>AND(Liste!#REF!,"AAAAAF3bzyU=")</f>
        <v>#REF!</v>
      </c>
      <c r="AM83" t="e">
        <f>AND(Liste!#REF!,"AAAAAF3bzyY=")</f>
        <v>#REF!</v>
      </c>
      <c r="AN83" t="e">
        <f>AND(Liste!#REF!,"AAAAAF3bzyc=")</f>
        <v>#REF!</v>
      </c>
      <c r="AO83" t="e">
        <f>AND(Liste!#REF!,"AAAAAF3bzyg=")</f>
        <v>#REF!</v>
      </c>
      <c r="AP83" t="e">
        <f>AND(Liste!#REF!,"AAAAAF3bzyk=")</f>
        <v>#REF!</v>
      </c>
      <c r="AQ83" t="e">
        <f>AND(Liste!#REF!,"AAAAAF3bzyo=")</f>
        <v>#REF!</v>
      </c>
      <c r="AR83" t="e">
        <f>AND(Liste!#REF!,"AAAAAF3bzys=")</f>
        <v>#REF!</v>
      </c>
      <c r="AS83" t="e">
        <f>AND(Liste!#REF!,"AAAAAF3bzyw=")</f>
        <v>#REF!</v>
      </c>
      <c r="AT83" t="e">
        <f>AND(Liste!#REF!,"AAAAAF3bzy0=")</f>
        <v>#REF!</v>
      </c>
      <c r="AU83" t="e">
        <f>AND(Liste!#REF!,"AAAAAF3bzy4=")</f>
        <v>#REF!</v>
      </c>
      <c r="AV83" t="e">
        <f>AND(Liste!#REF!,"AAAAAF3bzy8=")</f>
        <v>#REF!</v>
      </c>
      <c r="AW83" t="e">
        <f>AND(Liste!#REF!,"AAAAAF3bzzA=")</f>
        <v>#REF!</v>
      </c>
      <c r="AX83" t="e">
        <f>AND(Liste!#REF!,"AAAAAF3bzzE=")</f>
        <v>#REF!</v>
      </c>
      <c r="AY83" t="e">
        <f>AND(Liste!#REF!,"AAAAAF3bzzI=")</f>
        <v>#REF!</v>
      </c>
      <c r="AZ83" t="e">
        <f>AND(Liste!#REF!,"AAAAAF3bzzM=")</f>
        <v>#REF!</v>
      </c>
      <c r="BA83" t="e">
        <f>AND(Liste!#REF!,"AAAAAF3bzzQ=")</f>
        <v>#REF!</v>
      </c>
      <c r="BB83" t="e">
        <f>AND(Liste!#REF!,"AAAAAF3bzzU=")</f>
        <v>#REF!</v>
      </c>
      <c r="BC83" t="e">
        <f>AND(Liste!#REF!,"AAAAAF3bzzY=")</f>
        <v>#REF!</v>
      </c>
      <c r="BD83" t="e">
        <f>AND(Liste!#REF!,"AAAAAF3bzzc=")</f>
        <v>#REF!</v>
      </c>
      <c r="BE83" t="e">
        <f>AND(Liste!#REF!,"AAAAAF3bzzg=")</f>
        <v>#REF!</v>
      </c>
      <c r="BF83">
        <f>IF(Liste!544:544,"AAAAAF3bzzk=",0)</f>
        <v>0</v>
      </c>
      <c r="BG83" t="b">
        <f>AND(Liste!A544,"AAAAAF3bzzo=")</f>
        <v>1</v>
      </c>
      <c r="BH83" t="e">
        <f>AND(Liste!#REF!,"AAAAAF3bzzs=")</f>
        <v>#REF!</v>
      </c>
      <c r="BI83" t="e">
        <f>AND(Liste!#REF!,"AAAAAF3bzzw=")</f>
        <v>#REF!</v>
      </c>
      <c r="BJ83" t="e">
        <f>AND(Liste!#REF!,"AAAAAF3bzz0=")</f>
        <v>#REF!</v>
      </c>
      <c r="BK83" t="e">
        <f>AND(Liste!F544,"AAAAAF3bzz4=")</f>
        <v>#VALUE!</v>
      </c>
      <c r="BL83" t="e">
        <f>AND(Liste!G544,"AAAAAF3bzz8=")</f>
        <v>#VALUE!</v>
      </c>
      <c r="BM83" t="e">
        <f>AND(Liste!H544,"AAAAAF3bz0A=")</f>
        <v>#VALUE!</v>
      </c>
      <c r="BN83" t="e">
        <f>AND(Liste!I544,"AAAAAF3bz0E=")</f>
        <v>#VALUE!</v>
      </c>
      <c r="BO83" t="e">
        <f>AND(Liste!J544,"AAAAAF3bz0I=")</f>
        <v>#VALUE!</v>
      </c>
      <c r="BP83" t="e">
        <f>AND(Liste!#REF!,"AAAAAF3bz0M=")</f>
        <v>#REF!</v>
      </c>
      <c r="BQ83" t="e">
        <f>AND(Liste!#REF!,"AAAAAF3bz0Q=")</f>
        <v>#REF!</v>
      </c>
      <c r="BR83" t="e">
        <f>AND(Liste!#REF!,"AAAAAF3bz0U=")</f>
        <v>#REF!</v>
      </c>
      <c r="BS83" t="e">
        <f>AND(Liste!#REF!,"AAAAAF3bz0Y=")</f>
        <v>#REF!</v>
      </c>
      <c r="BT83" t="e">
        <f>AND(Liste!#REF!,"AAAAAF3bz0c=")</f>
        <v>#REF!</v>
      </c>
      <c r="BU83" t="e">
        <f>AND(Liste!#REF!,"AAAAAF3bz0g=")</f>
        <v>#REF!</v>
      </c>
      <c r="BV83" t="e">
        <f>AND(Liste!#REF!,"AAAAAF3bz0k=")</f>
        <v>#REF!</v>
      </c>
      <c r="BW83" t="e">
        <f>AND(Liste!#REF!,"AAAAAF3bz0o=")</f>
        <v>#REF!</v>
      </c>
      <c r="BX83" t="e">
        <f>AND(Liste!#REF!,"AAAAAF3bz0s=")</f>
        <v>#REF!</v>
      </c>
      <c r="BY83" t="e">
        <f>AND(Liste!#REF!,"AAAAAF3bz0w=")</f>
        <v>#REF!</v>
      </c>
      <c r="BZ83" t="e">
        <f>AND(Liste!#REF!,"AAAAAF3bz00=")</f>
        <v>#REF!</v>
      </c>
      <c r="CA83" t="e">
        <f>AND(Liste!#REF!,"AAAAAF3bz04=")</f>
        <v>#REF!</v>
      </c>
      <c r="CB83" t="e">
        <f>AND(Liste!#REF!,"AAAAAF3bz08=")</f>
        <v>#REF!</v>
      </c>
      <c r="CC83" t="e">
        <f>AND(Liste!#REF!,"AAAAAF3bz1A=")</f>
        <v>#REF!</v>
      </c>
      <c r="CD83" t="e">
        <f>AND(Liste!#REF!,"AAAAAF3bz1E=")</f>
        <v>#REF!</v>
      </c>
      <c r="CE83" t="e">
        <f>AND(Liste!#REF!,"AAAAAF3bz1I=")</f>
        <v>#REF!</v>
      </c>
      <c r="CF83" t="e">
        <f>AND(Liste!#REF!,"AAAAAF3bz1M=")</f>
        <v>#REF!</v>
      </c>
      <c r="CG83" t="e">
        <f>AND(Liste!#REF!,"AAAAAF3bz1Q=")</f>
        <v>#REF!</v>
      </c>
      <c r="CH83" t="e">
        <f>AND(Liste!#REF!,"AAAAAF3bz1U=")</f>
        <v>#REF!</v>
      </c>
      <c r="CI83" t="e">
        <f>AND(Liste!#REF!,"AAAAAF3bz1Y=")</f>
        <v>#REF!</v>
      </c>
      <c r="CJ83" t="e">
        <f>AND(Liste!#REF!,"AAAAAF3bz1c=")</f>
        <v>#REF!</v>
      </c>
      <c r="CK83" t="e">
        <f>IF(Liste!#REF!,"AAAAAF3bz1g=",0)</f>
        <v>#REF!</v>
      </c>
      <c r="CL83" t="e">
        <f>AND(Liste!#REF!,"AAAAAF3bz1k=")</f>
        <v>#REF!</v>
      </c>
      <c r="CM83" t="e">
        <f>AND(Liste!#REF!,"AAAAAF3bz1o=")</f>
        <v>#REF!</v>
      </c>
      <c r="CN83" t="e">
        <f>AND(Liste!#REF!,"AAAAAF3bz1s=")</f>
        <v>#REF!</v>
      </c>
      <c r="CO83" t="e">
        <f>AND(Liste!#REF!,"AAAAAF3bz1w=")</f>
        <v>#REF!</v>
      </c>
      <c r="CP83" t="e">
        <f>AND(Liste!#REF!,"AAAAAF3bz10=")</f>
        <v>#REF!</v>
      </c>
      <c r="CQ83" t="e">
        <f>AND(Liste!#REF!,"AAAAAF3bz14=")</f>
        <v>#REF!</v>
      </c>
      <c r="CR83" t="e">
        <f>AND(Liste!#REF!,"AAAAAF3bz18=")</f>
        <v>#REF!</v>
      </c>
      <c r="CS83" t="e">
        <f>AND(Liste!#REF!,"AAAAAF3bz2A=")</f>
        <v>#REF!</v>
      </c>
      <c r="CT83" t="e">
        <f>AND(Liste!#REF!,"AAAAAF3bz2E=")</f>
        <v>#REF!</v>
      </c>
      <c r="CU83" t="e">
        <f>AND(Liste!#REF!,"AAAAAF3bz2I=")</f>
        <v>#REF!</v>
      </c>
      <c r="CV83" t="e">
        <f>AND(Liste!#REF!,"AAAAAF3bz2M=")</f>
        <v>#REF!</v>
      </c>
      <c r="CW83" t="e">
        <f>AND(Liste!#REF!,"AAAAAF3bz2Q=")</f>
        <v>#REF!</v>
      </c>
      <c r="CX83" t="e">
        <f>AND(Liste!#REF!,"AAAAAF3bz2U=")</f>
        <v>#REF!</v>
      </c>
      <c r="CY83" t="e">
        <f>AND(Liste!#REF!,"AAAAAF3bz2Y=")</f>
        <v>#REF!</v>
      </c>
      <c r="CZ83" t="e">
        <f>AND(Liste!#REF!,"AAAAAF3bz2c=")</f>
        <v>#REF!</v>
      </c>
      <c r="DA83" t="e">
        <f>AND(Liste!#REF!,"AAAAAF3bz2g=")</f>
        <v>#REF!</v>
      </c>
      <c r="DB83" t="e">
        <f>AND(Liste!#REF!,"AAAAAF3bz2k=")</f>
        <v>#REF!</v>
      </c>
      <c r="DC83" t="e">
        <f>AND(Liste!#REF!,"AAAAAF3bz2o=")</f>
        <v>#REF!</v>
      </c>
      <c r="DD83" t="e">
        <f>AND(Liste!#REF!,"AAAAAF3bz2s=")</f>
        <v>#REF!</v>
      </c>
      <c r="DE83" t="e">
        <f>AND(Liste!#REF!,"AAAAAF3bz2w=")</f>
        <v>#REF!</v>
      </c>
      <c r="DF83" t="e">
        <f>AND(Liste!#REF!,"AAAAAF3bz20=")</f>
        <v>#REF!</v>
      </c>
      <c r="DG83" t="e">
        <f>AND(Liste!#REF!,"AAAAAF3bz24=")</f>
        <v>#REF!</v>
      </c>
      <c r="DH83" t="e">
        <f>AND(Liste!#REF!,"AAAAAF3bz28=")</f>
        <v>#REF!</v>
      </c>
      <c r="DI83" t="e">
        <f>AND(Liste!#REF!,"AAAAAF3bz3A=")</f>
        <v>#REF!</v>
      </c>
      <c r="DJ83" t="e">
        <f>AND(Liste!#REF!,"AAAAAF3bz3E=")</f>
        <v>#REF!</v>
      </c>
      <c r="DK83" t="e">
        <f>AND(Liste!#REF!,"AAAAAF3bz3I=")</f>
        <v>#REF!</v>
      </c>
      <c r="DL83" t="e">
        <f>AND(Liste!#REF!,"AAAAAF3bz3M=")</f>
        <v>#REF!</v>
      </c>
      <c r="DM83" t="e">
        <f>AND(Liste!#REF!,"AAAAAF3bz3Q=")</f>
        <v>#REF!</v>
      </c>
      <c r="DN83" t="e">
        <f>AND(Liste!#REF!,"AAAAAF3bz3U=")</f>
        <v>#REF!</v>
      </c>
      <c r="DO83" t="e">
        <f>AND(Liste!#REF!,"AAAAAF3bz3Y=")</f>
        <v>#REF!</v>
      </c>
      <c r="DP83" t="e">
        <f>IF(Liste!#REF!,"AAAAAF3bz3c=",0)</f>
        <v>#REF!</v>
      </c>
      <c r="DQ83" t="e">
        <f>AND(Liste!#REF!,"AAAAAF3bz3g=")</f>
        <v>#REF!</v>
      </c>
      <c r="DR83" t="e">
        <f>AND(Liste!#REF!,"AAAAAF3bz3k=")</f>
        <v>#REF!</v>
      </c>
      <c r="DS83" t="e">
        <f>AND(Liste!#REF!,"AAAAAF3bz3o=")</f>
        <v>#REF!</v>
      </c>
      <c r="DT83" t="e">
        <f>AND(Liste!#REF!,"AAAAAF3bz3s=")</f>
        <v>#REF!</v>
      </c>
      <c r="DU83" t="e">
        <f>AND(Liste!#REF!,"AAAAAF3bz3w=")</f>
        <v>#REF!</v>
      </c>
      <c r="DV83" t="e">
        <f>AND(Liste!#REF!,"AAAAAF3bz30=")</f>
        <v>#REF!</v>
      </c>
      <c r="DW83" t="e">
        <f>AND(Liste!#REF!,"AAAAAF3bz34=")</f>
        <v>#REF!</v>
      </c>
      <c r="DX83" t="e">
        <f>AND(Liste!#REF!,"AAAAAF3bz38=")</f>
        <v>#REF!</v>
      </c>
      <c r="DY83" t="e">
        <f>AND(Liste!#REF!,"AAAAAF3bz4A=")</f>
        <v>#REF!</v>
      </c>
      <c r="DZ83" t="e">
        <f>AND(Liste!#REF!,"AAAAAF3bz4E=")</f>
        <v>#REF!</v>
      </c>
      <c r="EA83" t="e">
        <f>AND(Liste!#REF!,"AAAAAF3bz4I=")</f>
        <v>#REF!</v>
      </c>
      <c r="EB83" t="e">
        <f>AND(Liste!#REF!,"AAAAAF3bz4M=")</f>
        <v>#REF!</v>
      </c>
      <c r="EC83" t="e">
        <f>AND(Liste!#REF!,"AAAAAF3bz4Q=")</f>
        <v>#REF!</v>
      </c>
      <c r="ED83" t="e">
        <f>AND(Liste!#REF!,"AAAAAF3bz4U=")</f>
        <v>#REF!</v>
      </c>
      <c r="EE83" t="e">
        <f>AND(Liste!#REF!,"AAAAAF3bz4Y=")</f>
        <v>#REF!</v>
      </c>
      <c r="EF83" t="e">
        <f>AND(Liste!#REF!,"AAAAAF3bz4c=")</f>
        <v>#REF!</v>
      </c>
      <c r="EG83" t="e">
        <f>AND(Liste!#REF!,"AAAAAF3bz4g=")</f>
        <v>#REF!</v>
      </c>
      <c r="EH83" t="e">
        <f>AND(Liste!#REF!,"AAAAAF3bz4k=")</f>
        <v>#REF!</v>
      </c>
      <c r="EI83" t="e">
        <f>AND(Liste!#REF!,"AAAAAF3bz4o=")</f>
        <v>#REF!</v>
      </c>
      <c r="EJ83" t="e">
        <f>AND(Liste!#REF!,"AAAAAF3bz4s=")</f>
        <v>#REF!</v>
      </c>
      <c r="EK83" t="e">
        <f>AND(Liste!#REF!,"AAAAAF3bz4w=")</f>
        <v>#REF!</v>
      </c>
      <c r="EL83" t="e">
        <f>AND(Liste!#REF!,"AAAAAF3bz40=")</f>
        <v>#REF!</v>
      </c>
      <c r="EM83" t="e">
        <f>AND(Liste!#REF!,"AAAAAF3bz44=")</f>
        <v>#REF!</v>
      </c>
      <c r="EN83" t="e">
        <f>AND(Liste!#REF!,"AAAAAF3bz48=")</f>
        <v>#REF!</v>
      </c>
      <c r="EO83" t="e">
        <f>AND(Liste!#REF!,"AAAAAF3bz5A=")</f>
        <v>#REF!</v>
      </c>
      <c r="EP83" t="e">
        <f>AND(Liste!#REF!,"AAAAAF3bz5E=")</f>
        <v>#REF!</v>
      </c>
      <c r="EQ83" t="e">
        <f>AND(Liste!#REF!,"AAAAAF3bz5I=")</f>
        <v>#REF!</v>
      </c>
      <c r="ER83" t="e">
        <f>AND(Liste!#REF!,"AAAAAF3bz5M=")</f>
        <v>#REF!</v>
      </c>
      <c r="ES83" t="e">
        <f>AND(Liste!#REF!,"AAAAAF3bz5Q=")</f>
        <v>#REF!</v>
      </c>
      <c r="ET83" t="e">
        <f>AND(Liste!#REF!,"AAAAAF3bz5U=")</f>
        <v>#REF!</v>
      </c>
      <c r="EU83" t="e">
        <f>IF(Liste!#REF!,"AAAAAF3bz5Y=",0)</f>
        <v>#REF!</v>
      </c>
      <c r="EV83" t="e">
        <f>AND(Liste!#REF!,"AAAAAF3bz5c=")</f>
        <v>#REF!</v>
      </c>
      <c r="EW83" t="e">
        <f>AND(Liste!#REF!,"AAAAAF3bz5g=")</f>
        <v>#REF!</v>
      </c>
      <c r="EX83" t="e">
        <f>AND(Liste!#REF!,"AAAAAF3bz5k=")</f>
        <v>#REF!</v>
      </c>
      <c r="EY83" t="e">
        <f>AND(Liste!#REF!,"AAAAAF3bz5o=")</f>
        <v>#REF!</v>
      </c>
      <c r="EZ83" t="e">
        <f>AND(Liste!#REF!,"AAAAAF3bz5s=")</f>
        <v>#REF!</v>
      </c>
      <c r="FA83" t="e">
        <f>AND(Liste!#REF!,"AAAAAF3bz5w=")</f>
        <v>#REF!</v>
      </c>
      <c r="FB83" t="e">
        <f>AND(Liste!#REF!,"AAAAAF3bz50=")</f>
        <v>#REF!</v>
      </c>
      <c r="FC83" t="e">
        <f>AND(Liste!#REF!,"AAAAAF3bz54=")</f>
        <v>#REF!</v>
      </c>
      <c r="FD83" t="e">
        <f>AND(Liste!#REF!,"AAAAAF3bz58=")</f>
        <v>#REF!</v>
      </c>
      <c r="FE83" t="e">
        <f>AND(Liste!#REF!,"AAAAAF3bz6A=")</f>
        <v>#REF!</v>
      </c>
      <c r="FF83" t="e">
        <f>AND(Liste!#REF!,"AAAAAF3bz6E=")</f>
        <v>#REF!</v>
      </c>
      <c r="FG83" t="e">
        <f>AND(Liste!#REF!,"AAAAAF3bz6I=")</f>
        <v>#REF!</v>
      </c>
      <c r="FH83" t="e">
        <f>AND(Liste!#REF!,"AAAAAF3bz6M=")</f>
        <v>#REF!</v>
      </c>
      <c r="FI83" t="e">
        <f>AND(Liste!#REF!,"AAAAAF3bz6Q=")</f>
        <v>#REF!</v>
      </c>
      <c r="FJ83" t="e">
        <f>AND(Liste!#REF!,"AAAAAF3bz6U=")</f>
        <v>#REF!</v>
      </c>
      <c r="FK83" t="e">
        <f>AND(Liste!#REF!,"AAAAAF3bz6Y=")</f>
        <v>#REF!</v>
      </c>
      <c r="FL83" t="e">
        <f>AND(Liste!#REF!,"AAAAAF3bz6c=")</f>
        <v>#REF!</v>
      </c>
      <c r="FM83" t="e">
        <f>AND(Liste!#REF!,"AAAAAF3bz6g=")</f>
        <v>#REF!</v>
      </c>
      <c r="FN83" t="e">
        <f>AND(Liste!#REF!,"AAAAAF3bz6k=")</f>
        <v>#REF!</v>
      </c>
      <c r="FO83" t="e">
        <f>AND(Liste!#REF!,"AAAAAF3bz6o=")</f>
        <v>#REF!</v>
      </c>
      <c r="FP83" t="e">
        <f>AND(Liste!#REF!,"AAAAAF3bz6s=")</f>
        <v>#REF!</v>
      </c>
      <c r="FQ83" t="e">
        <f>AND(Liste!#REF!,"AAAAAF3bz6w=")</f>
        <v>#REF!</v>
      </c>
      <c r="FR83" t="e">
        <f>AND(Liste!#REF!,"AAAAAF3bz60=")</f>
        <v>#REF!</v>
      </c>
      <c r="FS83" t="e">
        <f>AND(Liste!#REF!,"AAAAAF3bz64=")</f>
        <v>#REF!</v>
      </c>
      <c r="FT83" t="e">
        <f>AND(Liste!#REF!,"AAAAAF3bz68=")</f>
        <v>#REF!</v>
      </c>
      <c r="FU83" t="e">
        <f>AND(Liste!#REF!,"AAAAAF3bz7A=")</f>
        <v>#REF!</v>
      </c>
      <c r="FV83" t="e">
        <f>AND(Liste!#REF!,"AAAAAF3bz7E=")</f>
        <v>#REF!</v>
      </c>
      <c r="FW83" t="e">
        <f>AND(Liste!#REF!,"AAAAAF3bz7I=")</f>
        <v>#REF!</v>
      </c>
      <c r="FX83" t="e">
        <f>AND(Liste!#REF!,"AAAAAF3bz7M=")</f>
        <v>#REF!</v>
      </c>
      <c r="FY83" t="e">
        <f>AND(Liste!#REF!,"AAAAAF3bz7Q=")</f>
        <v>#REF!</v>
      </c>
      <c r="FZ83" t="e">
        <f>IF(Liste!#REF!,"AAAAAF3bz7U=",0)</f>
        <v>#REF!</v>
      </c>
      <c r="GA83" t="e">
        <f>AND(Liste!#REF!,"AAAAAF3bz7Y=")</f>
        <v>#REF!</v>
      </c>
      <c r="GB83" t="e">
        <f>AND(Liste!#REF!,"AAAAAF3bz7c=")</f>
        <v>#REF!</v>
      </c>
      <c r="GC83" t="e">
        <f>AND(Liste!#REF!,"AAAAAF3bz7g=")</f>
        <v>#REF!</v>
      </c>
      <c r="GD83" t="e">
        <f>AND(Liste!#REF!,"AAAAAF3bz7k=")</f>
        <v>#REF!</v>
      </c>
      <c r="GE83" t="e">
        <f>AND(Liste!#REF!,"AAAAAF3bz7o=")</f>
        <v>#REF!</v>
      </c>
      <c r="GF83" t="e">
        <f>AND(Liste!#REF!,"AAAAAF3bz7s=")</f>
        <v>#REF!</v>
      </c>
      <c r="GG83" t="e">
        <f>AND(Liste!#REF!,"AAAAAF3bz7w=")</f>
        <v>#REF!</v>
      </c>
      <c r="GH83" t="e">
        <f>AND(Liste!#REF!,"AAAAAF3bz70=")</f>
        <v>#REF!</v>
      </c>
      <c r="GI83" t="e">
        <f>AND(Liste!#REF!,"AAAAAF3bz74=")</f>
        <v>#REF!</v>
      </c>
      <c r="GJ83" t="e">
        <f>AND(Liste!#REF!,"AAAAAF3bz78=")</f>
        <v>#REF!</v>
      </c>
      <c r="GK83" t="e">
        <f>AND(Liste!#REF!,"AAAAAF3bz8A=")</f>
        <v>#REF!</v>
      </c>
      <c r="GL83" t="e">
        <f>AND(Liste!#REF!,"AAAAAF3bz8E=")</f>
        <v>#REF!</v>
      </c>
      <c r="GM83" t="e">
        <f>AND(Liste!#REF!,"AAAAAF3bz8I=")</f>
        <v>#REF!</v>
      </c>
      <c r="GN83" t="e">
        <f>AND(Liste!#REF!,"AAAAAF3bz8M=")</f>
        <v>#REF!</v>
      </c>
      <c r="GO83" t="e">
        <f>AND(Liste!#REF!,"AAAAAF3bz8Q=")</f>
        <v>#REF!</v>
      </c>
      <c r="GP83" t="e">
        <f>AND(Liste!#REF!,"AAAAAF3bz8U=")</f>
        <v>#REF!</v>
      </c>
      <c r="GQ83" t="e">
        <f>AND(Liste!#REF!,"AAAAAF3bz8Y=")</f>
        <v>#REF!</v>
      </c>
      <c r="GR83" t="e">
        <f>AND(Liste!#REF!,"AAAAAF3bz8c=")</f>
        <v>#REF!</v>
      </c>
      <c r="GS83" t="e">
        <f>AND(Liste!#REF!,"AAAAAF3bz8g=")</f>
        <v>#REF!</v>
      </c>
      <c r="GT83" t="e">
        <f>AND(Liste!#REF!,"AAAAAF3bz8k=")</f>
        <v>#REF!</v>
      </c>
      <c r="GU83" t="e">
        <f>AND(Liste!#REF!,"AAAAAF3bz8o=")</f>
        <v>#REF!</v>
      </c>
      <c r="GV83" t="e">
        <f>AND(Liste!#REF!,"AAAAAF3bz8s=")</f>
        <v>#REF!</v>
      </c>
      <c r="GW83" t="e">
        <f>AND(Liste!#REF!,"AAAAAF3bz8w=")</f>
        <v>#REF!</v>
      </c>
      <c r="GX83" t="e">
        <f>AND(Liste!#REF!,"AAAAAF3bz80=")</f>
        <v>#REF!</v>
      </c>
      <c r="GY83" t="e">
        <f>AND(Liste!#REF!,"AAAAAF3bz84=")</f>
        <v>#REF!</v>
      </c>
      <c r="GZ83" t="e">
        <f>AND(Liste!#REF!,"AAAAAF3bz88=")</f>
        <v>#REF!</v>
      </c>
      <c r="HA83" t="e">
        <f>AND(Liste!#REF!,"AAAAAF3bz9A=")</f>
        <v>#REF!</v>
      </c>
      <c r="HB83" t="e">
        <f>AND(Liste!#REF!,"AAAAAF3bz9E=")</f>
        <v>#REF!</v>
      </c>
      <c r="HC83" t="e">
        <f>AND(Liste!#REF!,"AAAAAF3bz9I=")</f>
        <v>#REF!</v>
      </c>
      <c r="HD83" t="e">
        <f>AND(Liste!#REF!,"AAAAAF3bz9M=")</f>
        <v>#REF!</v>
      </c>
      <c r="HE83" t="e">
        <f>IF(Liste!#REF!,"AAAAAF3bz9Q=",0)</f>
        <v>#REF!</v>
      </c>
      <c r="HF83" t="e">
        <f>AND(Liste!#REF!,"AAAAAF3bz9U=")</f>
        <v>#REF!</v>
      </c>
      <c r="HG83" t="e">
        <f>AND(Liste!#REF!,"AAAAAF3bz9Y=")</f>
        <v>#REF!</v>
      </c>
      <c r="HH83" t="e">
        <f>AND(Liste!#REF!,"AAAAAF3bz9c=")</f>
        <v>#REF!</v>
      </c>
      <c r="HI83" t="e">
        <f>AND(Liste!#REF!,"AAAAAF3bz9g=")</f>
        <v>#REF!</v>
      </c>
      <c r="HJ83" t="e">
        <f>AND(Liste!#REF!,"AAAAAF3bz9k=")</f>
        <v>#REF!</v>
      </c>
      <c r="HK83" t="e">
        <f>AND(Liste!#REF!,"AAAAAF3bz9o=")</f>
        <v>#REF!</v>
      </c>
      <c r="HL83" t="e">
        <f>AND(Liste!#REF!,"AAAAAF3bz9s=")</f>
        <v>#REF!</v>
      </c>
      <c r="HM83" t="e">
        <f>AND(Liste!#REF!,"AAAAAF3bz9w=")</f>
        <v>#REF!</v>
      </c>
      <c r="HN83" t="e">
        <f>AND(Liste!#REF!,"AAAAAF3bz90=")</f>
        <v>#REF!</v>
      </c>
      <c r="HO83" t="e">
        <f>AND(Liste!#REF!,"AAAAAF3bz94=")</f>
        <v>#REF!</v>
      </c>
      <c r="HP83" t="e">
        <f>AND(Liste!#REF!,"AAAAAF3bz98=")</f>
        <v>#REF!</v>
      </c>
      <c r="HQ83" t="e">
        <f>AND(Liste!#REF!,"AAAAAF3bz+A=")</f>
        <v>#REF!</v>
      </c>
      <c r="HR83" t="e">
        <f>AND(Liste!#REF!,"AAAAAF3bz+E=")</f>
        <v>#REF!</v>
      </c>
      <c r="HS83" t="e">
        <f>AND(Liste!#REF!,"AAAAAF3bz+I=")</f>
        <v>#REF!</v>
      </c>
      <c r="HT83" t="e">
        <f>AND(Liste!#REF!,"AAAAAF3bz+M=")</f>
        <v>#REF!</v>
      </c>
      <c r="HU83" t="e">
        <f>AND(Liste!#REF!,"AAAAAF3bz+Q=")</f>
        <v>#REF!</v>
      </c>
      <c r="HV83" t="e">
        <f>AND(Liste!#REF!,"AAAAAF3bz+U=")</f>
        <v>#REF!</v>
      </c>
      <c r="HW83" t="e">
        <f>AND(Liste!#REF!,"AAAAAF3bz+Y=")</f>
        <v>#REF!</v>
      </c>
      <c r="HX83" t="e">
        <f>AND(Liste!#REF!,"AAAAAF3bz+c=")</f>
        <v>#REF!</v>
      </c>
      <c r="HY83" t="e">
        <f>AND(Liste!#REF!,"AAAAAF3bz+g=")</f>
        <v>#REF!</v>
      </c>
      <c r="HZ83" t="e">
        <f>AND(Liste!#REF!,"AAAAAF3bz+k=")</f>
        <v>#REF!</v>
      </c>
      <c r="IA83" t="e">
        <f>AND(Liste!#REF!,"AAAAAF3bz+o=")</f>
        <v>#REF!</v>
      </c>
      <c r="IB83" t="e">
        <f>AND(Liste!#REF!,"AAAAAF3bz+s=")</f>
        <v>#REF!</v>
      </c>
      <c r="IC83" t="e">
        <f>AND(Liste!#REF!,"AAAAAF3bz+w=")</f>
        <v>#REF!</v>
      </c>
      <c r="ID83" t="e">
        <f>AND(Liste!#REF!,"AAAAAF3bz+0=")</f>
        <v>#REF!</v>
      </c>
      <c r="IE83" t="e">
        <f>AND(Liste!#REF!,"AAAAAF3bz+4=")</f>
        <v>#REF!</v>
      </c>
      <c r="IF83" t="e">
        <f>AND(Liste!#REF!,"AAAAAF3bz+8=")</f>
        <v>#REF!</v>
      </c>
      <c r="IG83" t="e">
        <f>AND(Liste!#REF!,"AAAAAF3bz/A=")</f>
        <v>#REF!</v>
      </c>
      <c r="IH83" t="e">
        <f>AND(Liste!#REF!,"AAAAAF3bz/E=")</f>
        <v>#REF!</v>
      </c>
      <c r="II83" t="e">
        <f>AND(Liste!#REF!,"AAAAAF3bz/I=")</f>
        <v>#REF!</v>
      </c>
      <c r="IJ83" t="e">
        <f>IF(Liste!#REF!,"AAAAAF3bz/M=",0)</f>
        <v>#REF!</v>
      </c>
      <c r="IK83" t="e">
        <f>AND(Liste!#REF!,"AAAAAF3bz/Q=")</f>
        <v>#REF!</v>
      </c>
      <c r="IL83" t="e">
        <f>AND(Liste!#REF!,"AAAAAF3bz/U=")</f>
        <v>#REF!</v>
      </c>
      <c r="IM83" t="e">
        <f>AND(Liste!#REF!,"AAAAAF3bz/Y=")</f>
        <v>#REF!</v>
      </c>
      <c r="IN83" t="e">
        <f>AND(Liste!#REF!,"AAAAAF3bz/c=")</f>
        <v>#REF!</v>
      </c>
      <c r="IO83" t="e">
        <f>AND(Liste!#REF!,"AAAAAF3bz/g=")</f>
        <v>#REF!</v>
      </c>
      <c r="IP83" t="e">
        <f>AND(Liste!#REF!,"AAAAAF3bz/k=")</f>
        <v>#REF!</v>
      </c>
      <c r="IQ83" t="e">
        <f>AND(Liste!#REF!,"AAAAAF3bz/o=")</f>
        <v>#REF!</v>
      </c>
      <c r="IR83" t="e">
        <f>AND(Liste!#REF!,"AAAAAF3bz/s=")</f>
        <v>#REF!</v>
      </c>
      <c r="IS83" t="e">
        <f>AND(Liste!#REF!,"AAAAAF3bz/w=")</f>
        <v>#REF!</v>
      </c>
      <c r="IT83" t="e">
        <f>AND(Liste!#REF!,"AAAAAF3bz/0=")</f>
        <v>#REF!</v>
      </c>
      <c r="IU83" t="e">
        <f>AND(Liste!#REF!,"AAAAAF3bz/4=")</f>
        <v>#REF!</v>
      </c>
      <c r="IV83" t="e">
        <f>AND(Liste!#REF!,"AAAAAF3bz/8=")</f>
        <v>#REF!</v>
      </c>
    </row>
    <row r="84" spans="1:256" x14ac:dyDescent="0.2">
      <c r="A84" t="e">
        <f>AND(Liste!#REF!,"AAAAAH1rfQA=")</f>
        <v>#REF!</v>
      </c>
      <c r="B84" t="e">
        <f>AND(Liste!#REF!,"AAAAAH1rfQE=")</f>
        <v>#REF!</v>
      </c>
      <c r="C84" t="e">
        <f>AND(Liste!#REF!,"AAAAAH1rfQI=")</f>
        <v>#REF!</v>
      </c>
      <c r="D84" t="e">
        <f>AND(Liste!#REF!,"AAAAAH1rfQM=")</f>
        <v>#REF!</v>
      </c>
      <c r="E84" t="e">
        <f>AND(Liste!#REF!,"AAAAAH1rfQQ=")</f>
        <v>#REF!</v>
      </c>
      <c r="F84" t="e">
        <f>AND(Liste!#REF!,"AAAAAH1rfQU=")</f>
        <v>#REF!</v>
      </c>
      <c r="G84" t="e">
        <f>AND(Liste!#REF!,"AAAAAH1rfQY=")</f>
        <v>#REF!</v>
      </c>
      <c r="H84" t="e">
        <f>AND(Liste!#REF!,"AAAAAH1rfQc=")</f>
        <v>#REF!</v>
      </c>
      <c r="I84" t="e">
        <f>AND(Liste!#REF!,"AAAAAH1rfQg=")</f>
        <v>#REF!</v>
      </c>
      <c r="J84" t="e">
        <f>AND(Liste!#REF!,"AAAAAH1rfQk=")</f>
        <v>#REF!</v>
      </c>
      <c r="K84" t="e">
        <f>AND(Liste!#REF!,"AAAAAH1rfQo=")</f>
        <v>#REF!</v>
      </c>
      <c r="L84" t="e">
        <f>AND(Liste!#REF!,"AAAAAH1rfQs=")</f>
        <v>#REF!</v>
      </c>
      <c r="M84" t="e">
        <f>AND(Liste!#REF!,"AAAAAH1rfQw=")</f>
        <v>#REF!</v>
      </c>
      <c r="N84" t="e">
        <f>AND(Liste!#REF!,"AAAAAH1rfQ0=")</f>
        <v>#REF!</v>
      </c>
      <c r="O84" t="e">
        <f>AND(Liste!#REF!,"AAAAAH1rfQ4=")</f>
        <v>#REF!</v>
      </c>
      <c r="P84" t="e">
        <f>AND(Liste!#REF!,"AAAAAH1rfQ8=")</f>
        <v>#REF!</v>
      </c>
      <c r="Q84" t="e">
        <f>AND(Liste!#REF!,"AAAAAH1rfRA=")</f>
        <v>#REF!</v>
      </c>
      <c r="R84" t="e">
        <f>AND(Liste!#REF!,"AAAAAH1rfRE=")</f>
        <v>#REF!</v>
      </c>
      <c r="S84" t="e">
        <f>IF(Liste!#REF!,"AAAAAH1rfRI=",0)</f>
        <v>#REF!</v>
      </c>
      <c r="T84" t="e">
        <f>AND(Liste!#REF!,"AAAAAH1rfRM=")</f>
        <v>#REF!</v>
      </c>
      <c r="U84" t="e">
        <f>AND(Liste!#REF!,"AAAAAH1rfRQ=")</f>
        <v>#REF!</v>
      </c>
      <c r="V84" t="e">
        <f>AND(Liste!#REF!,"AAAAAH1rfRU=")</f>
        <v>#REF!</v>
      </c>
      <c r="W84" t="e">
        <f>AND(Liste!#REF!,"AAAAAH1rfRY=")</f>
        <v>#REF!</v>
      </c>
      <c r="X84" t="e">
        <f>AND(Liste!#REF!,"AAAAAH1rfRc=")</f>
        <v>#REF!</v>
      </c>
      <c r="Y84" t="e">
        <f>AND(Liste!#REF!,"AAAAAH1rfRg=")</f>
        <v>#REF!</v>
      </c>
      <c r="Z84" t="e">
        <f>AND(Liste!#REF!,"AAAAAH1rfRk=")</f>
        <v>#REF!</v>
      </c>
      <c r="AA84" t="e">
        <f>AND(Liste!#REF!,"AAAAAH1rfRo=")</f>
        <v>#REF!</v>
      </c>
      <c r="AB84" t="e">
        <f>AND(Liste!#REF!,"AAAAAH1rfRs=")</f>
        <v>#REF!</v>
      </c>
      <c r="AC84" t="e">
        <f>AND(Liste!#REF!,"AAAAAH1rfRw=")</f>
        <v>#REF!</v>
      </c>
      <c r="AD84" t="e">
        <f>AND(Liste!#REF!,"AAAAAH1rfR0=")</f>
        <v>#REF!</v>
      </c>
      <c r="AE84" t="e">
        <f>AND(Liste!#REF!,"AAAAAH1rfR4=")</f>
        <v>#REF!</v>
      </c>
      <c r="AF84" t="e">
        <f>AND(Liste!#REF!,"AAAAAH1rfR8=")</f>
        <v>#REF!</v>
      </c>
      <c r="AG84" t="e">
        <f>AND(Liste!#REF!,"AAAAAH1rfSA=")</f>
        <v>#REF!</v>
      </c>
      <c r="AH84" t="e">
        <f>AND(Liste!#REF!,"AAAAAH1rfSE=")</f>
        <v>#REF!</v>
      </c>
      <c r="AI84" t="e">
        <f>AND(Liste!#REF!,"AAAAAH1rfSI=")</f>
        <v>#REF!</v>
      </c>
      <c r="AJ84" t="e">
        <f>AND(Liste!#REF!,"AAAAAH1rfSM=")</f>
        <v>#REF!</v>
      </c>
      <c r="AK84" t="e">
        <f>AND(Liste!#REF!,"AAAAAH1rfSQ=")</f>
        <v>#REF!</v>
      </c>
      <c r="AL84" t="e">
        <f>AND(Liste!#REF!,"AAAAAH1rfSU=")</f>
        <v>#REF!</v>
      </c>
      <c r="AM84" t="e">
        <f>AND(Liste!#REF!,"AAAAAH1rfSY=")</f>
        <v>#REF!</v>
      </c>
      <c r="AN84" t="e">
        <f>AND(Liste!#REF!,"AAAAAH1rfSc=")</f>
        <v>#REF!</v>
      </c>
      <c r="AO84" t="e">
        <f>AND(Liste!#REF!,"AAAAAH1rfSg=")</f>
        <v>#REF!</v>
      </c>
      <c r="AP84" t="e">
        <f>AND(Liste!#REF!,"AAAAAH1rfSk=")</f>
        <v>#REF!</v>
      </c>
      <c r="AQ84" t="e">
        <f>AND(Liste!#REF!,"AAAAAH1rfSo=")</f>
        <v>#REF!</v>
      </c>
      <c r="AR84" t="e">
        <f>AND(Liste!#REF!,"AAAAAH1rfSs=")</f>
        <v>#REF!</v>
      </c>
      <c r="AS84" t="e">
        <f>AND(Liste!#REF!,"AAAAAH1rfSw=")</f>
        <v>#REF!</v>
      </c>
      <c r="AT84" t="e">
        <f>AND(Liste!#REF!,"AAAAAH1rfS0=")</f>
        <v>#REF!</v>
      </c>
      <c r="AU84" t="e">
        <f>AND(Liste!#REF!,"AAAAAH1rfS4=")</f>
        <v>#REF!</v>
      </c>
      <c r="AV84" t="e">
        <f>AND(Liste!#REF!,"AAAAAH1rfS8=")</f>
        <v>#REF!</v>
      </c>
      <c r="AW84" t="e">
        <f>AND(Liste!#REF!,"AAAAAH1rfTA=")</f>
        <v>#REF!</v>
      </c>
      <c r="AX84" t="e">
        <f>IF(Liste!#REF!,"AAAAAH1rfTE=",0)</f>
        <v>#REF!</v>
      </c>
      <c r="AY84" t="e">
        <f>AND(Liste!#REF!,"AAAAAH1rfTI=")</f>
        <v>#REF!</v>
      </c>
      <c r="AZ84" t="e">
        <f>AND(Liste!#REF!,"AAAAAH1rfTM=")</f>
        <v>#REF!</v>
      </c>
      <c r="BA84" t="e">
        <f>AND(Liste!#REF!,"AAAAAH1rfTQ=")</f>
        <v>#REF!</v>
      </c>
      <c r="BB84" t="e">
        <f>AND(Liste!#REF!,"AAAAAH1rfTU=")</f>
        <v>#REF!</v>
      </c>
      <c r="BC84" t="e">
        <f>AND(Liste!#REF!,"AAAAAH1rfTY=")</f>
        <v>#REF!</v>
      </c>
      <c r="BD84" t="e">
        <f>AND(Liste!#REF!,"AAAAAH1rfTc=")</f>
        <v>#REF!</v>
      </c>
      <c r="BE84" t="e">
        <f>AND(Liste!#REF!,"AAAAAH1rfTg=")</f>
        <v>#REF!</v>
      </c>
      <c r="BF84" t="e">
        <f>AND(Liste!#REF!,"AAAAAH1rfTk=")</f>
        <v>#REF!</v>
      </c>
      <c r="BG84" t="e">
        <f>AND(Liste!#REF!,"AAAAAH1rfTo=")</f>
        <v>#REF!</v>
      </c>
      <c r="BH84" t="e">
        <f>AND(Liste!#REF!,"AAAAAH1rfTs=")</f>
        <v>#REF!</v>
      </c>
      <c r="BI84" t="e">
        <f>AND(Liste!#REF!,"AAAAAH1rfTw=")</f>
        <v>#REF!</v>
      </c>
      <c r="BJ84" t="e">
        <f>AND(Liste!#REF!,"AAAAAH1rfT0=")</f>
        <v>#REF!</v>
      </c>
      <c r="BK84" t="e">
        <f>AND(Liste!#REF!,"AAAAAH1rfT4=")</f>
        <v>#REF!</v>
      </c>
      <c r="BL84" t="e">
        <f>AND(Liste!#REF!,"AAAAAH1rfT8=")</f>
        <v>#REF!</v>
      </c>
      <c r="BM84" t="e">
        <f>AND(Liste!#REF!,"AAAAAH1rfUA=")</f>
        <v>#REF!</v>
      </c>
      <c r="BN84" t="e">
        <f>AND(Liste!#REF!,"AAAAAH1rfUE=")</f>
        <v>#REF!</v>
      </c>
      <c r="BO84" t="e">
        <f>AND(Liste!#REF!,"AAAAAH1rfUI=")</f>
        <v>#REF!</v>
      </c>
      <c r="BP84" t="e">
        <f>AND(Liste!#REF!,"AAAAAH1rfUM=")</f>
        <v>#REF!</v>
      </c>
      <c r="BQ84" t="e">
        <f>AND(Liste!#REF!,"AAAAAH1rfUQ=")</f>
        <v>#REF!</v>
      </c>
      <c r="BR84" t="e">
        <f>AND(Liste!#REF!,"AAAAAH1rfUU=")</f>
        <v>#REF!</v>
      </c>
      <c r="BS84" t="e">
        <f>AND(Liste!#REF!,"AAAAAH1rfUY=")</f>
        <v>#REF!</v>
      </c>
      <c r="BT84" t="e">
        <f>AND(Liste!#REF!,"AAAAAH1rfUc=")</f>
        <v>#REF!</v>
      </c>
      <c r="BU84" t="e">
        <f>AND(Liste!#REF!,"AAAAAH1rfUg=")</f>
        <v>#REF!</v>
      </c>
      <c r="BV84" t="e">
        <f>AND(Liste!#REF!,"AAAAAH1rfUk=")</f>
        <v>#REF!</v>
      </c>
      <c r="BW84" t="e">
        <f>AND(Liste!#REF!,"AAAAAH1rfUo=")</f>
        <v>#REF!</v>
      </c>
      <c r="BX84" t="e">
        <f>AND(Liste!#REF!,"AAAAAH1rfUs=")</f>
        <v>#REF!</v>
      </c>
      <c r="BY84" t="e">
        <f>AND(Liste!#REF!,"AAAAAH1rfUw=")</f>
        <v>#REF!</v>
      </c>
      <c r="BZ84" t="e">
        <f>AND(Liste!#REF!,"AAAAAH1rfU0=")</f>
        <v>#REF!</v>
      </c>
      <c r="CA84" t="e">
        <f>AND(Liste!#REF!,"AAAAAH1rfU4=")</f>
        <v>#REF!</v>
      </c>
      <c r="CB84" t="e">
        <f>AND(Liste!#REF!,"AAAAAH1rfU8=")</f>
        <v>#REF!</v>
      </c>
      <c r="CC84" t="e">
        <f>IF(Liste!#REF!,"AAAAAH1rfVA=",0)</f>
        <v>#REF!</v>
      </c>
      <c r="CD84" t="e">
        <f>AND(Liste!#REF!,"AAAAAH1rfVE=")</f>
        <v>#REF!</v>
      </c>
      <c r="CE84" t="e">
        <f>AND(Liste!#REF!,"AAAAAH1rfVI=")</f>
        <v>#REF!</v>
      </c>
      <c r="CF84" t="e">
        <f>AND(Liste!#REF!,"AAAAAH1rfVM=")</f>
        <v>#REF!</v>
      </c>
      <c r="CG84" t="e">
        <f>AND(Liste!#REF!,"AAAAAH1rfVQ=")</f>
        <v>#REF!</v>
      </c>
      <c r="CH84" t="e">
        <f>AND(Liste!#REF!,"AAAAAH1rfVU=")</f>
        <v>#REF!</v>
      </c>
      <c r="CI84" t="e">
        <f>AND(Liste!#REF!,"AAAAAH1rfVY=")</f>
        <v>#REF!</v>
      </c>
      <c r="CJ84" t="e">
        <f>AND(Liste!#REF!,"AAAAAH1rfVc=")</f>
        <v>#REF!</v>
      </c>
      <c r="CK84" t="e">
        <f>AND(Liste!#REF!,"AAAAAH1rfVg=")</f>
        <v>#REF!</v>
      </c>
      <c r="CL84" t="e">
        <f>AND(Liste!#REF!,"AAAAAH1rfVk=")</f>
        <v>#REF!</v>
      </c>
      <c r="CM84" t="e">
        <f>AND(Liste!#REF!,"AAAAAH1rfVo=")</f>
        <v>#REF!</v>
      </c>
      <c r="CN84" t="e">
        <f>AND(Liste!#REF!,"AAAAAH1rfVs=")</f>
        <v>#REF!</v>
      </c>
      <c r="CO84" t="e">
        <f>AND(Liste!#REF!,"AAAAAH1rfVw=")</f>
        <v>#REF!</v>
      </c>
      <c r="CP84" t="e">
        <f>AND(Liste!#REF!,"AAAAAH1rfV0=")</f>
        <v>#REF!</v>
      </c>
      <c r="CQ84" t="e">
        <f>AND(Liste!#REF!,"AAAAAH1rfV4=")</f>
        <v>#REF!</v>
      </c>
      <c r="CR84" t="e">
        <f>AND(Liste!#REF!,"AAAAAH1rfV8=")</f>
        <v>#REF!</v>
      </c>
      <c r="CS84" t="e">
        <f>AND(Liste!#REF!,"AAAAAH1rfWA=")</f>
        <v>#REF!</v>
      </c>
      <c r="CT84" t="e">
        <f>AND(Liste!#REF!,"AAAAAH1rfWE=")</f>
        <v>#REF!</v>
      </c>
      <c r="CU84" t="e">
        <f>AND(Liste!#REF!,"AAAAAH1rfWI=")</f>
        <v>#REF!</v>
      </c>
      <c r="CV84" t="e">
        <f>AND(Liste!#REF!,"AAAAAH1rfWM=")</f>
        <v>#REF!</v>
      </c>
      <c r="CW84" t="e">
        <f>AND(Liste!#REF!,"AAAAAH1rfWQ=")</f>
        <v>#REF!</v>
      </c>
      <c r="CX84" t="e">
        <f>AND(Liste!#REF!,"AAAAAH1rfWU=")</f>
        <v>#REF!</v>
      </c>
      <c r="CY84" t="e">
        <f>AND(Liste!#REF!,"AAAAAH1rfWY=")</f>
        <v>#REF!</v>
      </c>
      <c r="CZ84" t="e">
        <f>AND(Liste!#REF!,"AAAAAH1rfWc=")</f>
        <v>#REF!</v>
      </c>
      <c r="DA84" t="e">
        <f>AND(Liste!#REF!,"AAAAAH1rfWg=")</f>
        <v>#REF!</v>
      </c>
      <c r="DB84" t="e">
        <f>AND(Liste!#REF!,"AAAAAH1rfWk=")</f>
        <v>#REF!</v>
      </c>
      <c r="DC84" t="e">
        <f>AND(Liste!#REF!,"AAAAAH1rfWo=")</f>
        <v>#REF!</v>
      </c>
      <c r="DD84" t="e">
        <f>AND(Liste!#REF!,"AAAAAH1rfWs=")</f>
        <v>#REF!</v>
      </c>
      <c r="DE84" t="e">
        <f>AND(Liste!#REF!,"AAAAAH1rfWw=")</f>
        <v>#REF!</v>
      </c>
      <c r="DF84" t="e">
        <f>AND(Liste!#REF!,"AAAAAH1rfW0=")</f>
        <v>#REF!</v>
      </c>
      <c r="DG84" t="e">
        <f>AND(Liste!#REF!,"AAAAAH1rfW4=")</f>
        <v>#REF!</v>
      </c>
      <c r="DH84" t="e">
        <f>IF(Liste!#REF!,"AAAAAH1rfW8=",0)</f>
        <v>#REF!</v>
      </c>
      <c r="DI84" t="e">
        <f>AND(Liste!#REF!,"AAAAAH1rfXA=")</f>
        <v>#REF!</v>
      </c>
      <c r="DJ84" t="e">
        <f>AND(Liste!#REF!,"AAAAAH1rfXE=")</f>
        <v>#REF!</v>
      </c>
      <c r="DK84" t="e">
        <f>AND(Liste!#REF!,"AAAAAH1rfXI=")</f>
        <v>#REF!</v>
      </c>
      <c r="DL84" t="e">
        <f>AND(Liste!#REF!,"AAAAAH1rfXM=")</f>
        <v>#REF!</v>
      </c>
      <c r="DM84" t="e">
        <f>AND(Liste!#REF!,"AAAAAH1rfXQ=")</f>
        <v>#REF!</v>
      </c>
      <c r="DN84" t="e">
        <f>AND(Liste!#REF!,"AAAAAH1rfXU=")</f>
        <v>#REF!</v>
      </c>
      <c r="DO84" t="e">
        <f>AND(Liste!#REF!,"AAAAAH1rfXY=")</f>
        <v>#REF!</v>
      </c>
      <c r="DP84" t="e">
        <f>AND(Liste!#REF!,"AAAAAH1rfXc=")</f>
        <v>#REF!</v>
      </c>
      <c r="DQ84" t="e">
        <f>AND(Liste!#REF!,"AAAAAH1rfXg=")</f>
        <v>#REF!</v>
      </c>
      <c r="DR84" t="e">
        <f>AND(Liste!#REF!,"AAAAAH1rfXk=")</f>
        <v>#REF!</v>
      </c>
      <c r="DS84" t="e">
        <f>AND(Liste!#REF!,"AAAAAH1rfXo=")</f>
        <v>#REF!</v>
      </c>
      <c r="DT84" t="e">
        <f>AND(Liste!#REF!,"AAAAAH1rfXs=")</f>
        <v>#REF!</v>
      </c>
      <c r="DU84" t="e">
        <f>AND(Liste!#REF!,"AAAAAH1rfXw=")</f>
        <v>#REF!</v>
      </c>
      <c r="DV84" t="e">
        <f>AND(Liste!#REF!,"AAAAAH1rfX0=")</f>
        <v>#REF!</v>
      </c>
      <c r="DW84" t="e">
        <f>AND(Liste!#REF!,"AAAAAH1rfX4=")</f>
        <v>#REF!</v>
      </c>
      <c r="DX84" t="e">
        <f>AND(Liste!#REF!,"AAAAAH1rfX8=")</f>
        <v>#REF!</v>
      </c>
      <c r="DY84" t="e">
        <f>AND(Liste!#REF!,"AAAAAH1rfYA=")</f>
        <v>#REF!</v>
      </c>
      <c r="DZ84" t="e">
        <f>AND(Liste!#REF!,"AAAAAH1rfYE=")</f>
        <v>#REF!</v>
      </c>
      <c r="EA84" t="e">
        <f>AND(Liste!#REF!,"AAAAAH1rfYI=")</f>
        <v>#REF!</v>
      </c>
      <c r="EB84" t="e">
        <f>AND(Liste!#REF!,"AAAAAH1rfYM=")</f>
        <v>#REF!</v>
      </c>
      <c r="EC84" t="e">
        <f>AND(Liste!#REF!,"AAAAAH1rfYQ=")</f>
        <v>#REF!</v>
      </c>
      <c r="ED84" t="e">
        <f>AND(Liste!#REF!,"AAAAAH1rfYU=")</f>
        <v>#REF!</v>
      </c>
      <c r="EE84" t="e">
        <f>AND(Liste!#REF!,"AAAAAH1rfYY=")</f>
        <v>#REF!</v>
      </c>
      <c r="EF84" t="e">
        <f>AND(Liste!#REF!,"AAAAAH1rfYc=")</f>
        <v>#REF!</v>
      </c>
      <c r="EG84" t="e">
        <f>AND(Liste!#REF!,"AAAAAH1rfYg=")</f>
        <v>#REF!</v>
      </c>
      <c r="EH84" t="e">
        <f>AND(Liste!#REF!,"AAAAAH1rfYk=")</f>
        <v>#REF!</v>
      </c>
      <c r="EI84" t="e">
        <f>AND(Liste!#REF!,"AAAAAH1rfYo=")</f>
        <v>#REF!</v>
      </c>
      <c r="EJ84" t="e">
        <f>AND(Liste!#REF!,"AAAAAH1rfYs=")</f>
        <v>#REF!</v>
      </c>
      <c r="EK84" t="e">
        <f>AND(Liste!#REF!,"AAAAAH1rfYw=")</f>
        <v>#REF!</v>
      </c>
      <c r="EL84" t="e">
        <f>AND(Liste!#REF!,"AAAAAH1rfY0=")</f>
        <v>#REF!</v>
      </c>
      <c r="EM84" t="e">
        <f>IF(Liste!#REF!,"AAAAAH1rfY4=",0)</f>
        <v>#REF!</v>
      </c>
      <c r="EN84" t="e">
        <f>AND(Liste!#REF!,"AAAAAH1rfY8=")</f>
        <v>#REF!</v>
      </c>
      <c r="EO84" t="e">
        <f>AND(Liste!#REF!,"AAAAAH1rfZA=")</f>
        <v>#REF!</v>
      </c>
      <c r="EP84" t="e">
        <f>AND(Liste!#REF!,"AAAAAH1rfZE=")</f>
        <v>#REF!</v>
      </c>
      <c r="EQ84" t="e">
        <f>AND(Liste!#REF!,"AAAAAH1rfZI=")</f>
        <v>#REF!</v>
      </c>
      <c r="ER84" t="e">
        <f>AND(Liste!#REF!,"AAAAAH1rfZM=")</f>
        <v>#REF!</v>
      </c>
      <c r="ES84" t="e">
        <f>AND(Liste!#REF!,"AAAAAH1rfZQ=")</f>
        <v>#REF!</v>
      </c>
      <c r="ET84" t="e">
        <f>AND(Liste!#REF!,"AAAAAH1rfZU=")</f>
        <v>#REF!</v>
      </c>
      <c r="EU84" t="e">
        <f>AND(Liste!#REF!,"AAAAAH1rfZY=")</f>
        <v>#REF!</v>
      </c>
      <c r="EV84" t="e">
        <f>AND(Liste!#REF!,"AAAAAH1rfZc=")</f>
        <v>#REF!</v>
      </c>
      <c r="EW84" t="e">
        <f>AND(Liste!#REF!,"AAAAAH1rfZg=")</f>
        <v>#REF!</v>
      </c>
      <c r="EX84" t="e">
        <f>AND(Liste!#REF!,"AAAAAH1rfZk=")</f>
        <v>#REF!</v>
      </c>
      <c r="EY84" t="e">
        <f>AND(Liste!#REF!,"AAAAAH1rfZo=")</f>
        <v>#REF!</v>
      </c>
      <c r="EZ84" t="e">
        <f>AND(Liste!#REF!,"AAAAAH1rfZs=")</f>
        <v>#REF!</v>
      </c>
      <c r="FA84" t="e">
        <f>AND(Liste!#REF!,"AAAAAH1rfZw=")</f>
        <v>#REF!</v>
      </c>
      <c r="FB84" t="e">
        <f>AND(Liste!#REF!,"AAAAAH1rfZ0=")</f>
        <v>#REF!</v>
      </c>
      <c r="FC84" t="e">
        <f>AND(Liste!#REF!,"AAAAAH1rfZ4=")</f>
        <v>#REF!</v>
      </c>
      <c r="FD84" t="e">
        <f>AND(Liste!#REF!,"AAAAAH1rfZ8=")</f>
        <v>#REF!</v>
      </c>
      <c r="FE84" t="e">
        <f>AND(Liste!#REF!,"AAAAAH1rfaA=")</f>
        <v>#REF!</v>
      </c>
      <c r="FF84" t="e">
        <f>AND(Liste!#REF!,"AAAAAH1rfaE=")</f>
        <v>#REF!</v>
      </c>
      <c r="FG84" t="e">
        <f>AND(Liste!#REF!,"AAAAAH1rfaI=")</f>
        <v>#REF!</v>
      </c>
      <c r="FH84" t="e">
        <f>AND(Liste!#REF!,"AAAAAH1rfaM=")</f>
        <v>#REF!</v>
      </c>
      <c r="FI84" t="e">
        <f>AND(Liste!#REF!,"AAAAAH1rfaQ=")</f>
        <v>#REF!</v>
      </c>
      <c r="FJ84" t="e">
        <f>AND(Liste!#REF!,"AAAAAH1rfaU=")</f>
        <v>#REF!</v>
      </c>
      <c r="FK84" t="e">
        <f>AND(Liste!#REF!,"AAAAAH1rfaY=")</f>
        <v>#REF!</v>
      </c>
      <c r="FL84" t="e">
        <f>AND(Liste!#REF!,"AAAAAH1rfac=")</f>
        <v>#REF!</v>
      </c>
      <c r="FM84" t="e">
        <f>AND(Liste!#REF!,"AAAAAH1rfag=")</f>
        <v>#REF!</v>
      </c>
      <c r="FN84" t="e">
        <f>AND(Liste!#REF!,"AAAAAH1rfak=")</f>
        <v>#REF!</v>
      </c>
      <c r="FO84" t="e">
        <f>AND(Liste!#REF!,"AAAAAH1rfao=")</f>
        <v>#REF!</v>
      </c>
      <c r="FP84" t="e">
        <f>AND(Liste!#REF!,"AAAAAH1rfas=")</f>
        <v>#REF!</v>
      </c>
      <c r="FQ84" t="e">
        <f>AND(Liste!#REF!,"AAAAAH1rfaw=")</f>
        <v>#REF!</v>
      </c>
      <c r="FR84" t="e">
        <f>IF(Liste!#REF!,"AAAAAH1rfa0=",0)</f>
        <v>#REF!</v>
      </c>
      <c r="FS84" t="e">
        <f>AND(Liste!#REF!,"AAAAAH1rfa4=")</f>
        <v>#REF!</v>
      </c>
      <c r="FT84" t="e">
        <f>AND(Liste!#REF!,"AAAAAH1rfa8=")</f>
        <v>#REF!</v>
      </c>
      <c r="FU84" t="e">
        <f>AND(Liste!#REF!,"AAAAAH1rfbA=")</f>
        <v>#REF!</v>
      </c>
      <c r="FV84" t="e">
        <f>AND(Liste!#REF!,"AAAAAH1rfbE=")</f>
        <v>#REF!</v>
      </c>
      <c r="FW84" t="e">
        <f>AND(Liste!#REF!,"AAAAAH1rfbI=")</f>
        <v>#REF!</v>
      </c>
      <c r="FX84" t="e">
        <f>AND(Liste!#REF!,"AAAAAH1rfbM=")</f>
        <v>#REF!</v>
      </c>
      <c r="FY84" t="e">
        <f>AND(Liste!#REF!,"AAAAAH1rfbQ=")</f>
        <v>#REF!</v>
      </c>
      <c r="FZ84" t="e">
        <f>AND(Liste!#REF!,"AAAAAH1rfbU=")</f>
        <v>#REF!</v>
      </c>
      <c r="GA84" t="e">
        <f>AND(Liste!#REF!,"AAAAAH1rfbY=")</f>
        <v>#REF!</v>
      </c>
      <c r="GB84" t="e">
        <f>AND(Liste!#REF!,"AAAAAH1rfbc=")</f>
        <v>#REF!</v>
      </c>
      <c r="GC84" t="e">
        <f>AND(Liste!#REF!,"AAAAAH1rfbg=")</f>
        <v>#REF!</v>
      </c>
      <c r="GD84" t="e">
        <f>AND(Liste!#REF!,"AAAAAH1rfbk=")</f>
        <v>#REF!</v>
      </c>
      <c r="GE84" t="e">
        <f>AND(Liste!#REF!,"AAAAAH1rfbo=")</f>
        <v>#REF!</v>
      </c>
      <c r="GF84" t="e">
        <f>AND(Liste!#REF!,"AAAAAH1rfbs=")</f>
        <v>#REF!</v>
      </c>
      <c r="GG84" t="e">
        <f>AND(Liste!#REF!,"AAAAAH1rfbw=")</f>
        <v>#REF!</v>
      </c>
      <c r="GH84" t="e">
        <f>AND(Liste!#REF!,"AAAAAH1rfb0=")</f>
        <v>#REF!</v>
      </c>
      <c r="GI84" t="e">
        <f>AND(Liste!#REF!,"AAAAAH1rfb4=")</f>
        <v>#REF!</v>
      </c>
      <c r="GJ84" t="e">
        <f>AND(Liste!#REF!,"AAAAAH1rfb8=")</f>
        <v>#REF!</v>
      </c>
      <c r="GK84" t="e">
        <f>AND(Liste!#REF!,"AAAAAH1rfcA=")</f>
        <v>#REF!</v>
      </c>
      <c r="GL84" t="e">
        <f>AND(Liste!#REF!,"AAAAAH1rfcE=")</f>
        <v>#REF!</v>
      </c>
      <c r="GM84" t="e">
        <f>AND(Liste!#REF!,"AAAAAH1rfcI=")</f>
        <v>#REF!</v>
      </c>
      <c r="GN84" t="e">
        <f>AND(Liste!#REF!,"AAAAAH1rfcM=")</f>
        <v>#REF!</v>
      </c>
      <c r="GO84" t="e">
        <f>AND(Liste!#REF!,"AAAAAH1rfcQ=")</f>
        <v>#REF!</v>
      </c>
      <c r="GP84" t="e">
        <f>AND(Liste!#REF!,"AAAAAH1rfcU=")</f>
        <v>#REF!</v>
      </c>
      <c r="GQ84" t="e">
        <f>AND(Liste!#REF!,"AAAAAH1rfcY=")</f>
        <v>#REF!</v>
      </c>
      <c r="GR84" t="e">
        <f>AND(Liste!#REF!,"AAAAAH1rfcc=")</f>
        <v>#REF!</v>
      </c>
      <c r="GS84" t="e">
        <f>AND(Liste!#REF!,"AAAAAH1rfcg=")</f>
        <v>#REF!</v>
      </c>
      <c r="GT84" t="e">
        <f>AND(Liste!#REF!,"AAAAAH1rfck=")</f>
        <v>#REF!</v>
      </c>
      <c r="GU84" t="e">
        <f>AND(Liste!#REF!,"AAAAAH1rfco=")</f>
        <v>#REF!</v>
      </c>
      <c r="GV84" t="e">
        <f>AND(Liste!#REF!,"AAAAAH1rfcs=")</f>
        <v>#REF!</v>
      </c>
      <c r="GW84" t="e">
        <f>IF(Liste!#REF!,"AAAAAH1rfcw=",0)</f>
        <v>#REF!</v>
      </c>
      <c r="GX84" t="e">
        <f>AND(Liste!#REF!,"AAAAAH1rfc0=")</f>
        <v>#REF!</v>
      </c>
      <c r="GY84" t="e">
        <f>AND(Liste!#REF!,"AAAAAH1rfc4=")</f>
        <v>#REF!</v>
      </c>
      <c r="GZ84" t="e">
        <f>AND(Liste!#REF!,"AAAAAH1rfc8=")</f>
        <v>#REF!</v>
      </c>
      <c r="HA84" t="e">
        <f>AND(Liste!#REF!,"AAAAAH1rfdA=")</f>
        <v>#REF!</v>
      </c>
      <c r="HB84" t="e">
        <f>AND(Liste!#REF!,"AAAAAH1rfdE=")</f>
        <v>#REF!</v>
      </c>
      <c r="HC84" t="e">
        <f>AND(Liste!#REF!,"AAAAAH1rfdI=")</f>
        <v>#REF!</v>
      </c>
      <c r="HD84" t="e">
        <f>AND(Liste!#REF!,"AAAAAH1rfdM=")</f>
        <v>#REF!</v>
      </c>
      <c r="HE84" t="e">
        <f>AND(Liste!#REF!,"AAAAAH1rfdQ=")</f>
        <v>#REF!</v>
      </c>
      <c r="HF84" t="e">
        <f>AND(Liste!#REF!,"AAAAAH1rfdU=")</f>
        <v>#REF!</v>
      </c>
      <c r="HG84" t="e">
        <f>AND(Liste!#REF!,"AAAAAH1rfdY=")</f>
        <v>#REF!</v>
      </c>
      <c r="HH84" t="e">
        <f>AND(Liste!#REF!,"AAAAAH1rfdc=")</f>
        <v>#REF!</v>
      </c>
      <c r="HI84" t="e">
        <f>AND(Liste!#REF!,"AAAAAH1rfdg=")</f>
        <v>#REF!</v>
      </c>
      <c r="HJ84" t="e">
        <f>AND(Liste!#REF!,"AAAAAH1rfdk=")</f>
        <v>#REF!</v>
      </c>
      <c r="HK84" t="e">
        <f>AND(Liste!#REF!,"AAAAAH1rfdo=")</f>
        <v>#REF!</v>
      </c>
      <c r="HL84" t="e">
        <f>AND(Liste!#REF!,"AAAAAH1rfds=")</f>
        <v>#REF!</v>
      </c>
      <c r="HM84" t="e">
        <f>AND(Liste!#REF!,"AAAAAH1rfdw=")</f>
        <v>#REF!</v>
      </c>
      <c r="HN84" t="e">
        <f>AND(Liste!#REF!,"AAAAAH1rfd0=")</f>
        <v>#REF!</v>
      </c>
      <c r="HO84" t="e">
        <f>AND(Liste!#REF!,"AAAAAH1rfd4=")</f>
        <v>#REF!</v>
      </c>
      <c r="HP84" t="e">
        <f>AND(Liste!#REF!,"AAAAAH1rfd8=")</f>
        <v>#REF!</v>
      </c>
      <c r="HQ84" t="e">
        <f>AND(Liste!#REF!,"AAAAAH1rfeA=")</f>
        <v>#REF!</v>
      </c>
      <c r="HR84" t="e">
        <f>AND(Liste!#REF!,"AAAAAH1rfeE=")</f>
        <v>#REF!</v>
      </c>
      <c r="HS84" t="e">
        <f>AND(Liste!#REF!,"AAAAAH1rfeI=")</f>
        <v>#REF!</v>
      </c>
      <c r="HT84" t="e">
        <f>AND(Liste!#REF!,"AAAAAH1rfeM=")</f>
        <v>#REF!</v>
      </c>
      <c r="HU84" t="e">
        <f>AND(Liste!#REF!,"AAAAAH1rfeQ=")</f>
        <v>#REF!</v>
      </c>
      <c r="HV84" t="e">
        <f>AND(Liste!#REF!,"AAAAAH1rfeU=")</f>
        <v>#REF!</v>
      </c>
      <c r="HW84" t="e">
        <f>AND(Liste!#REF!,"AAAAAH1rfeY=")</f>
        <v>#REF!</v>
      </c>
      <c r="HX84" t="e">
        <f>AND(Liste!#REF!,"AAAAAH1rfec=")</f>
        <v>#REF!</v>
      </c>
      <c r="HY84" t="e">
        <f>AND(Liste!#REF!,"AAAAAH1rfeg=")</f>
        <v>#REF!</v>
      </c>
      <c r="HZ84" t="e">
        <f>AND(Liste!#REF!,"AAAAAH1rfek=")</f>
        <v>#REF!</v>
      </c>
      <c r="IA84" t="e">
        <f>AND(Liste!#REF!,"AAAAAH1rfeo=")</f>
        <v>#REF!</v>
      </c>
      <c r="IB84" t="e">
        <f>IF(Liste!#REF!,"AAAAAH1rfes=",0)</f>
        <v>#REF!</v>
      </c>
      <c r="IC84" t="e">
        <f>AND(Liste!#REF!,"AAAAAH1rfew=")</f>
        <v>#REF!</v>
      </c>
      <c r="ID84" t="e">
        <f>AND(Liste!#REF!,"AAAAAH1rfe0=")</f>
        <v>#REF!</v>
      </c>
      <c r="IE84" t="e">
        <f>AND(Liste!#REF!,"AAAAAH1rfe4=")</f>
        <v>#REF!</v>
      </c>
      <c r="IF84" t="e">
        <f>AND(Liste!#REF!,"AAAAAH1rfe8=")</f>
        <v>#REF!</v>
      </c>
      <c r="IG84" t="e">
        <f>AND(Liste!#REF!,"AAAAAH1rffA=")</f>
        <v>#REF!</v>
      </c>
      <c r="IH84" t="e">
        <f>AND(Liste!#REF!,"AAAAAH1rffE=")</f>
        <v>#REF!</v>
      </c>
      <c r="II84" t="e">
        <f>AND(Liste!#REF!,"AAAAAH1rffI=")</f>
        <v>#REF!</v>
      </c>
      <c r="IJ84" t="e">
        <f>AND(Liste!#REF!,"AAAAAH1rffM=")</f>
        <v>#REF!</v>
      </c>
      <c r="IK84" t="e">
        <f>AND(Liste!#REF!,"AAAAAH1rffQ=")</f>
        <v>#REF!</v>
      </c>
      <c r="IL84" t="e">
        <f>AND(Liste!#REF!,"AAAAAH1rffU=")</f>
        <v>#REF!</v>
      </c>
      <c r="IM84" t="e">
        <f>AND(Liste!#REF!,"AAAAAH1rffY=")</f>
        <v>#REF!</v>
      </c>
      <c r="IN84" t="e">
        <f>AND(Liste!#REF!,"AAAAAH1rffc=")</f>
        <v>#REF!</v>
      </c>
      <c r="IO84" t="e">
        <f>AND(Liste!#REF!,"AAAAAH1rffg=")</f>
        <v>#REF!</v>
      </c>
      <c r="IP84" t="e">
        <f>AND(Liste!#REF!,"AAAAAH1rffk=")</f>
        <v>#REF!</v>
      </c>
      <c r="IQ84" t="e">
        <f>AND(Liste!#REF!,"AAAAAH1rffo=")</f>
        <v>#REF!</v>
      </c>
      <c r="IR84" t="e">
        <f>AND(Liste!#REF!,"AAAAAH1rffs=")</f>
        <v>#REF!</v>
      </c>
      <c r="IS84" t="e">
        <f>AND(Liste!#REF!,"AAAAAH1rffw=")</f>
        <v>#REF!</v>
      </c>
      <c r="IT84" t="e">
        <f>AND(Liste!#REF!,"AAAAAH1rff0=")</f>
        <v>#REF!</v>
      </c>
      <c r="IU84" t="e">
        <f>AND(Liste!#REF!,"AAAAAH1rff4=")</f>
        <v>#REF!</v>
      </c>
      <c r="IV84" t="e">
        <f>AND(Liste!#REF!,"AAAAAH1rff8=")</f>
        <v>#REF!</v>
      </c>
    </row>
    <row r="85" spans="1:256" x14ac:dyDescent="0.2">
      <c r="A85" t="e">
        <f>AND(Liste!#REF!,"AAAAABv/vQA=")</f>
        <v>#REF!</v>
      </c>
      <c r="B85" t="e">
        <f>AND(Liste!#REF!,"AAAAABv/vQE=")</f>
        <v>#REF!</v>
      </c>
      <c r="C85" t="e">
        <f>AND(Liste!#REF!,"AAAAABv/vQI=")</f>
        <v>#REF!</v>
      </c>
      <c r="D85" t="e">
        <f>AND(Liste!#REF!,"AAAAABv/vQM=")</f>
        <v>#REF!</v>
      </c>
      <c r="E85" t="e">
        <f>AND(Liste!#REF!,"AAAAABv/vQQ=")</f>
        <v>#REF!</v>
      </c>
      <c r="F85" t="e">
        <f>AND(Liste!#REF!,"AAAAABv/vQU=")</f>
        <v>#REF!</v>
      </c>
      <c r="G85" t="e">
        <f>AND(Liste!#REF!,"AAAAABv/vQY=")</f>
        <v>#REF!</v>
      </c>
      <c r="H85" t="e">
        <f>AND(Liste!#REF!,"AAAAABv/vQc=")</f>
        <v>#REF!</v>
      </c>
      <c r="I85" t="e">
        <f>AND(Liste!#REF!,"AAAAABv/vQg=")</f>
        <v>#REF!</v>
      </c>
      <c r="J85" t="e">
        <f>AND(Liste!#REF!,"AAAAABv/vQk=")</f>
        <v>#REF!</v>
      </c>
      <c r="K85" t="e">
        <f>IF(Liste!#REF!,"AAAAABv/vQo=",0)</f>
        <v>#REF!</v>
      </c>
      <c r="L85" t="e">
        <f>AND(Liste!#REF!,"AAAAABv/vQs=")</f>
        <v>#REF!</v>
      </c>
      <c r="M85" t="e">
        <f>AND(Liste!#REF!,"AAAAABv/vQw=")</f>
        <v>#REF!</v>
      </c>
      <c r="N85" t="e">
        <f>AND(Liste!#REF!,"AAAAABv/vQ0=")</f>
        <v>#REF!</v>
      </c>
      <c r="O85" t="e">
        <f>AND(Liste!#REF!,"AAAAABv/vQ4=")</f>
        <v>#REF!</v>
      </c>
      <c r="P85" t="e">
        <f>AND(Liste!#REF!,"AAAAABv/vQ8=")</f>
        <v>#REF!</v>
      </c>
      <c r="Q85" t="e">
        <f>AND(Liste!#REF!,"AAAAABv/vRA=")</f>
        <v>#REF!</v>
      </c>
      <c r="R85" t="e">
        <f>AND(Liste!#REF!,"AAAAABv/vRE=")</f>
        <v>#REF!</v>
      </c>
      <c r="S85" t="e">
        <f>AND(Liste!#REF!,"AAAAABv/vRI=")</f>
        <v>#REF!</v>
      </c>
      <c r="T85" t="e">
        <f>AND(Liste!#REF!,"AAAAABv/vRM=")</f>
        <v>#REF!</v>
      </c>
      <c r="U85" t="e">
        <f>AND(Liste!#REF!,"AAAAABv/vRQ=")</f>
        <v>#REF!</v>
      </c>
      <c r="V85" t="e">
        <f>AND(Liste!#REF!,"AAAAABv/vRU=")</f>
        <v>#REF!</v>
      </c>
      <c r="W85" t="e">
        <f>AND(Liste!#REF!,"AAAAABv/vRY=")</f>
        <v>#REF!</v>
      </c>
      <c r="X85" t="e">
        <f>AND(Liste!#REF!,"AAAAABv/vRc=")</f>
        <v>#REF!</v>
      </c>
      <c r="Y85" t="e">
        <f>AND(Liste!#REF!,"AAAAABv/vRg=")</f>
        <v>#REF!</v>
      </c>
      <c r="Z85" t="e">
        <f>AND(Liste!#REF!,"AAAAABv/vRk=")</f>
        <v>#REF!</v>
      </c>
      <c r="AA85" t="e">
        <f>AND(Liste!#REF!,"AAAAABv/vRo=")</f>
        <v>#REF!</v>
      </c>
      <c r="AB85" t="e">
        <f>AND(Liste!#REF!,"AAAAABv/vRs=")</f>
        <v>#REF!</v>
      </c>
      <c r="AC85" t="e">
        <f>AND(Liste!#REF!,"AAAAABv/vRw=")</f>
        <v>#REF!</v>
      </c>
      <c r="AD85" t="e">
        <f>AND(Liste!#REF!,"AAAAABv/vR0=")</f>
        <v>#REF!</v>
      </c>
      <c r="AE85" t="e">
        <f>AND(Liste!#REF!,"AAAAABv/vR4=")</f>
        <v>#REF!</v>
      </c>
      <c r="AF85" t="e">
        <f>AND(Liste!#REF!,"AAAAABv/vR8=")</f>
        <v>#REF!</v>
      </c>
      <c r="AG85" t="e">
        <f>AND(Liste!#REF!,"AAAAABv/vSA=")</f>
        <v>#REF!</v>
      </c>
      <c r="AH85" t="e">
        <f>AND(Liste!#REF!,"AAAAABv/vSE=")</f>
        <v>#REF!</v>
      </c>
      <c r="AI85" t="e">
        <f>AND(Liste!#REF!,"AAAAABv/vSI=")</f>
        <v>#REF!</v>
      </c>
      <c r="AJ85" t="e">
        <f>AND(Liste!#REF!,"AAAAABv/vSM=")</f>
        <v>#REF!</v>
      </c>
      <c r="AK85" t="e">
        <f>AND(Liste!#REF!,"AAAAABv/vSQ=")</f>
        <v>#REF!</v>
      </c>
      <c r="AL85" t="e">
        <f>AND(Liste!#REF!,"AAAAABv/vSU=")</f>
        <v>#REF!</v>
      </c>
      <c r="AM85" t="e">
        <f>AND(Liste!#REF!,"AAAAABv/vSY=")</f>
        <v>#REF!</v>
      </c>
      <c r="AN85" t="e">
        <f>AND(Liste!#REF!,"AAAAABv/vSc=")</f>
        <v>#REF!</v>
      </c>
      <c r="AO85" t="e">
        <f>AND(Liste!#REF!,"AAAAABv/vSg=")</f>
        <v>#REF!</v>
      </c>
      <c r="AP85" t="e">
        <f>IF(Liste!#REF!,"AAAAABv/vSk=",0)</f>
        <v>#REF!</v>
      </c>
      <c r="AQ85" t="e">
        <f>AND(Liste!#REF!,"AAAAABv/vSo=")</f>
        <v>#REF!</v>
      </c>
      <c r="AR85" t="e">
        <f>AND(Liste!#REF!,"AAAAABv/vSs=")</f>
        <v>#REF!</v>
      </c>
      <c r="AS85" t="e">
        <f>AND(Liste!#REF!,"AAAAABv/vSw=")</f>
        <v>#REF!</v>
      </c>
      <c r="AT85" t="e">
        <f>AND(Liste!#REF!,"AAAAABv/vS0=")</f>
        <v>#REF!</v>
      </c>
      <c r="AU85" t="e">
        <f>AND(Liste!#REF!,"AAAAABv/vS4=")</f>
        <v>#REF!</v>
      </c>
      <c r="AV85" t="e">
        <f>AND(Liste!#REF!,"AAAAABv/vS8=")</f>
        <v>#REF!</v>
      </c>
      <c r="AW85" t="e">
        <f>AND(Liste!#REF!,"AAAAABv/vTA=")</f>
        <v>#REF!</v>
      </c>
      <c r="AX85" t="e">
        <f>AND(Liste!#REF!,"AAAAABv/vTE=")</f>
        <v>#REF!</v>
      </c>
      <c r="AY85" t="e">
        <f>AND(Liste!#REF!,"AAAAABv/vTI=")</f>
        <v>#REF!</v>
      </c>
      <c r="AZ85" t="e">
        <f>AND(Liste!#REF!,"AAAAABv/vTM=")</f>
        <v>#REF!</v>
      </c>
      <c r="BA85" t="e">
        <f>AND(Liste!#REF!,"AAAAABv/vTQ=")</f>
        <v>#REF!</v>
      </c>
      <c r="BB85" t="e">
        <f>AND(Liste!#REF!,"AAAAABv/vTU=")</f>
        <v>#REF!</v>
      </c>
      <c r="BC85" t="e">
        <f>AND(Liste!#REF!,"AAAAABv/vTY=")</f>
        <v>#REF!</v>
      </c>
      <c r="BD85" t="e">
        <f>AND(Liste!#REF!,"AAAAABv/vTc=")</f>
        <v>#REF!</v>
      </c>
      <c r="BE85" t="e">
        <f>AND(Liste!#REF!,"AAAAABv/vTg=")</f>
        <v>#REF!</v>
      </c>
      <c r="BF85" t="e">
        <f>AND(Liste!#REF!,"AAAAABv/vTk=")</f>
        <v>#REF!</v>
      </c>
      <c r="BG85" t="e">
        <f>AND(Liste!#REF!,"AAAAABv/vTo=")</f>
        <v>#REF!</v>
      </c>
      <c r="BH85" t="e">
        <f>AND(Liste!#REF!,"AAAAABv/vTs=")</f>
        <v>#REF!</v>
      </c>
      <c r="BI85" t="e">
        <f>AND(Liste!#REF!,"AAAAABv/vTw=")</f>
        <v>#REF!</v>
      </c>
      <c r="BJ85" t="e">
        <f>AND(Liste!#REF!,"AAAAABv/vT0=")</f>
        <v>#REF!</v>
      </c>
      <c r="BK85" t="e">
        <f>AND(Liste!#REF!,"AAAAABv/vT4=")</f>
        <v>#REF!</v>
      </c>
      <c r="BL85" t="e">
        <f>AND(Liste!#REF!,"AAAAABv/vT8=")</f>
        <v>#REF!</v>
      </c>
      <c r="BM85" t="e">
        <f>AND(Liste!#REF!,"AAAAABv/vUA=")</f>
        <v>#REF!</v>
      </c>
      <c r="BN85" t="e">
        <f>AND(Liste!#REF!,"AAAAABv/vUE=")</f>
        <v>#REF!</v>
      </c>
      <c r="BO85" t="e">
        <f>AND(Liste!#REF!,"AAAAABv/vUI=")</f>
        <v>#REF!</v>
      </c>
      <c r="BP85" t="e">
        <f>AND(Liste!#REF!,"AAAAABv/vUM=")</f>
        <v>#REF!</v>
      </c>
      <c r="BQ85" t="e">
        <f>AND(Liste!#REF!,"AAAAABv/vUQ=")</f>
        <v>#REF!</v>
      </c>
      <c r="BR85" t="e">
        <f>AND(Liste!#REF!,"AAAAABv/vUU=")</f>
        <v>#REF!</v>
      </c>
      <c r="BS85" t="e">
        <f>AND(Liste!#REF!,"AAAAABv/vUY=")</f>
        <v>#REF!</v>
      </c>
      <c r="BT85" t="e">
        <f>AND(Liste!#REF!,"AAAAABv/vUc=")</f>
        <v>#REF!</v>
      </c>
      <c r="BU85" t="e">
        <f>IF(Liste!#REF!,"AAAAABv/vUg=",0)</f>
        <v>#REF!</v>
      </c>
      <c r="BV85" t="e">
        <f>AND(Liste!#REF!,"AAAAABv/vUk=")</f>
        <v>#REF!</v>
      </c>
      <c r="BW85" t="e">
        <f>AND(Liste!#REF!,"AAAAABv/vUo=")</f>
        <v>#REF!</v>
      </c>
      <c r="BX85" t="e">
        <f>AND(Liste!#REF!,"AAAAABv/vUs=")</f>
        <v>#REF!</v>
      </c>
      <c r="BY85" t="e">
        <f>AND(Liste!#REF!,"AAAAABv/vUw=")</f>
        <v>#REF!</v>
      </c>
      <c r="BZ85" t="e">
        <f>AND(Liste!#REF!,"AAAAABv/vU0=")</f>
        <v>#REF!</v>
      </c>
      <c r="CA85" t="e">
        <f>AND(Liste!#REF!,"AAAAABv/vU4=")</f>
        <v>#REF!</v>
      </c>
      <c r="CB85" t="e">
        <f>AND(Liste!#REF!,"AAAAABv/vU8=")</f>
        <v>#REF!</v>
      </c>
      <c r="CC85" t="e">
        <f>AND(Liste!#REF!,"AAAAABv/vVA=")</f>
        <v>#REF!</v>
      </c>
      <c r="CD85" t="e">
        <f>AND(Liste!#REF!,"AAAAABv/vVE=")</f>
        <v>#REF!</v>
      </c>
      <c r="CE85" t="e">
        <f>AND(Liste!#REF!,"AAAAABv/vVI=")</f>
        <v>#REF!</v>
      </c>
      <c r="CF85" t="e">
        <f>AND(Liste!#REF!,"AAAAABv/vVM=")</f>
        <v>#REF!</v>
      </c>
      <c r="CG85" t="e">
        <f>AND(Liste!#REF!,"AAAAABv/vVQ=")</f>
        <v>#REF!</v>
      </c>
      <c r="CH85" t="e">
        <f>AND(Liste!#REF!,"AAAAABv/vVU=")</f>
        <v>#REF!</v>
      </c>
      <c r="CI85" t="e">
        <f>AND(Liste!#REF!,"AAAAABv/vVY=")</f>
        <v>#REF!</v>
      </c>
      <c r="CJ85" t="e">
        <f>AND(Liste!#REF!,"AAAAABv/vVc=")</f>
        <v>#REF!</v>
      </c>
      <c r="CK85" t="e">
        <f>AND(Liste!#REF!,"AAAAABv/vVg=")</f>
        <v>#REF!</v>
      </c>
      <c r="CL85" t="e">
        <f>AND(Liste!#REF!,"AAAAABv/vVk=")</f>
        <v>#REF!</v>
      </c>
      <c r="CM85" t="e">
        <f>AND(Liste!#REF!,"AAAAABv/vVo=")</f>
        <v>#REF!</v>
      </c>
      <c r="CN85" t="e">
        <f>AND(Liste!#REF!,"AAAAABv/vVs=")</f>
        <v>#REF!</v>
      </c>
      <c r="CO85" t="e">
        <f>AND(Liste!#REF!,"AAAAABv/vVw=")</f>
        <v>#REF!</v>
      </c>
      <c r="CP85" t="e">
        <f>AND(Liste!#REF!,"AAAAABv/vV0=")</f>
        <v>#REF!</v>
      </c>
      <c r="CQ85" t="e">
        <f>AND(Liste!#REF!,"AAAAABv/vV4=")</f>
        <v>#REF!</v>
      </c>
      <c r="CR85" t="e">
        <f>AND(Liste!#REF!,"AAAAABv/vV8=")</f>
        <v>#REF!</v>
      </c>
      <c r="CS85" t="e">
        <f>AND(Liste!#REF!,"AAAAABv/vWA=")</f>
        <v>#REF!</v>
      </c>
      <c r="CT85" t="e">
        <f>AND(Liste!#REF!,"AAAAABv/vWE=")</f>
        <v>#REF!</v>
      </c>
      <c r="CU85" t="e">
        <f>AND(Liste!#REF!,"AAAAABv/vWI=")</f>
        <v>#REF!</v>
      </c>
      <c r="CV85" t="e">
        <f>AND(Liste!#REF!,"AAAAABv/vWM=")</f>
        <v>#REF!</v>
      </c>
      <c r="CW85" t="e">
        <f>AND(Liste!#REF!,"AAAAABv/vWQ=")</f>
        <v>#REF!</v>
      </c>
      <c r="CX85" t="e">
        <f>AND(Liste!#REF!,"AAAAABv/vWU=")</f>
        <v>#REF!</v>
      </c>
      <c r="CY85" t="e">
        <f>AND(Liste!#REF!,"AAAAABv/vWY=")</f>
        <v>#REF!</v>
      </c>
      <c r="CZ85" t="e">
        <f>IF(Liste!#REF!,"AAAAABv/vWc=",0)</f>
        <v>#REF!</v>
      </c>
      <c r="DA85" t="e">
        <f>AND(Liste!#REF!,"AAAAABv/vWg=")</f>
        <v>#REF!</v>
      </c>
      <c r="DB85" t="e">
        <f>AND(Liste!#REF!,"AAAAABv/vWk=")</f>
        <v>#REF!</v>
      </c>
      <c r="DC85" t="e">
        <f>AND(Liste!#REF!,"AAAAABv/vWo=")</f>
        <v>#REF!</v>
      </c>
      <c r="DD85" t="e">
        <f>AND(Liste!#REF!,"AAAAABv/vWs=")</f>
        <v>#REF!</v>
      </c>
      <c r="DE85" t="e">
        <f>AND(Liste!#REF!,"AAAAABv/vWw=")</f>
        <v>#REF!</v>
      </c>
      <c r="DF85" t="e">
        <f>AND(Liste!#REF!,"AAAAABv/vW0=")</f>
        <v>#REF!</v>
      </c>
      <c r="DG85" t="e">
        <f>AND(Liste!#REF!,"AAAAABv/vW4=")</f>
        <v>#REF!</v>
      </c>
      <c r="DH85" t="e">
        <f>AND(Liste!#REF!,"AAAAABv/vW8=")</f>
        <v>#REF!</v>
      </c>
      <c r="DI85" t="e">
        <f>AND(Liste!#REF!,"AAAAABv/vXA=")</f>
        <v>#REF!</v>
      </c>
      <c r="DJ85" t="e">
        <f>AND(Liste!#REF!,"AAAAABv/vXE=")</f>
        <v>#REF!</v>
      </c>
      <c r="DK85" t="e">
        <f>AND(Liste!#REF!,"AAAAABv/vXI=")</f>
        <v>#REF!</v>
      </c>
      <c r="DL85" t="e">
        <f>AND(Liste!#REF!,"AAAAABv/vXM=")</f>
        <v>#REF!</v>
      </c>
      <c r="DM85" t="e">
        <f>AND(Liste!#REF!,"AAAAABv/vXQ=")</f>
        <v>#REF!</v>
      </c>
      <c r="DN85" t="e">
        <f>AND(Liste!#REF!,"AAAAABv/vXU=")</f>
        <v>#REF!</v>
      </c>
      <c r="DO85" t="e">
        <f>AND(Liste!#REF!,"AAAAABv/vXY=")</f>
        <v>#REF!</v>
      </c>
      <c r="DP85" t="e">
        <f>AND(Liste!#REF!,"AAAAABv/vXc=")</f>
        <v>#REF!</v>
      </c>
      <c r="DQ85" t="e">
        <f>AND(Liste!#REF!,"AAAAABv/vXg=")</f>
        <v>#REF!</v>
      </c>
      <c r="DR85" t="e">
        <f>AND(Liste!#REF!,"AAAAABv/vXk=")</f>
        <v>#REF!</v>
      </c>
      <c r="DS85" t="e">
        <f>AND(Liste!#REF!,"AAAAABv/vXo=")</f>
        <v>#REF!</v>
      </c>
      <c r="DT85" t="e">
        <f>AND(Liste!#REF!,"AAAAABv/vXs=")</f>
        <v>#REF!</v>
      </c>
      <c r="DU85" t="e">
        <f>AND(Liste!#REF!,"AAAAABv/vXw=")</f>
        <v>#REF!</v>
      </c>
      <c r="DV85" t="e">
        <f>AND(Liste!#REF!,"AAAAABv/vX0=")</f>
        <v>#REF!</v>
      </c>
      <c r="DW85" t="e">
        <f>AND(Liste!#REF!,"AAAAABv/vX4=")</f>
        <v>#REF!</v>
      </c>
      <c r="DX85" t="e">
        <f>AND(Liste!#REF!,"AAAAABv/vX8=")</f>
        <v>#REF!</v>
      </c>
      <c r="DY85" t="e">
        <f>AND(Liste!#REF!,"AAAAABv/vYA=")</f>
        <v>#REF!</v>
      </c>
      <c r="DZ85" t="e">
        <f>AND(Liste!#REF!,"AAAAABv/vYE=")</f>
        <v>#REF!</v>
      </c>
      <c r="EA85" t="e">
        <f>AND(Liste!#REF!,"AAAAABv/vYI=")</f>
        <v>#REF!</v>
      </c>
      <c r="EB85" t="e">
        <f>AND(Liste!#REF!,"AAAAABv/vYM=")</f>
        <v>#REF!</v>
      </c>
      <c r="EC85" t="e">
        <f>AND(Liste!#REF!,"AAAAABv/vYQ=")</f>
        <v>#REF!</v>
      </c>
      <c r="ED85" t="e">
        <f>AND(Liste!#REF!,"AAAAABv/vYU=")</f>
        <v>#REF!</v>
      </c>
      <c r="EE85" t="e">
        <f>IF(Liste!#REF!,"AAAAABv/vYY=",0)</f>
        <v>#REF!</v>
      </c>
      <c r="EF85" t="e">
        <f>AND(Liste!#REF!,"AAAAABv/vYc=")</f>
        <v>#REF!</v>
      </c>
      <c r="EG85" t="e">
        <f>AND(Liste!#REF!,"AAAAABv/vYg=")</f>
        <v>#REF!</v>
      </c>
      <c r="EH85" t="e">
        <f>AND(Liste!#REF!,"AAAAABv/vYk=")</f>
        <v>#REF!</v>
      </c>
      <c r="EI85" t="e">
        <f>AND(Liste!#REF!,"AAAAABv/vYo=")</f>
        <v>#REF!</v>
      </c>
      <c r="EJ85" t="e">
        <f>AND(Liste!#REF!,"AAAAABv/vYs=")</f>
        <v>#REF!</v>
      </c>
      <c r="EK85" t="e">
        <f>AND(Liste!#REF!,"AAAAABv/vYw=")</f>
        <v>#REF!</v>
      </c>
      <c r="EL85" t="e">
        <f>AND(Liste!#REF!,"AAAAABv/vY0=")</f>
        <v>#REF!</v>
      </c>
      <c r="EM85" t="e">
        <f>AND(Liste!#REF!,"AAAAABv/vY4=")</f>
        <v>#REF!</v>
      </c>
      <c r="EN85" t="e">
        <f>AND(Liste!#REF!,"AAAAABv/vY8=")</f>
        <v>#REF!</v>
      </c>
      <c r="EO85" t="e">
        <f>AND(Liste!#REF!,"AAAAABv/vZA=")</f>
        <v>#REF!</v>
      </c>
      <c r="EP85" t="e">
        <f>AND(Liste!#REF!,"AAAAABv/vZE=")</f>
        <v>#REF!</v>
      </c>
      <c r="EQ85" t="e">
        <f>AND(Liste!#REF!,"AAAAABv/vZI=")</f>
        <v>#REF!</v>
      </c>
      <c r="ER85" t="e">
        <f>AND(Liste!#REF!,"AAAAABv/vZM=")</f>
        <v>#REF!</v>
      </c>
      <c r="ES85" t="e">
        <f>AND(Liste!#REF!,"AAAAABv/vZQ=")</f>
        <v>#REF!</v>
      </c>
      <c r="ET85" t="e">
        <f>AND(Liste!#REF!,"AAAAABv/vZU=")</f>
        <v>#REF!</v>
      </c>
      <c r="EU85" t="e">
        <f>AND(Liste!#REF!,"AAAAABv/vZY=")</f>
        <v>#REF!</v>
      </c>
      <c r="EV85" t="e">
        <f>AND(Liste!#REF!,"AAAAABv/vZc=")</f>
        <v>#REF!</v>
      </c>
      <c r="EW85" t="e">
        <f>AND(Liste!#REF!,"AAAAABv/vZg=")</f>
        <v>#REF!</v>
      </c>
      <c r="EX85" t="e">
        <f>AND(Liste!#REF!,"AAAAABv/vZk=")</f>
        <v>#REF!</v>
      </c>
      <c r="EY85" t="e">
        <f>AND(Liste!#REF!,"AAAAABv/vZo=")</f>
        <v>#REF!</v>
      </c>
      <c r="EZ85" t="e">
        <f>AND(Liste!#REF!,"AAAAABv/vZs=")</f>
        <v>#REF!</v>
      </c>
      <c r="FA85" t="e">
        <f>AND(Liste!#REF!,"AAAAABv/vZw=")</f>
        <v>#REF!</v>
      </c>
      <c r="FB85" t="e">
        <f>AND(Liste!#REF!,"AAAAABv/vZ0=")</f>
        <v>#REF!</v>
      </c>
      <c r="FC85" t="e">
        <f>AND(Liste!#REF!,"AAAAABv/vZ4=")</f>
        <v>#REF!</v>
      </c>
      <c r="FD85" t="e">
        <f>AND(Liste!#REF!,"AAAAABv/vZ8=")</f>
        <v>#REF!</v>
      </c>
      <c r="FE85" t="e">
        <f>AND(Liste!#REF!,"AAAAABv/vaA=")</f>
        <v>#REF!</v>
      </c>
      <c r="FF85" t="e">
        <f>AND(Liste!#REF!,"AAAAABv/vaE=")</f>
        <v>#REF!</v>
      </c>
      <c r="FG85" t="e">
        <f>AND(Liste!#REF!,"AAAAABv/vaI=")</f>
        <v>#REF!</v>
      </c>
      <c r="FH85" t="e">
        <f>AND(Liste!#REF!,"AAAAABv/vaM=")</f>
        <v>#REF!</v>
      </c>
      <c r="FI85" t="e">
        <f>AND(Liste!#REF!,"AAAAABv/vaQ=")</f>
        <v>#REF!</v>
      </c>
      <c r="FJ85" t="e">
        <f>IF(Liste!#REF!,"AAAAABv/vaU=",0)</f>
        <v>#REF!</v>
      </c>
      <c r="FK85" t="e">
        <f>AND(Liste!#REF!,"AAAAABv/vaY=")</f>
        <v>#REF!</v>
      </c>
      <c r="FL85" t="e">
        <f>AND(Liste!#REF!,"AAAAABv/vac=")</f>
        <v>#REF!</v>
      </c>
      <c r="FM85" t="e">
        <f>AND(Liste!#REF!,"AAAAABv/vag=")</f>
        <v>#REF!</v>
      </c>
      <c r="FN85" t="e">
        <f>AND(Liste!#REF!,"AAAAABv/vak=")</f>
        <v>#REF!</v>
      </c>
      <c r="FO85" t="e">
        <f>AND(Liste!#REF!,"AAAAABv/vao=")</f>
        <v>#REF!</v>
      </c>
      <c r="FP85" t="e">
        <f>AND(Liste!#REF!,"AAAAABv/vas=")</f>
        <v>#REF!</v>
      </c>
      <c r="FQ85" t="e">
        <f>AND(Liste!#REF!,"AAAAABv/vaw=")</f>
        <v>#REF!</v>
      </c>
      <c r="FR85" t="e">
        <f>AND(Liste!#REF!,"AAAAABv/va0=")</f>
        <v>#REF!</v>
      </c>
      <c r="FS85" t="e">
        <f>AND(Liste!#REF!,"AAAAABv/va4=")</f>
        <v>#REF!</v>
      </c>
      <c r="FT85" t="e">
        <f>AND(Liste!#REF!,"AAAAABv/va8=")</f>
        <v>#REF!</v>
      </c>
      <c r="FU85" t="e">
        <f>AND(Liste!#REF!,"AAAAABv/vbA=")</f>
        <v>#REF!</v>
      </c>
      <c r="FV85" t="e">
        <f>AND(Liste!#REF!,"AAAAABv/vbE=")</f>
        <v>#REF!</v>
      </c>
      <c r="FW85" t="e">
        <f>AND(Liste!#REF!,"AAAAABv/vbI=")</f>
        <v>#REF!</v>
      </c>
      <c r="FX85" t="e">
        <f>AND(Liste!#REF!,"AAAAABv/vbM=")</f>
        <v>#REF!</v>
      </c>
      <c r="FY85" t="e">
        <f>AND(Liste!#REF!,"AAAAABv/vbQ=")</f>
        <v>#REF!</v>
      </c>
      <c r="FZ85" t="e">
        <f>AND(Liste!#REF!,"AAAAABv/vbU=")</f>
        <v>#REF!</v>
      </c>
      <c r="GA85" t="e">
        <f>AND(Liste!#REF!,"AAAAABv/vbY=")</f>
        <v>#REF!</v>
      </c>
      <c r="GB85" t="e">
        <f>AND(Liste!#REF!,"AAAAABv/vbc=")</f>
        <v>#REF!</v>
      </c>
      <c r="GC85" t="e">
        <f>AND(Liste!#REF!,"AAAAABv/vbg=")</f>
        <v>#REF!</v>
      </c>
      <c r="GD85" t="e">
        <f>AND(Liste!#REF!,"AAAAABv/vbk=")</f>
        <v>#REF!</v>
      </c>
      <c r="GE85" t="e">
        <f>AND(Liste!#REF!,"AAAAABv/vbo=")</f>
        <v>#REF!</v>
      </c>
      <c r="GF85" t="e">
        <f>AND(Liste!#REF!,"AAAAABv/vbs=")</f>
        <v>#REF!</v>
      </c>
      <c r="GG85" t="e">
        <f>AND(Liste!#REF!,"AAAAABv/vbw=")</f>
        <v>#REF!</v>
      </c>
      <c r="GH85" t="e">
        <f>AND(Liste!#REF!,"AAAAABv/vb0=")</f>
        <v>#REF!</v>
      </c>
      <c r="GI85" t="e">
        <f>AND(Liste!#REF!,"AAAAABv/vb4=")</f>
        <v>#REF!</v>
      </c>
      <c r="GJ85" t="e">
        <f>AND(Liste!#REF!,"AAAAABv/vb8=")</f>
        <v>#REF!</v>
      </c>
      <c r="GK85" t="e">
        <f>AND(Liste!#REF!,"AAAAABv/vcA=")</f>
        <v>#REF!</v>
      </c>
      <c r="GL85" t="e">
        <f>AND(Liste!#REF!,"AAAAABv/vcE=")</f>
        <v>#REF!</v>
      </c>
      <c r="GM85" t="e">
        <f>AND(Liste!#REF!,"AAAAABv/vcI=")</f>
        <v>#REF!</v>
      </c>
      <c r="GN85" t="e">
        <f>AND(Liste!#REF!,"AAAAABv/vcM=")</f>
        <v>#REF!</v>
      </c>
      <c r="GO85" t="e">
        <f>IF(Liste!#REF!,"AAAAABv/vcQ=",0)</f>
        <v>#REF!</v>
      </c>
      <c r="GP85" t="e">
        <f>AND(Liste!#REF!,"AAAAABv/vcU=")</f>
        <v>#REF!</v>
      </c>
      <c r="GQ85" t="e">
        <f>AND(Liste!#REF!,"AAAAABv/vcY=")</f>
        <v>#REF!</v>
      </c>
      <c r="GR85" t="e">
        <f>AND(Liste!#REF!,"AAAAABv/vcc=")</f>
        <v>#REF!</v>
      </c>
      <c r="GS85" t="e">
        <f>AND(Liste!#REF!,"AAAAABv/vcg=")</f>
        <v>#REF!</v>
      </c>
      <c r="GT85" t="e">
        <f>AND(Liste!#REF!,"AAAAABv/vck=")</f>
        <v>#REF!</v>
      </c>
      <c r="GU85" t="e">
        <f>AND(Liste!#REF!,"AAAAABv/vco=")</f>
        <v>#REF!</v>
      </c>
      <c r="GV85" t="e">
        <f>AND(Liste!#REF!,"AAAAABv/vcs=")</f>
        <v>#REF!</v>
      </c>
      <c r="GW85" t="e">
        <f>AND(Liste!#REF!,"AAAAABv/vcw=")</f>
        <v>#REF!</v>
      </c>
      <c r="GX85" t="e">
        <f>AND(Liste!#REF!,"AAAAABv/vc0=")</f>
        <v>#REF!</v>
      </c>
      <c r="GY85" t="e">
        <f>AND(Liste!#REF!,"AAAAABv/vc4=")</f>
        <v>#REF!</v>
      </c>
      <c r="GZ85" t="e">
        <f>AND(Liste!#REF!,"AAAAABv/vc8=")</f>
        <v>#REF!</v>
      </c>
      <c r="HA85" t="e">
        <f>AND(Liste!#REF!,"AAAAABv/vdA=")</f>
        <v>#REF!</v>
      </c>
      <c r="HB85" t="e">
        <f>AND(Liste!#REF!,"AAAAABv/vdE=")</f>
        <v>#REF!</v>
      </c>
      <c r="HC85" t="e">
        <f>AND(Liste!#REF!,"AAAAABv/vdI=")</f>
        <v>#REF!</v>
      </c>
      <c r="HD85" t="e">
        <f>AND(Liste!#REF!,"AAAAABv/vdM=")</f>
        <v>#REF!</v>
      </c>
      <c r="HE85" t="e">
        <f>AND(Liste!#REF!,"AAAAABv/vdQ=")</f>
        <v>#REF!</v>
      </c>
      <c r="HF85" t="e">
        <f>AND(Liste!#REF!,"AAAAABv/vdU=")</f>
        <v>#REF!</v>
      </c>
      <c r="HG85" t="e">
        <f>AND(Liste!#REF!,"AAAAABv/vdY=")</f>
        <v>#REF!</v>
      </c>
      <c r="HH85" t="e">
        <f>AND(Liste!#REF!,"AAAAABv/vdc=")</f>
        <v>#REF!</v>
      </c>
      <c r="HI85" t="e">
        <f>AND(Liste!#REF!,"AAAAABv/vdg=")</f>
        <v>#REF!</v>
      </c>
      <c r="HJ85" t="e">
        <f>AND(Liste!#REF!,"AAAAABv/vdk=")</f>
        <v>#REF!</v>
      </c>
      <c r="HK85" t="e">
        <f>AND(Liste!#REF!,"AAAAABv/vdo=")</f>
        <v>#REF!</v>
      </c>
      <c r="HL85" t="e">
        <f>AND(Liste!#REF!,"AAAAABv/vds=")</f>
        <v>#REF!</v>
      </c>
      <c r="HM85" t="e">
        <f>AND(Liste!#REF!,"AAAAABv/vdw=")</f>
        <v>#REF!</v>
      </c>
      <c r="HN85" t="e">
        <f>AND(Liste!#REF!,"AAAAABv/vd0=")</f>
        <v>#REF!</v>
      </c>
      <c r="HO85" t="e">
        <f>AND(Liste!#REF!,"AAAAABv/vd4=")</f>
        <v>#REF!</v>
      </c>
      <c r="HP85" t="e">
        <f>AND(Liste!#REF!,"AAAAABv/vd8=")</f>
        <v>#REF!</v>
      </c>
      <c r="HQ85" t="e">
        <f>AND(Liste!#REF!,"AAAAABv/veA=")</f>
        <v>#REF!</v>
      </c>
      <c r="HR85" t="e">
        <f>AND(Liste!#REF!,"AAAAABv/veE=")</f>
        <v>#REF!</v>
      </c>
      <c r="HS85" t="e">
        <f>AND(Liste!#REF!,"AAAAABv/veI=")</f>
        <v>#REF!</v>
      </c>
      <c r="HT85" t="e">
        <f>IF(Liste!#REF!,"AAAAABv/veM=",0)</f>
        <v>#REF!</v>
      </c>
      <c r="HU85" t="e">
        <f>AND(Liste!#REF!,"AAAAABv/veQ=")</f>
        <v>#REF!</v>
      </c>
      <c r="HV85" t="e">
        <f>AND(Liste!#REF!,"AAAAABv/veU=")</f>
        <v>#REF!</v>
      </c>
      <c r="HW85" t="e">
        <f>AND(Liste!#REF!,"AAAAABv/veY=")</f>
        <v>#REF!</v>
      </c>
      <c r="HX85" t="e">
        <f>AND(Liste!#REF!,"AAAAABv/vec=")</f>
        <v>#REF!</v>
      </c>
      <c r="HY85" t="e">
        <f>AND(Liste!#REF!,"AAAAABv/veg=")</f>
        <v>#REF!</v>
      </c>
      <c r="HZ85" t="e">
        <f>AND(Liste!#REF!,"AAAAABv/vek=")</f>
        <v>#REF!</v>
      </c>
      <c r="IA85" t="e">
        <f>AND(Liste!#REF!,"AAAAABv/veo=")</f>
        <v>#REF!</v>
      </c>
      <c r="IB85" t="e">
        <f>AND(Liste!#REF!,"AAAAABv/ves=")</f>
        <v>#REF!</v>
      </c>
      <c r="IC85" t="e">
        <f>AND(Liste!#REF!,"AAAAABv/vew=")</f>
        <v>#REF!</v>
      </c>
      <c r="ID85" t="e">
        <f>AND(Liste!#REF!,"AAAAABv/ve0=")</f>
        <v>#REF!</v>
      </c>
      <c r="IE85" t="e">
        <f>AND(Liste!#REF!,"AAAAABv/ve4=")</f>
        <v>#REF!</v>
      </c>
      <c r="IF85" t="e">
        <f>AND(Liste!#REF!,"AAAAABv/ve8=")</f>
        <v>#REF!</v>
      </c>
      <c r="IG85" t="e">
        <f>AND(Liste!#REF!,"AAAAABv/vfA=")</f>
        <v>#REF!</v>
      </c>
      <c r="IH85" t="e">
        <f>AND(Liste!#REF!,"AAAAABv/vfE=")</f>
        <v>#REF!</v>
      </c>
      <c r="II85" t="e">
        <f>AND(Liste!#REF!,"AAAAABv/vfI=")</f>
        <v>#REF!</v>
      </c>
      <c r="IJ85" t="e">
        <f>AND(Liste!#REF!,"AAAAABv/vfM=")</f>
        <v>#REF!</v>
      </c>
      <c r="IK85" t="e">
        <f>AND(Liste!#REF!,"AAAAABv/vfQ=")</f>
        <v>#REF!</v>
      </c>
      <c r="IL85" t="e">
        <f>AND(Liste!#REF!,"AAAAABv/vfU=")</f>
        <v>#REF!</v>
      </c>
      <c r="IM85" t="e">
        <f>AND(Liste!#REF!,"AAAAABv/vfY=")</f>
        <v>#REF!</v>
      </c>
      <c r="IN85" t="e">
        <f>AND(Liste!#REF!,"AAAAABv/vfc=")</f>
        <v>#REF!</v>
      </c>
      <c r="IO85" t="e">
        <f>AND(Liste!#REF!,"AAAAABv/vfg=")</f>
        <v>#REF!</v>
      </c>
      <c r="IP85" t="e">
        <f>AND(Liste!#REF!,"AAAAABv/vfk=")</f>
        <v>#REF!</v>
      </c>
      <c r="IQ85" t="e">
        <f>AND(Liste!#REF!,"AAAAABv/vfo=")</f>
        <v>#REF!</v>
      </c>
      <c r="IR85" t="e">
        <f>AND(Liste!#REF!,"AAAAABv/vfs=")</f>
        <v>#REF!</v>
      </c>
      <c r="IS85" t="e">
        <f>AND(Liste!#REF!,"AAAAABv/vfw=")</f>
        <v>#REF!</v>
      </c>
      <c r="IT85" t="e">
        <f>AND(Liste!#REF!,"AAAAABv/vf0=")</f>
        <v>#REF!</v>
      </c>
      <c r="IU85" t="e">
        <f>AND(Liste!#REF!,"AAAAABv/vf4=")</f>
        <v>#REF!</v>
      </c>
      <c r="IV85" t="e">
        <f>AND(Liste!#REF!,"AAAAABv/vf8=")</f>
        <v>#REF!</v>
      </c>
    </row>
    <row r="86" spans="1:256" x14ac:dyDescent="0.2">
      <c r="A86" t="e">
        <f>AND(Liste!#REF!,"AAAAAFZO4gA=")</f>
        <v>#REF!</v>
      </c>
      <c r="B86" t="e">
        <f>AND(Liste!#REF!,"AAAAAFZO4gE=")</f>
        <v>#REF!</v>
      </c>
      <c r="C86" t="e">
        <f>IF(Liste!#REF!,"AAAAAFZO4gI=",0)</f>
        <v>#REF!</v>
      </c>
      <c r="D86" t="e">
        <f>AND(Liste!#REF!,"AAAAAFZO4gM=")</f>
        <v>#REF!</v>
      </c>
      <c r="E86" t="e">
        <f>AND(Liste!#REF!,"AAAAAFZO4gQ=")</f>
        <v>#REF!</v>
      </c>
      <c r="F86" t="e">
        <f>AND(Liste!#REF!,"AAAAAFZO4gU=")</f>
        <v>#REF!</v>
      </c>
      <c r="G86" t="e">
        <f>AND(Liste!#REF!,"AAAAAFZO4gY=")</f>
        <v>#REF!</v>
      </c>
      <c r="H86" t="e">
        <f>AND(Liste!#REF!,"AAAAAFZO4gc=")</f>
        <v>#REF!</v>
      </c>
      <c r="I86" t="e">
        <f>AND(Liste!#REF!,"AAAAAFZO4gg=")</f>
        <v>#REF!</v>
      </c>
      <c r="J86" t="e">
        <f>AND(Liste!#REF!,"AAAAAFZO4gk=")</f>
        <v>#REF!</v>
      </c>
      <c r="K86" t="e">
        <f>AND(Liste!#REF!,"AAAAAFZO4go=")</f>
        <v>#REF!</v>
      </c>
      <c r="L86" t="e">
        <f>AND(Liste!#REF!,"AAAAAFZO4gs=")</f>
        <v>#REF!</v>
      </c>
      <c r="M86" t="e">
        <f>AND(Liste!#REF!,"AAAAAFZO4gw=")</f>
        <v>#REF!</v>
      </c>
      <c r="N86" t="e">
        <f>AND(Liste!#REF!,"AAAAAFZO4g0=")</f>
        <v>#REF!</v>
      </c>
      <c r="O86" t="e">
        <f>AND(Liste!#REF!,"AAAAAFZO4g4=")</f>
        <v>#REF!</v>
      </c>
      <c r="P86" t="e">
        <f>AND(Liste!#REF!,"AAAAAFZO4g8=")</f>
        <v>#REF!</v>
      </c>
      <c r="Q86" t="e">
        <f>AND(Liste!#REF!,"AAAAAFZO4hA=")</f>
        <v>#REF!</v>
      </c>
      <c r="R86" t="e">
        <f>AND(Liste!#REF!,"AAAAAFZO4hE=")</f>
        <v>#REF!</v>
      </c>
      <c r="S86" t="e">
        <f>AND(Liste!#REF!,"AAAAAFZO4hI=")</f>
        <v>#REF!</v>
      </c>
      <c r="T86" t="e">
        <f>AND(Liste!#REF!,"AAAAAFZO4hM=")</f>
        <v>#REF!</v>
      </c>
      <c r="U86" t="e">
        <f>AND(Liste!#REF!,"AAAAAFZO4hQ=")</f>
        <v>#REF!</v>
      </c>
      <c r="V86" t="e">
        <f>AND(Liste!#REF!,"AAAAAFZO4hU=")</f>
        <v>#REF!</v>
      </c>
      <c r="W86" t="e">
        <f>AND(Liste!#REF!,"AAAAAFZO4hY=")</f>
        <v>#REF!</v>
      </c>
      <c r="X86" t="e">
        <f>AND(Liste!#REF!,"AAAAAFZO4hc=")</f>
        <v>#REF!</v>
      </c>
      <c r="Y86" t="e">
        <f>AND(Liste!#REF!,"AAAAAFZO4hg=")</f>
        <v>#REF!</v>
      </c>
      <c r="Z86" t="e">
        <f>AND(Liste!#REF!,"AAAAAFZO4hk=")</f>
        <v>#REF!</v>
      </c>
      <c r="AA86" t="e">
        <f>AND(Liste!#REF!,"AAAAAFZO4ho=")</f>
        <v>#REF!</v>
      </c>
      <c r="AB86" t="e">
        <f>AND(Liste!#REF!,"AAAAAFZO4hs=")</f>
        <v>#REF!</v>
      </c>
      <c r="AC86" t="e">
        <f>AND(Liste!#REF!,"AAAAAFZO4hw=")</f>
        <v>#REF!</v>
      </c>
      <c r="AD86" t="e">
        <f>AND(Liste!#REF!,"AAAAAFZO4h0=")</f>
        <v>#REF!</v>
      </c>
      <c r="AE86" t="e">
        <f>AND(Liste!#REF!,"AAAAAFZO4h4=")</f>
        <v>#REF!</v>
      </c>
      <c r="AF86" t="e">
        <f>AND(Liste!#REF!,"AAAAAFZO4h8=")</f>
        <v>#REF!</v>
      </c>
      <c r="AG86" t="e">
        <f>AND(Liste!#REF!,"AAAAAFZO4iA=")</f>
        <v>#REF!</v>
      </c>
      <c r="AH86" t="e">
        <f>IF(Liste!#REF!,"AAAAAFZO4iE=",0)</f>
        <v>#REF!</v>
      </c>
      <c r="AI86" t="e">
        <f>AND(Liste!#REF!,"AAAAAFZO4iI=")</f>
        <v>#REF!</v>
      </c>
      <c r="AJ86" t="e">
        <f>AND(Liste!#REF!,"AAAAAFZO4iM=")</f>
        <v>#REF!</v>
      </c>
      <c r="AK86" t="e">
        <f>AND(Liste!#REF!,"AAAAAFZO4iQ=")</f>
        <v>#REF!</v>
      </c>
      <c r="AL86" t="e">
        <f>AND(Liste!#REF!,"AAAAAFZO4iU=")</f>
        <v>#REF!</v>
      </c>
      <c r="AM86" t="e">
        <f>AND(Liste!#REF!,"AAAAAFZO4iY=")</f>
        <v>#REF!</v>
      </c>
      <c r="AN86" t="e">
        <f>AND(Liste!#REF!,"AAAAAFZO4ic=")</f>
        <v>#REF!</v>
      </c>
      <c r="AO86" t="e">
        <f>AND(Liste!#REF!,"AAAAAFZO4ig=")</f>
        <v>#REF!</v>
      </c>
      <c r="AP86" t="e">
        <f>AND(Liste!#REF!,"AAAAAFZO4ik=")</f>
        <v>#REF!</v>
      </c>
      <c r="AQ86" t="e">
        <f>AND(Liste!#REF!,"AAAAAFZO4io=")</f>
        <v>#REF!</v>
      </c>
      <c r="AR86" t="e">
        <f>AND(Liste!#REF!,"AAAAAFZO4is=")</f>
        <v>#REF!</v>
      </c>
      <c r="AS86" t="e">
        <f>AND(Liste!#REF!,"AAAAAFZO4iw=")</f>
        <v>#REF!</v>
      </c>
      <c r="AT86" t="e">
        <f>AND(Liste!#REF!,"AAAAAFZO4i0=")</f>
        <v>#REF!</v>
      </c>
      <c r="AU86" t="e">
        <f>AND(Liste!#REF!,"AAAAAFZO4i4=")</f>
        <v>#REF!</v>
      </c>
      <c r="AV86" t="e">
        <f>AND(Liste!#REF!,"AAAAAFZO4i8=")</f>
        <v>#REF!</v>
      </c>
      <c r="AW86" t="e">
        <f>AND(Liste!#REF!,"AAAAAFZO4jA=")</f>
        <v>#REF!</v>
      </c>
      <c r="AX86" t="e">
        <f>AND(Liste!#REF!,"AAAAAFZO4jE=")</f>
        <v>#REF!</v>
      </c>
      <c r="AY86" t="e">
        <f>AND(Liste!#REF!,"AAAAAFZO4jI=")</f>
        <v>#REF!</v>
      </c>
      <c r="AZ86" t="e">
        <f>AND(Liste!#REF!,"AAAAAFZO4jM=")</f>
        <v>#REF!</v>
      </c>
      <c r="BA86" t="e">
        <f>AND(Liste!#REF!,"AAAAAFZO4jQ=")</f>
        <v>#REF!</v>
      </c>
      <c r="BB86" t="e">
        <f>AND(Liste!#REF!,"AAAAAFZO4jU=")</f>
        <v>#REF!</v>
      </c>
      <c r="BC86" t="e">
        <f>AND(Liste!#REF!,"AAAAAFZO4jY=")</f>
        <v>#REF!</v>
      </c>
      <c r="BD86" t="e">
        <f>AND(Liste!#REF!,"AAAAAFZO4jc=")</f>
        <v>#REF!</v>
      </c>
      <c r="BE86" t="e">
        <f>AND(Liste!#REF!,"AAAAAFZO4jg=")</f>
        <v>#REF!</v>
      </c>
      <c r="BF86" t="e">
        <f>AND(Liste!#REF!,"AAAAAFZO4jk=")</f>
        <v>#REF!</v>
      </c>
      <c r="BG86" t="e">
        <f>AND(Liste!#REF!,"AAAAAFZO4jo=")</f>
        <v>#REF!</v>
      </c>
      <c r="BH86" t="e">
        <f>AND(Liste!#REF!,"AAAAAFZO4js=")</f>
        <v>#REF!</v>
      </c>
      <c r="BI86" t="e">
        <f>AND(Liste!#REF!,"AAAAAFZO4jw=")</f>
        <v>#REF!</v>
      </c>
      <c r="BJ86" t="e">
        <f>AND(Liste!#REF!,"AAAAAFZO4j0=")</f>
        <v>#REF!</v>
      </c>
      <c r="BK86" t="e">
        <f>AND(Liste!#REF!,"AAAAAFZO4j4=")</f>
        <v>#REF!</v>
      </c>
      <c r="BL86" t="e">
        <f>AND(Liste!#REF!,"AAAAAFZO4j8=")</f>
        <v>#REF!</v>
      </c>
      <c r="BM86" t="e">
        <f>IF(Liste!#REF!,"AAAAAFZO4kA=",0)</f>
        <v>#REF!</v>
      </c>
      <c r="BN86" t="e">
        <f>AND(Liste!#REF!,"AAAAAFZO4kE=")</f>
        <v>#REF!</v>
      </c>
      <c r="BO86" t="e">
        <f>AND(Liste!#REF!,"AAAAAFZO4kI=")</f>
        <v>#REF!</v>
      </c>
      <c r="BP86" t="e">
        <f>AND(Liste!#REF!,"AAAAAFZO4kM=")</f>
        <v>#REF!</v>
      </c>
      <c r="BQ86" t="e">
        <f>AND(Liste!#REF!,"AAAAAFZO4kQ=")</f>
        <v>#REF!</v>
      </c>
      <c r="BR86" t="e">
        <f>AND(Liste!#REF!,"AAAAAFZO4kU=")</f>
        <v>#REF!</v>
      </c>
      <c r="BS86" t="e">
        <f>AND(Liste!#REF!,"AAAAAFZO4kY=")</f>
        <v>#REF!</v>
      </c>
      <c r="BT86" t="e">
        <f>AND(Liste!#REF!,"AAAAAFZO4kc=")</f>
        <v>#REF!</v>
      </c>
      <c r="BU86" t="e">
        <f>AND(Liste!#REF!,"AAAAAFZO4kg=")</f>
        <v>#REF!</v>
      </c>
      <c r="BV86" t="e">
        <f>AND(Liste!#REF!,"AAAAAFZO4kk=")</f>
        <v>#REF!</v>
      </c>
      <c r="BW86" t="e">
        <f>AND(Liste!#REF!,"AAAAAFZO4ko=")</f>
        <v>#REF!</v>
      </c>
      <c r="BX86" t="e">
        <f>AND(Liste!#REF!,"AAAAAFZO4ks=")</f>
        <v>#REF!</v>
      </c>
      <c r="BY86" t="e">
        <f>AND(Liste!#REF!,"AAAAAFZO4kw=")</f>
        <v>#REF!</v>
      </c>
      <c r="BZ86" t="e">
        <f>AND(Liste!#REF!,"AAAAAFZO4k0=")</f>
        <v>#REF!</v>
      </c>
      <c r="CA86" t="e">
        <f>AND(Liste!#REF!,"AAAAAFZO4k4=")</f>
        <v>#REF!</v>
      </c>
      <c r="CB86" t="e">
        <f>AND(Liste!#REF!,"AAAAAFZO4k8=")</f>
        <v>#REF!</v>
      </c>
      <c r="CC86" t="e">
        <f>AND(Liste!#REF!,"AAAAAFZO4lA=")</f>
        <v>#REF!</v>
      </c>
      <c r="CD86" t="e">
        <f>AND(Liste!#REF!,"AAAAAFZO4lE=")</f>
        <v>#REF!</v>
      </c>
      <c r="CE86" t="e">
        <f>AND(Liste!#REF!,"AAAAAFZO4lI=")</f>
        <v>#REF!</v>
      </c>
      <c r="CF86" t="e">
        <f>AND(Liste!#REF!,"AAAAAFZO4lM=")</f>
        <v>#REF!</v>
      </c>
      <c r="CG86" t="e">
        <f>AND(Liste!#REF!,"AAAAAFZO4lQ=")</f>
        <v>#REF!</v>
      </c>
      <c r="CH86" t="e">
        <f>AND(Liste!#REF!,"AAAAAFZO4lU=")</f>
        <v>#REF!</v>
      </c>
      <c r="CI86" t="e">
        <f>AND(Liste!#REF!,"AAAAAFZO4lY=")</f>
        <v>#REF!</v>
      </c>
      <c r="CJ86" t="e">
        <f>AND(Liste!#REF!,"AAAAAFZO4lc=")</f>
        <v>#REF!</v>
      </c>
      <c r="CK86" t="e">
        <f>AND(Liste!#REF!,"AAAAAFZO4lg=")</f>
        <v>#REF!</v>
      </c>
      <c r="CL86" t="e">
        <f>AND(Liste!#REF!,"AAAAAFZO4lk=")</f>
        <v>#REF!</v>
      </c>
      <c r="CM86" t="e">
        <f>AND(Liste!#REF!,"AAAAAFZO4lo=")</f>
        <v>#REF!</v>
      </c>
      <c r="CN86" t="e">
        <f>AND(Liste!#REF!,"AAAAAFZO4ls=")</f>
        <v>#REF!</v>
      </c>
      <c r="CO86" t="e">
        <f>AND(Liste!#REF!,"AAAAAFZO4lw=")</f>
        <v>#REF!</v>
      </c>
      <c r="CP86" t="e">
        <f>AND(Liste!#REF!,"AAAAAFZO4l0=")</f>
        <v>#REF!</v>
      </c>
      <c r="CQ86" t="e">
        <f>AND(Liste!#REF!,"AAAAAFZO4l4=")</f>
        <v>#REF!</v>
      </c>
      <c r="CR86" t="e">
        <f>IF(Liste!#REF!,"AAAAAFZO4l8=",0)</f>
        <v>#REF!</v>
      </c>
      <c r="CS86" t="e">
        <f>AND(Liste!#REF!,"AAAAAFZO4mA=")</f>
        <v>#REF!</v>
      </c>
      <c r="CT86" t="e">
        <f>AND(Liste!#REF!,"AAAAAFZO4mE=")</f>
        <v>#REF!</v>
      </c>
      <c r="CU86" t="e">
        <f>AND(Liste!#REF!,"AAAAAFZO4mI=")</f>
        <v>#REF!</v>
      </c>
      <c r="CV86" t="e">
        <f>AND(Liste!#REF!,"AAAAAFZO4mM=")</f>
        <v>#REF!</v>
      </c>
      <c r="CW86" t="e">
        <f>AND(Liste!#REF!,"AAAAAFZO4mQ=")</f>
        <v>#REF!</v>
      </c>
      <c r="CX86" t="e">
        <f>AND(Liste!#REF!,"AAAAAFZO4mU=")</f>
        <v>#REF!</v>
      </c>
      <c r="CY86" t="e">
        <f>AND(Liste!#REF!,"AAAAAFZO4mY=")</f>
        <v>#REF!</v>
      </c>
      <c r="CZ86" t="e">
        <f>AND(Liste!#REF!,"AAAAAFZO4mc=")</f>
        <v>#REF!</v>
      </c>
      <c r="DA86" t="e">
        <f>AND(Liste!#REF!,"AAAAAFZO4mg=")</f>
        <v>#REF!</v>
      </c>
      <c r="DB86" t="e">
        <f>AND(Liste!#REF!,"AAAAAFZO4mk=")</f>
        <v>#REF!</v>
      </c>
      <c r="DC86" t="e">
        <f>AND(Liste!#REF!,"AAAAAFZO4mo=")</f>
        <v>#REF!</v>
      </c>
      <c r="DD86" t="e">
        <f>AND(Liste!#REF!,"AAAAAFZO4ms=")</f>
        <v>#REF!</v>
      </c>
      <c r="DE86" t="e">
        <f>AND(Liste!#REF!,"AAAAAFZO4mw=")</f>
        <v>#REF!</v>
      </c>
      <c r="DF86" t="e">
        <f>AND(Liste!#REF!,"AAAAAFZO4m0=")</f>
        <v>#REF!</v>
      </c>
      <c r="DG86" t="e">
        <f>AND(Liste!#REF!,"AAAAAFZO4m4=")</f>
        <v>#REF!</v>
      </c>
      <c r="DH86" t="e">
        <f>AND(Liste!#REF!,"AAAAAFZO4m8=")</f>
        <v>#REF!</v>
      </c>
      <c r="DI86" t="e">
        <f>AND(Liste!#REF!,"AAAAAFZO4nA=")</f>
        <v>#REF!</v>
      </c>
      <c r="DJ86" t="e">
        <f>AND(Liste!#REF!,"AAAAAFZO4nE=")</f>
        <v>#REF!</v>
      </c>
      <c r="DK86" t="e">
        <f>AND(Liste!#REF!,"AAAAAFZO4nI=")</f>
        <v>#REF!</v>
      </c>
      <c r="DL86" t="e">
        <f>AND(Liste!#REF!,"AAAAAFZO4nM=")</f>
        <v>#REF!</v>
      </c>
      <c r="DM86" t="e">
        <f>AND(Liste!#REF!,"AAAAAFZO4nQ=")</f>
        <v>#REF!</v>
      </c>
      <c r="DN86" t="e">
        <f>AND(Liste!#REF!,"AAAAAFZO4nU=")</f>
        <v>#REF!</v>
      </c>
      <c r="DO86" t="e">
        <f>AND(Liste!#REF!,"AAAAAFZO4nY=")</f>
        <v>#REF!</v>
      </c>
      <c r="DP86" t="e">
        <f>AND(Liste!#REF!,"AAAAAFZO4nc=")</f>
        <v>#REF!</v>
      </c>
      <c r="DQ86" t="e">
        <f>AND(Liste!#REF!,"AAAAAFZO4ng=")</f>
        <v>#REF!</v>
      </c>
      <c r="DR86" t="e">
        <f>AND(Liste!#REF!,"AAAAAFZO4nk=")</f>
        <v>#REF!</v>
      </c>
      <c r="DS86" t="e">
        <f>AND(Liste!#REF!,"AAAAAFZO4no=")</f>
        <v>#REF!</v>
      </c>
      <c r="DT86" t="e">
        <f>AND(Liste!#REF!,"AAAAAFZO4ns=")</f>
        <v>#REF!</v>
      </c>
      <c r="DU86" t="e">
        <f>AND(Liste!#REF!,"AAAAAFZO4nw=")</f>
        <v>#REF!</v>
      </c>
      <c r="DV86" t="e">
        <f>AND(Liste!#REF!,"AAAAAFZO4n0=")</f>
        <v>#REF!</v>
      </c>
      <c r="DW86" t="e">
        <f>IF(Liste!#REF!,"AAAAAFZO4n4=",0)</f>
        <v>#REF!</v>
      </c>
      <c r="DX86" t="e">
        <f>AND(Liste!#REF!,"AAAAAFZO4n8=")</f>
        <v>#REF!</v>
      </c>
      <c r="DY86" t="e">
        <f>AND(Liste!#REF!,"AAAAAFZO4oA=")</f>
        <v>#REF!</v>
      </c>
      <c r="DZ86" t="e">
        <f>AND(Liste!#REF!,"AAAAAFZO4oE=")</f>
        <v>#REF!</v>
      </c>
      <c r="EA86" t="e">
        <f>AND(Liste!#REF!,"AAAAAFZO4oI=")</f>
        <v>#REF!</v>
      </c>
      <c r="EB86" t="e">
        <f>AND(Liste!#REF!,"AAAAAFZO4oM=")</f>
        <v>#REF!</v>
      </c>
      <c r="EC86" t="e">
        <f>AND(Liste!#REF!,"AAAAAFZO4oQ=")</f>
        <v>#REF!</v>
      </c>
      <c r="ED86" t="e">
        <f>AND(Liste!#REF!,"AAAAAFZO4oU=")</f>
        <v>#REF!</v>
      </c>
      <c r="EE86" t="e">
        <f>AND(Liste!#REF!,"AAAAAFZO4oY=")</f>
        <v>#REF!</v>
      </c>
      <c r="EF86" t="e">
        <f>AND(Liste!#REF!,"AAAAAFZO4oc=")</f>
        <v>#REF!</v>
      </c>
      <c r="EG86" t="e">
        <f>AND(Liste!#REF!,"AAAAAFZO4og=")</f>
        <v>#REF!</v>
      </c>
      <c r="EH86" t="e">
        <f>AND(Liste!#REF!,"AAAAAFZO4ok=")</f>
        <v>#REF!</v>
      </c>
      <c r="EI86" t="e">
        <f>AND(Liste!#REF!,"AAAAAFZO4oo=")</f>
        <v>#REF!</v>
      </c>
      <c r="EJ86" t="e">
        <f>AND(Liste!#REF!,"AAAAAFZO4os=")</f>
        <v>#REF!</v>
      </c>
      <c r="EK86" t="e">
        <f>AND(Liste!#REF!,"AAAAAFZO4ow=")</f>
        <v>#REF!</v>
      </c>
      <c r="EL86" t="e">
        <f>AND(Liste!#REF!,"AAAAAFZO4o0=")</f>
        <v>#REF!</v>
      </c>
      <c r="EM86" t="e">
        <f>AND(Liste!#REF!,"AAAAAFZO4o4=")</f>
        <v>#REF!</v>
      </c>
      <c r="EN86" t="e">
        <f>AND(Liste!#REF!,"AAAAAFZO4o8=")</f>
        <v>#REF!</v>
      </c>
      <c r="EO86" t="e">
        <f>AND(Liste!#REF!,"AAAAAFZO4pA=")</f>
        <v>#REF!</v>
      </c>
      <c r="EP86" t="e">
        <f>AND(Liste!#REF!,"AAAAAFZO4pE=")</f>
        <v>#REF!</v>
      </c>
      <c r="EQ86" t="e">
        <f>AND(Liste!#REF!,"AAAAAFZO4pI=")</f>
        <v>#REF!</v>
      </c>
      <c r="ER86" t="e">
        <f>AND(Liste!#REF!,"AAAAAFZO4pM=")</f>
        <v>#REF!</v>
      </c>
      <c r="ES86" t="e">
        <f>AND(Liste!#REF!,"AAAAAFZO4pQ=")</f>
        <v>#REF!</v>
      </c>
      <c r="ET86" t="e">
        <f>AND(Liste!#REF!,"AAAAAFZO4pU=")</f>
        <v>#REF!</v>
      </c>
      <c r="EU86" t="e">
        <f>AND(Liste!#REF!,"AAAAAFZO4pY=")</f>
        <v>#REF!</v>
      </c>
      <c r="EV86" t="e">
        <f>AND(Liste!#REF!,"AAAAAFZO4pc=")</f>
        <v>#REF!</v>
      </c>
      <c r="EW86" t="e">
        <f>AND(Liste!#REF!,"AAAAAFZO4pg=")</f>
        <v>#REF!</v>
      </c>
      <c r="EX86" t="e">
        <f>AND(Liste!#REF!,"AAAAAFZO4pk=")</f>
        <v>#REF!</v>
      </c>
      <c r="EY86" t="e">
        <f>AND(Liste!#REF!,"AAAAAFZO4po=")</f>
        <v>#REF!</v>
      </c>
      <c r="EZ86" t="e">
        <f>AND(Liste!#REF!,"AAAAAFZO4ps=")</f>
        <v>#REF!</v>
      </c>
      <c r="FA86" t="e">
        <f>AND(Liste!#REF!,"AAAAAFZO4pw=")</f>
        <v>#REF!</v>
      </c>
      <c r="FB86" t="e">
        <f>IF(Liste!#REF!,"AAAAAFZO4p0=",0)</f>
        <v>#REF!</v>
      </c>
      <c r="FC86" t="e">
        <f>AND(Liste!#REF!,"AAAAAFZO4p4=")</f>
        <v>#REF!</v>
      </c>
      <c r="FD86" t="e">
        <f>AND(Liste!#REF!,"AAAAAFZO4p8=")</f>
        <v>#REF!</v>
      </c>
      <c r="FE86" t="e">
        <f>AND(Liste!#REF!,"AAAAAFZO4qA=")</f>
        <v>#REF!</v>
      </c>
      <c r="FF86" t="e">
        <f>AND(Liste!#REF!,"AAAAAFZO4qE=")</f>
        <v>#REF!</v>
      </c>
      <c r="FG86" t="e">
        <f>AND(Liste!#REF!,"AAAAAFZO4qI=")</f>
        <v>#REF!</v>
      </c>
      <c r="FH86" t="e">
        <f>AND(Liste!#REF!,"AAAAAFZO4qM=")</f>
        <v>#REF!</v>
      </c>
      <c r="FI86" t="e">
        <f>AND(Liste!#REF!,"AAAAAFZO4qQ=")</f>
        <v>#REF!</v>
      </c>
      <c r="FJ86" t="e">
        <f>AND(Liste!#REF!,"AAAAAFZO4qU=")</f>
        <v>#REF!</v>
      </c>
      <c r="FK86" t="e">
        <f>AND(Liste!#REF!,"AAAAAFZO4qY=")</f>
        <v>#REF!</v>
      </c>
      <c r="FL86" t="e">
        <f>AND(Liste!#REF!,"AAAAAFZO4qc=")</f>
        <v>#REF!</v>
      </c>
      <c r="FM86" t="e">
        <f>AND(Liste!#REF!,"AAAAAFZO4qg=")</f>
        <v>#REF!</v>
      </c>
      <c r="FN86" t="e">
        <f>AND(Liste!#REF!,"AAAAAFZO4qk=")</f>
        <v>#REF!</v>
      </c>
      <c r="FO86" t="e">
        <f>AND(Liste!#REF!,"AAAAAFZO4qo=")</f>
        <v>#REF!</v>
      </c>
      <c r="FP86" t="e">
        <f>AND(Liste!#REF!,"AAAAAFZO4qs=")</f>
        <v>#REF!</v>
      </c>
      <c r="FQ86" t="e">
        <f>AND(Liste!#REF!,"AAAAAFZO4qw=")</f>
        <v>#REF!</v>
      </c>
      <c r="FR86" t="e">
        <f>AND(Liste!#REF!,"AAAAAFZO4q0=")</f>
        <v>#REF!</v>
      </c>
      <c r="FS86" t="e">
        <f>AND(Liste!#REF!,"AAAAAFZO4q4=")</f>
        <v>#REF!</v>
      </c>
      <c r="FT86" t="e">
        <f>AND(Liste!#REF!,"AAAAAFZO4q8=")</f>
        <v>#REF!</v>
      </c>
      <c r="FU86" t="e">
        <f>AND(Liste!#REF!,"AAAAAFZO4rA=")</f>
        <v>#REF!</v>
      </c>
      <c r="FV86" t="e">
        <f>AND(Liste!#REF!,"AAAAAFZO4rE=")</f>
        <v>#REF!</v>
      </c>
      <c r="FW86" t="e">
        <f>AND(Liste!#REF!,"AAAAAFZO4rI=")</f>
        <v>#REF!</v>
      </c>
      <c r="FX86" t="e">
        <f>AND(Liste!#REF!,"AAAAAFZO4rM=")</f>
        <v>#REF!</v>
      </c>
      <c r="FY86" t="e">
        <f>AND(Liste!#REF!,"AAAAAFZO4rQ=")</f>
        <v>#REF!</v>
      </c>
      <c r="FZ86" t="e">
        <f>AND(Liste!#REF!,"AAAAAFZO4rU=")</f>
        <v>#REF!</v>
      </c>
      <c r="GA86" t="e">
        <f>AND(Liste!#REF!,"AAAAAFZO4rY=")</f>
        <v>#REF!</v>
      </c>
      <c r="GB86" t="e">
        <f>AND(Liste!#REF!,"AAAAAFZO4rc=")</f>
        <v>#REF!</v>
      </c>
      <c r="GC86" t="e">
        <f>AND(Liste!#REF!,"AAAAAFZO4rg=")</f>
        <v>#REF!</v>
      </c>
      <c r="GD86" t="e">
        <f>AND(Liste!#REF!,"AAAAAFZO4rk=")</f>
        <v>#REF!</v>
      </c>
      <c r="GE86" t="e">
        <f>AND(Liste!#REF!,"AAAAAFZO4ro=")</f>
        <v>#REF!</v>
      </c>
      <c r="GF86" t="e">
        <f>AND(Liste!#REF!,"AAAAAFZO4rs=")</f>
        <v>#REF!</v>
      </c>
      <c r="GG86" t="e">
        <f>IF(Liste!#REF!,"AAAAAFZO4rw=",0)</f>
        <v>#REF!</v>
      </c>
      <c r="GH86" t="e">
        <f>AND(Liste!#REF!,"AAAAAFZO4r0=")</f>
        <v>#REF!</v>
      </c>
      <c r="GI86" t="e">
        <f>AND(Liste!#REF!,"AAAAAFZO4r4=")</f>
        <v>#REF!</v>
      </c>
      <c r="GJ86" t="e">
        <f>AND(Liste!#REF!,"AAAAAFZO4r8=")</f>
        <v>#REF!</v>
      </c>
      <c r="GK86" t="e">
        <f>AND(Liste!#REF!,"AAAAAFZO4sA=")</f>
        <v>#REF!</v>
      </c>
      <c r="GL86" t="e">
        <f>AND(Liste!#REF!,"AAAAAFZO4sE=")</f>
        <v>#REF!</v>
      </c>
      <c r="GM86" t="e">
        <f>AND(Liste!#REF!,"AAAAAFZO4sI=")</f>
        <v>#REF!</v>
      </c>
      <c r="GN86" t="e">
        <f>AND(Liste!#REF!,"AAAAAFZO4sM=")</f>
        <v>#REF!</v>
      </c>
      <c r="GO86" t="e">
        <f>AND(Liste!#REF!,"AAAAAFZO4sQ=")</f>
        <v>#REF!</v>
      </c>
      <c r="GP86" t="e">
        <f>AND(Liste!#REF!,"AAAAAFZO4sU=")</f>
        <v>#REF!</v>
      </c>
      <c r="GQ86" t="e">
        <f>AND(Liste!#REF!,"AAAAAFZO4sY=")</f>
        <v>#REF!</v>
      </c>
      <c r="GR86" t="e">
        <f>AND(Liste!#REF!,"AAAAAFZO4sc=")</f>
        <v>#REF!</v>
      </c>
      <c r="GS86" t="e">
        <f>AND(Liste!#REF!,"AAAAAFZO4sg=")</f>
        <v>#REF!</v>
      </c>
      <c r="GT86" t="e">
        <f>AND(Liste!#REF!,"AAAAAFZO4sk=")</f>
        <v>#REF!</v>
      </c>
      <c r="GU86" t="e">
        <f>AND(Liste!#REF!,"AAAAAFZO4so=")</f>
        <v>#REF!</v>
      </c>
      <c r="GV86" t="e">
        <f>AND(Liste!#REF!,"AAAAAFZO4ss=")</f>
        <v>#REF!</v>
      </c>
      <c r="GW86" t="e">
        <f>AND(Liste!#REF!,"AAAAAFZO4sw=")</f>
        <v>#REF!</v>
      </c>
      <c r="GX86" t="e">
        <f>AND(Liste!#REF!,"AAAAAFZO4s0=")</f>
        <v>#REF!</v>
      </c>
      <c r="GY86" t="e">
        <f>AND(Liste!#REF!,"AAAAAFZO4s4=")</f>
        <v>#REF!</v>
      </c>
      <c r="GZ86" t="e">
        <f>AND(Liste!#REF!,"AAAAAFZO4s8=")</f>
        <v>#REF!</v>
      </c>
      <c r="HA86" t="e">
        <f>AND(Liste!#REF!,"AAAAAFZO4tA=")</f>
        <v>#REF!</v>
      </c>
      <c r="HB86" t="e">
        <f>AND(Liste!#REF!,"AAAAAFZO4tE=")</f>
        <v>#REF!</v>
      </c>
      <c r="HC86" t="e">
        <f>AND(Liste!#REF!,"AAAAAFZO4tI=")</f>
        <v>#REF!</v>
      </c>
      <c r="HD86" t="e">
        <f>AND(Liste!#REF!,"AAAAAFZO4tM=")</f>
        <v>#REF!</v>
      </c>
      <c r="HE86" t="e">
        <f>AND(Liste!#REF!,"AAAAAFZO4tQ=")</f>
        <v>#REF!</v>
      </c>
      <c r="HF86" t="e">
        <f>AND(Liste!#REF!,"AAAAAFZO4tU=")</f>
        <v>#REF!</v>
      </c>
      <c r="HG86" t="e">
        <f>AND(Liste!#REF!,"AAAAAFZO4tY=")</f>
        <v>#REF!</v>
      </c>
      <c r="HH86" t="e">
        <f>AND(Liste!#REF!,"AAAAAFZO4tc=")</f>
        <v>#REF!</v>
      </c>
      <c r="HI86" t="e">
        <f>AND(Liste!#REF!,"AAAAAFZO4tg=")</f>
        <v>#REF!</v>
      </c>
      <c r="HJ86" t="e">
        <f>AND(Liste!#REF!,"AAAAAFZO4tk=")</f>
        <v>#REF!</v>
      </c>
      <c r="HK86" t="e">
        <f>AND(Liste!#REF!,"AAAAAFZO4to=")</f>
        <v>#REF!</v>
      </c>
      <c r="HL86" t="e">
        <f>IF(Liste!#REF!,"AAAAAFZO4ts=",0)</f>
        <v>#REF!</v>
      </c>
      <c r="HM86" t="e">
        <f>AND(Liste!#REF!,"AAAAAFZO4tw=")</f>
        <v>#REF!</v>
      </c>
      <c r="HN86" t="e">
        <f>AND(Liste!#REF!,"AAAAAFZO4t0=")</f>
        <v>#REF!</v>
      </c>
      <c r="HO86" t="e">
        <f>AND(Liste!#REF!,"AAAAAFZO4t4=")</f>
        <v>#REF!</v>
      </c>
      <c r="HP86" t="e">
        <f>AND(Liste!#REF!,"AAAAAFZO4t8=")</f>
        <v>#REF!</v>
      </c>
      <c r="HQ86" t="e">
        <f>AND(Liste!#REF!,"AAAAAFZO4uA=")</f>
        <v>#REF!</v>
      </c>
      <c r="HR86" t="e">
        <f>AND(Liste!#REF!,"AAAAAFZO4uE=")</f>
        <v>#REF!</v>
      </c>
      <c r="HS86" t="e">
        <f>AND(Liste!#REF!,"AAAAAFZO4uI=")</f>
        <v>#REF!</v>
      </c>
      <c r="HT86" t="e">
        <f>AND(Liste!#REF!,"AAAAAFZO4uM=")</f>
        <v>#REF!</v>
      </c>
      <c r="HU86" t="e">
        <f>AND(Liste!#REF!,"AAAAAFZO4uQ=")</f>
        <v>#REF!</v>
      </c>
      <c r="HV86" t="e">
        <f>AND(Liste!#REF!,"AAAAAFZO4uU=")</f>
        <v>#REF!</v>
      </c>
      <c r="HW86" t="e">
        <f>AND(Liste!#REF!,"AAAAAFZO4uY=")</f>
        <v>#REF!</v>
      </c>
      <c r="HX86" t="e">
        <f>AND(Liste!#REF!,"AAAAAFZO4uc=")</f>
        <v>#REF!</v>
      </c>
      <c r="HY86" t="e">
        <f>AND(Liste!#REF!,"AAAAAFZO4ug=")</f>
        <v>#REF!</v>
      </c>
      <c r="HZ86" t="e">
        <f>AND(Liste!#REF!,"AAAAAFZO4uk=")</f>
        <v>#REF!</v>
      </c>
      <c r="IA86" t="e">
        <f>AND(Liste!#REF!,"AAAAAFZO4uo=")</f>
        <v>#REF!</v>
      </c>
      <c r="IB86" t="e">
        <f>AND(Liste!#REF!,"AAAAAFZO4us=")</f>
        <v>#REF!</v>
      </c>
      <c r="IC86" t="e">
        <f>AND(Liste!#REF!,"AAAAAFZO4uw=")</f>
        <v>#REF!</v>
      </c>
      <c r="ID86" t="e">
        <f>AND(Liste!#REF!,"AAAAAFZO4u0=")</f>
        <v>#REF!</v>
      </c>
      <c r="IE86" t="e">
        <f>AND(Liste!#REF!,"AAAAAFZO4u4=")</f>
        <v>#REF!</v>
      </c>
      <c r="IF86" t="e">
        <f>AND(Liste!#REF!,"AAAAAFZO4u8=")</f>
        <v>#REF!</v>
      </c>
      <c r="IG86" t="e">
        <f>AND(Liste!#REF!,"AAAAAFZO4vA=")</f>
        <v>#REF!</v>
      </c>
      <c r="IH86" t="e">
        <f>AND(Liste!#REF!,"AAAAAFZO4vE=")</f>
        <v>#REF!</v>
      </c>
      <c r="II86" t="e">
        <f>AND(Liste!#REF!,"AAAAAFZO4vI=")</f>
        <v>#REF!</v>
      </c>
      <c r="IJ86" t="e">
        <f>AND(Liste!#REF!,"AAAAAFZO4vM=")</f>
        <v>#REF!</v>
      </c>
      <c r="IK86" t="e">
        <f>AND(Liste!#REF!,"AAAAAFZO4vQ=")</f>
        <v>#REF!</v>
      </c>
      <c r="IL86" t="e">
        <f>AND(Liste!#REF!,"AAAAAFZO4vU=")</f>
        <v>#REF!</v>
      </c>
      <c r="IM86" t="e">
        <f>AND(Liste!#REF!,"AAAAAFZO4vY=")</f>
        <v>#REF!</v>
      </c>
      <c r="IN86" t="e">
        <f>AND(Liste!#REF!,"AAAAAFZO4vc=")</f>
        <v>#REF!</v>
      </c>
      <c r="IO86" t="e">
        <f>AND(Liste!#REF!,"AAAAAFZO4vg=")</f>
        <v>#REF!</v>
      </c>
      <c r="IP86" t="e">
        <f>AND(Liste!#REF!,"AAAAAFZO4vk=")</f>
        <v>#REF!</v>
      </c>
      <c r="IQ86" t="e">
        <f>IF(Liste!#REF!,"AAAAAFZO4vo=",0)</f>
        <v>#REF!</v>
      </c>
      <c r="IR86" t="e">
        <f>AND(Liste!#REF!,"AAAAAFZO4vs=")</f>
        <v>#REF!</v>
      </c>
      <c r="IS86" t="e">
        <f>AND(Liste!#REF!,"AAAAAFZO4vw=")</f>
        <v>#REF!</v>
      </c>
      <c r="IT86" t="e">
        <f>AND(Liste!#REF!,"AAAAAFZO4v0=")</f>
        <v>#REF!</v>
      </c>
      <c r="IU86" t="e">
        <f>AND(Liste!#REF!,"AAAAAFZO4v4=")</f>
        <v>#REF!</v>
      </c>
      <c r="IV86" t="e">
        <f>AND(Liste!#REF!,"AAAAAFZO4v8=")</f>
        <v>#REF!</v>
      </c>
    </row>
    <row r="87" spans="1:256" x14ac:dyDescent="0.2">
      <c r="A87" t="e">
        <f>AND(Liste!#REF!,"AAAAAHPn3QA=")</f>
        <v>#REF!</v>
      </c>
      <c r="B87" t="e">
        <f>AND(Liste!#REF!,"AAAAAHPn3QE=")</f>
        <v>#REF!</v>
      </c>
      <c r="C87" t="e">
        <f>AND(Liste!#REF!,"AAAAAHPn3QI=")</f>
        <v>#REF!</v>
      </c>
      <c r="D87" t="e">
        <f>AND(Liste!#REF!,"AAAAAHPn3QM=")</f>
        <v>#REF!</v>
      </c>
      <c r="E87" t="e">
        <f>AND(Liste!#REF!,"AAAAAHPn3QQ=")</f>
        <v>#REF!</v>
      </c>
      <c r="F87" t="e">
        <f>AND(Liste!#REF!,"AAAAAHPn3QU=")</f>
        <v>#REF!</v>
      </c>
      <c r="G87" t="e">
        <f>AND(Liste!#REF!,"AAAAAHPn3QY=")</f>
        <v>#REF!</v>
      </c>
      <c r="H87" t="e">
        <f>AND(Liste!#REF!,"AAAAAHPn3Qc=")</f>
        <v>#REF!</v>
      </c>
      <c r="I87" t="e">
        <f>AND(Liste!#REF!,"AAAAAHPn3Qg=")</f>
        <v>#REF!</v>
      </c>
      <c r="J87" t="e">
        <f>AND(Liste!#REF!,"AAAAAHPn3Qk=")</f>
        <v>#REF!</v>
      </c>
      <c r="K87" t="e">
        <f>AND(Liste!#REF!,"AAAAAHPn3Qo=")</f>
        <v>#REF!</v>
      </c>
      <c r="L87" t="e">
        <f>AND(Liste!#REF!,"AAAAAHPn3Qs=")</f>
        <v>#REF!</v>
      </c>
      <c r="M87" t="e">
        <f>AND(Liste!#REF!,"AAAAAHPn3Qw=")</f>
        <v>#REF!</v>
      </c>
      <c r="N87" t="e">
        <f>AND(Liste!#REF!,"AAAAAHPn3Q0=")</f>
        <v>#REF!</v>
      </c>
      <c r="O87" t="e">
        <f>AND(Liste!#REF!,"AAAAAHPn3Q4=")</f>
        <v>#REF!</v>
      </c>
      <c r="P87" t="e">
        <f>AND(Liste!#REF!,"AAAAAHPn3Q8=")</f>
        <v>#REF!</v>
      </c>
      <c r="Q87" t="e">
        <f>AND(Liste!#REF!,"AAAAAHPn3RA=")</f>
        <v>#REF!</v>
      </c>
      <c r="R87" t="e">
        <f>AND(Liste!#REF!,"AAAAAHPn3RE=")</f>
        <v>#REF!</v>
      </c>
      <c r="S87" t="e">
        <f>AND(Liste!#REF!,"AAAAAHPn3RI=")</f>
        <v>#REF!</v>
      </c>
      <c r="T87" t="e">
        <f>AND(Liste!#REF!,"AAAAAHPn3RM=")</f>
        <v>#REF!</v>
      </c>
      <c r="U87" t="e">
        <f>AND(Liste!#REF!,"AAAAAHPn3RQ=")</f>
        <v>#REF!</v>
      </c>
      <c r="V87" t="e">
        <f>AND(Liste!#REF!,"AAAAAHPn3RU=")</f>
        <v>#REF!</v>
      </c>
      <c r="W87" t="e">
        <f>AND(Liste!#REF!,"AAAAAHPn3RY=")</f>
        <v>#REF!</v>
      </c>
      <c r="X87" t="e">
        <f>AND(Liste!#REF!,"AAAAAHPn3Rc=")</f>
        <v>#REF!</v>
      </c>
      <c r="Y87" t="e">
        <f>AND(Liste!#REF!,"AAAAAHPn3Rg=")</f>
        <v>#REF!</v>
      </c>
      <c r="Z87" t="e">
        <f>IF(Liste!#REF!,"AAAAAHPn3Rk=",0)</f>
        <v>#REF!</v>
      </c>
      <c r="AA87" t="e">
        <f>AND(Liste!#REF!,"AAAAAHPn3Ro=")</f>
        <v>#REF!</v>
      </c>
      <c r="AB87" t="e">
        <f>AND(Liste!#REF!,"AAAAAHPn3Rs=")</f>
        <v>#REF!</v>
      </c>
      <c r="AC87" t="e">
        <f>AND(Liste!#REF!,"AAAAAHPn3Rw=")</f>
        <v>#REF!</v>
      </c>
      <c r="AD87" t="e">
        <f>AND(Liste!#REF!,"AAAAAHPn3R0=")</f>
        <v>#REF!</v>
      </c>
      <c r="AE87" t="e">
        <f>AND(Liste!#REF!,"AAAAAHPn3R4=")</f>
        <v>#REF!</v>
      </c>
      <c r="AF87" t="e">
        <f>AND(Liste!#REF!,"AAAAAHPn3R8=")</f>
        <v>#REF!</v>
      </c>
      <c r="AG87" t="e">
        <f>AND(Liste!#REF!,"AAAAAHPn3SA=")</f>
        <v>#REF!</v>
      </c>
      <c r="AH87" t="e">
        <f>AND(Liste!#REF!,"AAAAAHPn3SE=")</f>
        <v>#REF!</v>
      </c>
      <c r="AI87" t="e">
        <f>AND(Liste!#REF!,"AAAAAHPn3SI=")</f>
        <v>#REF!</v>
      </c>
      <c r="AJ87" t="e">
        <f>AND(Liste!#REF!,"AAAAAHPn3SM=")</f>
        <v>#REF!</v>
      </c>
      <c r="AK87" t="e">
        <f>AND(Liste!#REF!,"AAAAAHPn3SQ=")</f>
        <v>#REF!</v>
      </c>
      <c r="AL87" t="e">
        <f>AND(Liste!#REF!,"AAAAAHPn3SU=")</f>
        <v>#REF!</v>
      </c>
      <c r="AM87" t="e">
        <f>AND(Liste!#REF!,"AAAAAHPn3SY=")</f>
        <v>#REF!</v>
      </c>
      <c r="AN87" t="e">
        <f>AND(Liste!#REF!,"AAAAAHPn3Sc=")</f>
        <v>#REF!</v>
      </c>
      <c r="AO87" t="e">
        <f>AND(Liste!#REF!,"AAAAAHPn3Sg=")</f>
        <v>#REF!</v>
      </c>
      <c r="AP87" t="e">
        <f>AND(Liste!#REF!,"AAAAAHPn3Sk=")</f>
        <v>#REF!</v>
      </c>
      <c r="AQ87" t="e">
        <f>AND(Liste!#REF!,"AAAAAHPn3So=")</f>
        <v>#REF!</v>
      </c>
      <c r="AR87" t="e">
        <f>AND(Liste!#REF!,"AAAAAHPn3Ss=")</f>
        <v>#REF!</v>
      </c>
      <c r="AS87" t="e">
        <f>AND(Liste!#REF!,"AAAAAHPn3Sw=")</f>
        <v>#REF!</v>
      </c>
      <c r="AT87" t="e">
        <f>AND(Liste!#REF!,"AAAAAHPn3S0=")</f>
        <v>#REF!</v>
      </c>
      <c r="AU87" t="e">
        <f>AND(Liste!#REF!,"AAAAAHPn3S4=")</f>
        <v>#REF!</v>
      </c>
      <c r="AV87" t="e">
        <f>AND(Liste!#REF!,"AAAAAHPn3S8=")</f>
        <v>#REF!</v>
      </c>
      <c r="AW87" t="e">
        <f>AND(Liste!#REF!,"AAAAAHPn3TA=")</f>
        <v>#REF!</v>
      </c>
      <c r="AX87" t="e">
        <f>AND(Liste!#REF!,"AAAAAHPn3TE=")</f>
        <v>#REF!</v>
      </c>
      <c r="AY87" t="e">
        <f>AND(Liste!#REF!,"AAAAAHPn3TI=")</f>
        <v>#REF!</v>
      </c>
      <c r="AZ87" t="e">
        <f>AND(Liste!#REF!,"AAAAAHPn3TM=")</f>
        <v>#REF!</v>
      </c>
      <c r="BA87" t="e">
        <f>AND(Liste!#REF!,"AAAAAHPn3TQ=")</f>
        <v>#REF!</v>
      </c>
      <c r="BB87" t="e">
        <f>AND(Liste!#REF!,"AAAAAHPn3TU=")</f>
        <v>#REF!</v>
      </c>
      <c r="BC87" t="e">
        <f>AND(Liste!#REF!,"AAAAAHPn3TY=")</f>
        <v>#REF!</v>
      </c>
      <c r="BD87" t="e">
        <f>AND(Liste!#REF!,"AAAAAHPn3Tc=")</f>
        <v>#REF!</v>
      </c>
      <c r="BE87" t="e">
        <f>IF(Liste!#REF!,"AAAAAHPn3Tg=",0)</f>
        <v>#REF!</v>
      </c>
      <c r="BF87" t="e">
        <f>AND(Liste!#REF!,"AAAAAHPn3Tk=")</f>
        <v>#REF!</v>
      </c>
      <c r="BG87" t="e">
        <f>AND(Liste!#REF!,"AAAAAHPn3To=")</f>
        <v>#REF!</v>
      </c>
      <c r="BH87" t="e">
        <f>AND(Liste!#REF!,"AAAAAHPn3Ts=")</f>
        <v>#REF!</v>
      </c>
      <c r="BI87" t="e">
        <f>AND(Liste!#REF!,"AAAAAHPn3Tw=")</f>
        <v>#REF!</v>
      </c>
      <c r="BJ87" t="e">
        <f>AND(Liste!#REF!,"AAAAAHPn3T0=")</f>
        <v>#REF!</v>
      </c>
      <c r="BK87" t="e">
        <f>AND(Liste!#REF!,"AAAAAHPn3T4=")</f>
        <v>#REF!</v>
      </c>
      <c r="BL87" t="e">
        <f>AND(Liste!#REF!,"AAAAAHPn3T8=")</f>
        <v>#REF!</v>
      </c>
      <c r="BM87" t="e">
        <f>AND(Liste!#REF!,"AAAAAHPn3UA=")</f>
        <v>#REF!</v>
      </c>
      <c r="BN87" t="e">
        <f>AND(Liste!#REF!,"AAAAAHPn3UE=")</f>
        <v>#REF!</v>
      </c>
      <c r="BO87" t="e">
        <f>AND(Liste!#REF!,"AAAAAHPn3UI=")</f>
        <v>#REF!</v>
      </c>
      <c r="BP87" t="e">
        <f>AND(Liste!#REF!,"AAAAAHPn3UM=")</f>
        <v>#REF!</v>
      </c>
      <c r="BQ87" t="e">
        <f>AND(Liste!#REF!,"AAAAAHPn3UQ=")</f>
        <v>#REF!</v>
      </c>
      <c r="BR87" t="e">
        <f>AND(Liste!#REF!,"AAAAAHPn3UU=")</f>
        <v>#REF!</v>
      </c>
      <c r="BS87" t="e">
        <f>AND(Liste!#REF!,"AAAAAHPn3UY=")</f>
        <v>#REF!</v>
      </c>
      <c r="BT87" t="e">
        <f>AND(Liste!#REF!,"AAAAAHPn3Uc=")</f>
        <v>#REF!</v>
      </c>
      <c r="BU87" t="e">
        <f>AND(Liste!#REF!,"AAAAAHPn3Ug=")</f>
        <v>#REF!</v>
      </c>
      <c r="BV87" t="e">
        <f>AND(Liste!#REF!,"AAAAAHPn3Uk=")</f>
        <v>#REF!</v>
      </c>
      <c r="BW87" t="e">
        <f>AND(Liste!#REF!,"AAAAAHPn3Uo=")</f>
        <v>#REF!</v>
      </c>
      <c r="BX87" t="e">
        <f>AND(Liste!#REF!,"AAAAAHPn3Us=")</f>
        <v>#REF!</v>
      </c>
      <c r="BY87" t="e">
        <f>AND(Liste!#REF!,"AAAAAHPn3Uw=")</f>
        <v>#REF!</v>
      </c>
      <c r="BZ87" t="e">
        <f>AND(Liste!#REF!,"AAAAAHPn3U0=")</f>
        <v>#REF!</v>
      </c>
      <c r="CA87" t="e">
        <f>AND(Liste!#REF!,"AAAAAHPn3U4=")</f>
        <v>#REF!</v>
      </c>
      <c r="CB87" t="e">
        <f>AND(Liste!#REF!,"AAAAAHPn3U8=")</f>
        <v>#REF!</v>
      </c>
      <c r="CC87" t="e">
        <f>AND(Liste!#REF!,"AAAAAHPn3VA=")</f>
        <v>#REF!</v>
      </c>
      <c r="CD87" t="e">
        <f>AND(Liste!#REF!,"AAAAAHPn3VE=")</f>
        <v>#REF!</v>
      </c>
      <c r="CE87" t="e">
        <f>AND(Liste!#REF!,"AAAAAHPn3VI=")</f>
        <v>#REF!</v>
      </c>
      <c r="CF87" t="e">
        <f>AND(Liste!#REF!,"AAAAAHPn3VM=")</f>
        <v>#REF!</v>
      </c>
      <c r="CG87" t="e">
        <f>AND(Liste!#REF!,"AAAAAHPn3VQ=")</f>
        <v>#REF!</v>
      </c>
      <c r="CH87" t="e">
        <f>AND(Liste!#REF!,"AAAAAHPn3VU=")</f>
        <v>#REF!</v>
      </c>
      <c r="CI87" t="e">
        <f>AND(Liste!#REF!,"AAAAAHPn3VY=")</f>
        <v>#REF!</v>
      </c>
      <c r="CJ87" t="e">
        <f>IF(Liste!#REF!,"AAAAAHPn3Vc=",0)</f>
        <v>#REF!</v>
      </c>
      <c r="CK87" t="e">
        <f>AND(Liste!#REF!,"AAAAAHPn3Vg=")</f>
        <v>#REF!</v>
      </c>
      <c r="CL87" t="e">
        <f>AND(Liste!#REF!,"AAAAAHPn3Vk=")</f>
        <v>#REF!</v>
      </c>
      <c r="CM87" t="e">
        <f>AND(Liste!#REF!,"AAAAAHPn3Vo=")</f>
        <v>#REF!</v>
      </c>
      <c r="CN87" t="e">
        <f>AND(Liste!#REF!,"AAAAAHPn3Vs=")</f>
        <v>#REF!</v>
      </c>
      <c r="CO87" t="e">
        <f>AND(Liste!#REF!,"AAAAAHPn3Vw=")</f>
        <v>#REF!</v>
      </c>
      <c r="CP87" t="e">
        <f>AND(Liste!#REF!,"AAAAAHPn3V0=")</f>
        <v>#REF!</v>
      </c>
      <c r="CQ87" t="e">
        <f>AND(Liste!#REF!,"AAAAAHPn3V4=")</f>
        <v>#REF!</v>
      </c>
      <c r="CR87" t="e">
        <f>AND(Liste!#REF!,"AAAAAHPn3V8=")</f>
        <v>#REF!</v>
      </c>
      <c r="CS87" t="e">
        <f>AND(Liste!#REF!,"AAAAAHPn3WA=")</f>
        <v>#REF!</v>
      </c>
      <c r="CT87" t="e">
        <f>AND(Liste!#REF!,"AAAAAHPn3WE=")</f>
        <v>#REF!</v>
      </c>
      <c r="CU87" t="e">
        <f>AND(Liste!#REF!,"AAAAAHPn3WI=")</f>
        <v>#REF!</v>
      </c>
      <c r="CV87" t="e">
        <f>AND(Liste!#REF!,"AAAAAHPn3WM=")</f>
        <v>#REF!</v>
      </c>
      <c r="CW87" t="e">
        <f>AND(Liste!#REF!,"AAAAAHPn3WQ=")</f>
        <v>#REF!</v>
      </c>
      <c r="CX87" t="e">
        <f>AND(Liste!#REF!,"AAAAAHPn3WU=")</f>
        <v>#REF!</v>
      </c>
      <c r="CY87" t="e">
        <f>AND(Liste!#REF!,"AAAAAHPn3WY=")</f>
        <v>#REF!</v>
      </c>
      <c r="CZ87" t="e">
        <f>AND(Liste!#REF!,"AAAAAHPn3Wc=")</f>
        <v>#REF!</v>
      </c>
      <c r="DA87" t="e">
        <f>AND(Liste!#REF!,"AAAAAHPn3Wg=")</f>
        <v>#REF!</v>
      </c>
      <c r="DB87" t="e">
        <f>AND(Liste!#REF!,"AAAAAHPn3Wk=")</f>
        <v>#REF!</v>
      </c>
      <c r="DC87" t="e">
        <f>AND(Liste!#REF!,"AAAAAHPn3Wo=")</f>
        <v>#REF!</v>
      </c>
      <c r="DD87" t="e">
        <f>AND(Liste!#REF!,"AAAAAHPn3Ws=")</f>
        <v>#REF!</v>
      </c>
      <c r="DE87" t="e">
        <f>AND(Liste!#REF!,"AAAAAHPn3Ww=")</f>
        <v>#REF!</v>
      </c>
      <c r="DF87" t="e">
        <f>AND(Liste!#REF!,"AAAAAHPn3W0=")</f>
        <v>#REF!</v>
      </c>
      <c r="DG87" t="e">
        <f>AND(Liste!#REF!,"AAAAAHPn3W4=")</f>
        <v>#REF!</v>
      </c>
      <c r="DH87" t="e">
        <f>AND(Liste!#REF!,"AAAAAHPn3W8=")</f>
        <v>#REF!</v>
      </c>
      <c r="DI87" t="e">
        <f>AND(Liste!#REF!,"AAAAAHPn3XA=")</f>
        <v>#REF!</v>
      </c>
      <c r="DJ87" t="e">
        <f>AND(Liste!#REF!,"AAAAAHPn3XE=")</f>
        <v>#REF!</v>
      </c>
      <c r="DK87" t="e">
        <f>AND(Liste!#REF!,"AAAAAHPn3XI=")</f>
        <v>#REF!</v>
      </c>
      <c r="DL87" t="e">
        <f>AND(Liste!#REF!,"AAAAAHPn3XM=")</f>
        <v>#REF!</v>
      </c>
      <c r="DM87" t="e">
        <f>AND(Liste!#REF!,"AAAAAHPn3XQ=")</f>
        <v>#REF!</v>
      </c>
      <c r="DN87" t="e">
        <f>AND(Liste!#REF!,"AAAAAHPn3XU=")</f>
        <v>#REF!</v>
      </c>
      <c r="DO87" t="e">
        <f>IF(Liste!#REF!,"AAAAAHPn3XY=",0)</f>
        <v>#REF!</v>
      </c>
      <c r="DP87" t="e">
        <f>AND(Liste!#REF!,"AAAAAHPn3Xc=")</f>
        <v>#REF!</v>
      </c>
      <c r="DQ87" t="e">
        <f>AND(Liste!#REF!,"AAAAAHPn3Xg=")</f>
        <v>#REF!</v>
      </c>
      <c r="DR87" t="e">
        <f>AND(Liste!#REF!,"AAAAAHPn3Xk=")</f>
        <v>#REF!</v>
      </c>
      <c r="DS87" t="e">
        <f>AND(Liste!#REF!,"AAAAAHPn3Xo=")</f>
        <v>#REF!</v>
      </c>
      <c r="DT87" t="e">
        <f>AND(Liste!#REF!,"AAAAAHPn3Xs=")</f>
        <v>#REF!</v>
      </c>
      <c r="DU87" t="e">
        <f>AND(Liste!#REF!,"AAAAAHPn3Xw=")</f>
        <v>#REF!</v>
      </c>
      <c r="DV87" t="e">
        <f>AND(Liste!#REF!,"AAAAAHPn3X0=")</f>
        <v>#REF!</v>
      </c>
      <c r="DW87" t="e">
        <f>AND(Liste!#REF!,"AAAAAHPn3X4=")</f>
        <v>#REF!</v>
      </c>
      <c r="DX87" t="e">
        <f>AND(Liste!#REF!,"AAAAAHPn3X8=")</f>
        <v>#REF!</v>
      </c>
      <c r="DY87" t="e">
        <f>AND(Liste!#REF!,"AAAAAHPn3YA=")</f>
        <v>#REF!</v>
      </c>
      <c r="DZ87" t="e">
        <f>AND(Liste!#REF!,"AAAAAHPn3YE=")</f>
        <v>#REF!</v>
      </c>
      <c r="EA87" t="e">
        <f>AND(Liste!#REF!,"AAAAAHPn3YI=")</f>
        <v>#REF!</v>
      </c>
      <c r="EB87" t="e">
        <f>AND(Liste!#REF!,"AAAAAHPn3YM=")</f>
        <v>#REF!</v>
      </c>
      <c r="EC87" t="e">
        <f>AND(Liste!#REF!,"AAAAAHPn3YQ=")</f>
        <v>#REF!</v>
      </c>
      <c r="ED87" t="e">
        <f>AND(Liste!#REF!,"AAAAAHPn3YU=")</f>
        <v>#REF!</v>
      </c>
      <c r="EE87" t="e">
        <f>AND(Liste!#REF!,"AAAAAHPn3YY=")</f>
        <v>#REF!</v>
      </c>
      <c r="EF87" t="e">
        <f>AND(Liste!#REF!,"AAAAAHPn3Yc=")</f>
        <v>#REF!</v>
      </c>
      <c r="EG87" t="e">
        <f>AND(Liste!#REF!,"AAAAAHPn3Yg=")</f>
        <v>#REF!</v>
      </c>
      <c r="EH87" t="e">
        <f>AND(Liste!#REF!,"AAAAAHPn3Yk=")</f>
        <v>#REF!</v>
      </c>
      <c r="EI87" t="e">
        <f>AND(Liste!#REF!,"AAAAAHPn3Yo=")</f>
        <v>#REF!</v>
      </c>
      <c r="EJ87" t="e">
        <f>AND(Liste!#REF!,"AAAAAHPn3Ys=")</f>
        <v>#REF!</v>
      </c>
      <c r="EK87" t="e">
        <f>AND(Liste!#REF!,"AAAAAHPn3Yw=")</f>
        <v>#REF!</v>
      </c>
      <c r="EL87" t="e">
        <f>AND(Liste!#REF!,"AAAAAHPn3Y0=")</f>
        <v>#REF!</v>
      </c>
      <c r="EM87" t="e">
        <f>AND(Liste!#REF!,"AAAAAHPn3Y4=")</f>
        <v>#REF!</v>
      </c>
      <c r="EN87" t="e">
        <f>AND(Liste!#REF!,"AAAAAHPn3Y8=")</f>
        <v>#REF!</v>
      </c>
      <c r="EO87" t="e">
        <f>AND(Liste!#REF!,"AAAAAHPn3ZA=")</f>
        <v>#REF!</v>
      </c>
      <c r="EP87" t="e">
        <f>AND(Liste!#REF!,"AAAAAHPn3ZE=")</f>
        <v>#REF!</v>
      </c>
      <c r="EQ87" t="e">
        <f>AND(Liste!#REF!,"AAAAAHPn3ZI=")</f>
        <v>#REF!</v>
      </c>
      <c r="ER87" t="e">
        <f>AND(Liste!#REF!,"AAAAAHPn3ZM=")</f>
        <v>#REF!</v>
      </c>
      <c r="ES87" t="e">
        <f>AND(Liste!#REF!,"AAAAAHPn3ZQ=")</f>
        <v>#REF!</v>
      </c>
      <c r="ET87" t="e">
        <f>IF(Liste!#REF!,"AAAAAHPn3ZU=",0)</f>
        <v>#REF!</v>
      </c>
      <c r="EU87" t="e">
        <f>AND(Liste!#REF!,"AAAAAHPn3ZY=")</f>
        <v>#REF!</v>
      </c>
      <c r="EV87" t="e">
        <f>AND(Liste!#REF!,"AAAAAHPn3Zc=")</f>
        <v>#REF!</v>
      </c>
      <c r="EW87" t="e">
        <f>AND(Liste!#REF!,"AAAAAHPn3Zg=")</f>
        <v>#REF!</v>
      </c>
      <c r="EX87" t="e">
        <f>AND(Liste!#REF!,"AAAAAHPn3Zk=")</f>
        <v>#REF!</v>
      </c>
      <c r="EY87" t="e">
        <f>AND(Liste!#REF!,"AAAAAHPn3Zo=")</f>
        <v>#REF!</v>
      </c>
      <c r="EZ87" t="e">
        <f>AND(Liste!#REF!,"AAAAAHPn3Zs=")</f>
        <v>#REF!</v>
      </c>
      <c r="FA87" t="e">
        <f>AND(Liste!#REF!,"AAAAAHPn3Zw=")</f>
        <v>#REF!</v>
      </c>
      <c r="FB87" t="e">
        <f>AND(Liste!#REF!,"AAAAAHPn3Z0=")</f>
        <v>#REF!</v>
      </c>
      <c r="FC87" t="e">
        <f>AND(Liste!#REF!,"AAAAAHPn3Z4=")</f>
        <v>#REF!</v>
      </c>
      <c r="FD87" t="e">
        <f>AND(Liste!#REF!,"AAAAAHPn3Z8=")</f>
        <v>#REF!</v>
      </c>
      <c r="FE87" t="e">
        <f>AND(Liste!#REF!,"AAAAAHPn3aA=")</f>
        <v>#REF!</v>
      </c>
      <c r="FF87" t="e">
        <f>AND(Liste!#REF!,"AAAAAHPn3aE=")</f>
        <v>#REF!</v>
      </c>
      <c r="FG87" t="e">
        <f>AND(Liste!#REF!,"AAAAAHPn3aI=")</f>
        <v>#REF!</v>
      </c>
      <c r="FH87" t="e">
        <f>AND(Liste!#REF!,"AAAAAHPn3aM=")</f>
        <v>#REF!</v>
      </c>
      <c r="FI87" t="e">
        <f>AND(Liste!#REF!,"AAAAAHPn3aQ=")</f>
        <v>#REF!</v>
      </c>
      <c r="FJ87" t="e">
        <f>AND(Liste!#REF!,"AAAAAHPn3aU=")</f>
        <v>#REF!</v>
      </c>
      <c r="FK87" t="e">
        <f>AND(Liste!#REF!,"AAAAAHPn3aY=")</f>
        <v>#REF!</v>
      </c>
      <c r="FL87" t="e">
        <f>AND(Liste!#REF!,"AAAAAHPn3ac=")</f>
        <v>#REF!</v>
      </c>
      <c r="FM87" t="e">
        <f>AND(Liste!#REF!,"AAAAAHPn3ag=")</f>
        <v>#REF!</v>
      </c>
      <c r="FN87" t="e">
        <f>AND(Liste!#REF!,"AAAAAHPn3ak=")</f>
        <v>#REF!</v>
      </c>
      <c r="FO87" t="e">
        <f>AND(Liste!#REF!,"AAAAAHPn3ao=")</f>
        <v>#REF!</v>
      </c>
      <c r="FP87" t="e">
        <f>AND(Liste!#REF!,"AAAAAHPn3as=")</f>
        <v>#REF!</v>
      </c>
      <c r="FQ87" t="e">
        <f>AND(Liste!#REF!,"AAAAAHPn3aw=")</f>
        <v>#REF!</v>
      </c>
      <c r="FR87" t="e">
        <f>AND(Liste!#REF!,"AAAAAHPn3a0=")</f>
        <v>#REF!</v>
      </c>
      <c r="FS87" t="e">
        <f>AND(Liste!#REF!,"AAAAAHPn3a4=")</f>
        <v>#REF!</v>
      </c>
      <c r="FT87" t="e">
        <f>AND(Liste!#REF!,"AAAAAHPn3a8=")</f>
        <v>#REF!</v>
      </c>
      <c r="FU87" t="e">
        <f>AND(Liste!#REF!,"AAAAAHPn3bA=")</f>
        <v>#REF!</v>
      </c>
      <c r="FV87" t="e">
        <f>AND(Liste!#REF!,"AAAAAHPn3bE=")</f>
        <v>#REF!</v>
      </c>
      <c r="FW87" t="e">
        <f>AND(Liste!#REF!,"AAAAAHPn3bI=")</f>
        <v>#REF!</v>
      </c>
      <c r="FX87" t="e">
        <f>AND(Liste!#REF!,"AAAAAHPn3bM=")</f>
        <v>#REF!</v>
      </c>
      <c r="FY87" t="e">
        <f>IF(Liste!#REF!,"AAAAAHPn3bQ=",0)</f>
        <v>#REF!</v>
      </c>
      <c r="FZ87" t="e">
        <f>AND(Liste!#REF!,"AAAAAHPn3bU=")</f>
        <v>#REF!</v>
      </c>
      <c r="GA87" t="e">
        <f>AND(Liste!#REF!,"AAAAAHPn3bY=")</f>
        <v>#REF!</v>
      </c>
      <c r="GB87" t="e">
        <f>AND(Liste!#REF!,"AAAAAHPn3bc=")</f>
        <v>#REF!</v>
      </c>
      <c r="GC87" t="e">
        <f>AND(Liste!#REF!,"AAAAAHPn3bg=")</f>
        <v>#REF!</v>
      </c>
      <c r="GD87" t="e">
        <f>AND(Liste!#REF!,"AAAAAHPn3bk=")</f>
        <v>#REF!</v>
      </c>
      <c r="GE87" t="e">
        <f>AND(Liste!#REF!,"AAAAAHPn3bo=")</f>
        <v>#REF!</v>
      </c>
      <c r="GF87" t="e">
        <f>AND(Liste!#REF!,"AAAAAHPn3bs=")</f>
        <v>#REF!</v>
      </c>
      <c r="GG87" t="e">
        <f>AND(Liste!#REF!,"AAAAAHPn3bw=")</f>
        <v>#REF!</v>
      </c>
      <c r="GH87" t="e">
        <f>AND(Liste!#REF!,"AAAAAHPn3b0=")</f>
        <v>#REF!</v>
      </c>
      <c r="GI87" t="e">
        <f>AND(Liste!#REF!,"AAAAAHPn3b4=")</f>
        <v>#REF!</v>
      </c>
      <c r="GJ87" t="e">
        <f>AND(Liste!#REF!,"AAAAAHPn3b8=")</f>
        <v>#REF!</v>
      </c>
      <c r="GK87" t="e">
        <f>AND(Liste!#REF!,"AAAAAHPn3cA=")</f>
        <v>#REF!</v>
      </c>
      <c r="GL87" t="e">
        <f>AND(Liste!#REF!,"AAAAAHPn3cE=")</f>
        <v>#REF!</v>
      </c>
      <c r="GM87" t="e">
        <f>AND(Liste!#REF!,"AAAAAHPn3cI=")</f>
        <v>#REF!</v>
      </c>
      <c r="GN87" t="e">
        <f>AND(Liste!#REF!,"AAAAAHPn3cM=")</f>
        <v>#REF!</v>
      </c>
      <c r="GO87" t="e">
        <f>AND(Liste!#REF!,"AAAAAHPn3cQ=")</f>
        <v>#REF!</v>
      </c>
      <c r="GP87" t="e">
        <f>AND(Liste!#REF!,"AAAAAHPn3cU=")</f>
        <v>#REF!</v>
      </c>
      <c r="GQ87" t="e">
        <f>AND(Liste!#REF!,"AAAAAHPn3cY=")</f>
        <v>#REF!</v>
      </c>
      <c r="GR87" t="e">
        <f>AND(Liste!#REF!,"AAAAAHPn3cc=")</f>
        <v>#REF!</v>
      </c>
      <c r="GS87" t="e">
        <f>AND(Liste!#REF!,"AAAAAHPn3cg=")</f>
        <v>#REF!</v>
      </c>
      <c r="GT87" t="e">
        <f>AND(Liste!#REF!,"AAAAAHPn3ck=")</f>
        <v>#REF!</v>
      </c>
      <c r="GU87" t="e">
        <f>AND(Liste!#REF!,"AAAAAHPn3co=")</f>
        <v>#REF!</v>
      </c>
      <c r="GV87" t="e">
        <f>AND(Liste!#REF!,"AAAAAHPn3cs=")</f>
        <v>#REF!</v>
      </c>
      <c r="GW87" t="e">
        <f>AND(Liste!#REF!,"AAAAAHPn3cw=")</f>
        <v>#REF!</v>
      </c>
      <c r="GX87" t="e">
        <f>AND(Liste!#REF!,"AAAAAHPn3c0=")</f>
        <v>#REF!</v>
      </c>
      <c r="GY87" t="e">
        <f>AND(Liste!#REF!,"AAAAAHPn3c4=")</f>
        <v>#REF!</v>
      </c>
      <c r="GZ87" t="e">
        <f>AND(Liste!#REF!,"AAAAAHPn3c8=")</f>
        <v>#REF!</v>
      </c>
      <c r="HA87" t="e">
        <f>AND(Liste!#REF!,"AAAAAHPn3dA=")</f>
        <v>#REF!</v>
      </c>
      <c r="HB87" t="e">
        <f>AND(Liste!#REF!,"AAAAAHPn3dE=")</f>
        <v>#REF!</v>
      </c>
      <c r="HC87" t="e">
        <f>AND(Liste!#REF!,"AAAAAHPn3dI=")</f>
        <v>#REF!</v>
      </c>
      <c r="HD87" t="e">
        <f>IF(Liste!#REF!,"AAAAAHPn3dM=",0)</f>
        <v>#REF!</v>
      </c>
      <c r="HE87" t="e">
        <f>AND(Liste!#REF!,"AAAAAHPn3dQ=")</f>
        <v>#REF!</v>
      </c>
      <c r="HF87" t="e">
        <f>AND(Liste!#REF!,"AAAAAHPn3dU=")</f>
        <v>#REF!</v>
      </c>
      <c r="HG87" t="e">
        <f>AND(Liste!#REF!,"AAAAAHPn3dY=")</f>
        <v>#REF!</v>
      </c>
      <c r="HH87" t="e">
        <f>AND(Liste!#REF!,"AAAAAHPn3dc=")</f>
        <v>#REF!</v>
      </c>
      <c r="HI87" t="e">
        <f>AND(Liste!#REF!,"AAAAAHPn3dg=")</f>
        <v>#REF!</v>
      </c>
      <c r="HJ87" t="e">
        <f>AND(Liste!#REF!,"AAAAAHPn3dk=")</f>
        <v>#REF!</v>
      </c>
      <c r="HK87" t="e">
        <f>AND(Liste!#REF!,"AAAAAHPn3do=")</f>
        <v>#REF!</v>
      </c>
      <c r="HL87" t="e">
        <f>AND(Liste!#REF!,"AAAAAHPn3ds=")</f>
        <v>#REF!</v>
      </c>
      <c r="HM87" t="e">
        <f>AND(Liste!#REF!,"AAAAAHPn3dw=")</f>
        <v>#REF!</v>
      </c>
      <c r="HN87" t="e">
        <f>AND(Liste!#REF!,"AAAAAHPn3d0=")</f>
        <v>#REF!</v>
      </c>
      <c r="HO87" t="e">
        <f>AND(Liste!#REF!,"AAAAAHPn3d4=")</f>
        <v>#REF!</v>
      </c>
      <c r="HP87" t="e">
        <f>AND(Liste!#REF!,"AAAAAHPn3d8=")</f>
        <v>#REF!</v>
      </c>
      <c r="HQ87" t="e">
        <f>AND(Liste!#REF!,"AAAAAHPn3eA=")</f>
        <v>#REF!</v>
      </c>
      <c r="HR87" t="e">
        <f>AND(Liste!#REF!,"AAAAAHPn3eE=")</f>
        <v>#REF!</v>
      </c>
      <c r="HS87" t="e">
        <f>AND(Liste!#REF!,"AAAAAHPn3eI=")</f>
        <v>#REF!</v>
      </c>
      <c r="HT87" t="e">
        <f>AND(Liste!#REF!,"AAAAAHPn3eM=")</f>
        <v>#REF!</v>
      </c>
      <c r="HU87" t="e">
        <f>AND(Liste!#REF!,"AAAAAHPn3eQ=")</f>
        <v>#REF!</v>
      </c>
      <c r="HV87" t="e">
        <f>AND(Liste!#REF!,"AAAAAHPn3eU=")</f>
        <v>#REF!</v>
      </c>
      <c r="HW87" t="e">
        <f>AND(Liste!#REF!,"AAAAAHPn3eY=")</f>
        <v>#REF!</v>
      </c>
      <c r="HX87" t="e">
        <f>AND(Liste!#REF!,"AAAAAHPn3ec=")</f>
        <v>#REF!</v>
      </c>
      <c r="HY87" t="e">
        <f>AND(Liste!#REF!,"AAAAAHPn3eg=")</f>
        <v>#REF!</v>
      </c>
      <c r="HZ87" t="e">
        <f>AND(Liste!#REF!,"AAAAAHPn3ek=")</f>
        <v>#REF!</v>
      </c>
      <c r="IA87" t="e">
        <f>AND(Liste!#REF!,"AAAAAHPn3eo=")</f>
        <v>#REF!</v>
      </c>
      <c r="IB87" t="e">
        <f>AND(Liste!#REF!,"AAAAAHPn3es=")</f>
        <v>#REF!</v>
      </c>
      <c r="IC87" t="e">
        <f>AND(Liste!#REF!,"AAAAAHPn3ew=")</f>
        <v>#REF!</v>
      </c>
      <c r="ID87" t="e">
        <f>AND(Liste!#REF!,"AAAAAHPn3e0=")</f>
        <v>#REF!</v>
      </c>
      <c r="IE87" t="e">
        <f>AND(Liste!#REF!,"AAAAAHPn3e4=")</f>
        <v>#REF!</v>
      </c>
      <c r="IF87" t="e">
        <f>AND(Liste!#REF!,"AAAAAHPn3e8=")</f>
        <v>#REF!</v>
      </c>
      <c r="IG87" t="e">
        <f>AND(Liste!#REF!,"AAAAAHPn3fA=")</f>
        <v>#REF!</v>
      </c>
      <c r="IH87" t="e">
        <f>AND(Liste!#REF!,"AAAAAHPn3fE=")</f>
        <v>#REF!</v>
      </c>
      <c r="II87" t="e">
        <f>IF(Liste!#REF!,"AAAAAHPn3fI=",0)</f>
        <v>#REF!</v>
      </c>
      <c r="IJ87" t="e">
        <f>AND(Liste!#REF!,"AAAAAHPn3fM=")</f>
        <v>#REF!</v>
      </c>
      <c r="IK87" t="e">
        <f>AND(Liste!#REF!,"AAAAAHPn3fQ=")</f>
        <v>#REF!</v>
      </c>
      <c r="IL87" t="e">
        <f>AND(Liste!#REF!,"AAAAAHPn3fU=")</f>
        <v>#REF!</v>
      </c>
      <c r="IM87" t="e">
        <f>AND(Liste!#REF!,"AAAAAHPn3fY=")</f>
        <v>#REF!</v>
      </c>
      <c r="IN87" t="e">
        <f>AND(Liste!#REF!,"AAAAAHPn3fc=")</f>
        <v>#REF!</v>
      </c>
      <c r="IO87" t="e">
        <f>AND(Liste!#REF!,"AAAAAHPn3fg=")</f>
        <v>#REF!</v>
      </c>
      <c r="IP87" t="e">
        <f>AND(Liste!#REF!,"AAAAAHPn3fk=")</f>
        <v>#REF!</v>
      </c>
      <c r="IQ87" t="e">
        <f>AND(Liste!#REF!,"AAAAAHPn3fo=")</f>
        <v>#REF!</v>
      </c>
      <c r="IR87" t="e">
        <f>AND(Liste!#REF!,"AAAAAHPn3fs=")</f>
        <v>#REF!</v>
      </c>
      <c r="IS87" t="e">
        <f>AND(Liste!#REF!,"AAAAAHPn3fw=")</f>
        <v>#REF!</v>
      </c>
      <c r="IT87" t="e">
        <f>AND(Liste!#REF!,"AAAAAHPn3f0=")</f>
        <v>#REF!</v>
      </c>
      <c r="IU87" t="e">
        <f>AND(Liste!#REF!,"AAAAAHPn3f4=")</f>
        <v>#REF!</v>
      </c>
      <c r="IV87" t="e">
        <f>AND(Liste!#REF!,"AAAAAHPn3f8=")</f>
        <v>#REF!</v>
      </c>
    </row>
    <row r="88" spans="1:256" x14ac:dyDescent="0.2">
      <c r="A88" t="e">
        <f>AND(Liste!#REF!,"AAAAAH/77wA=")</f>
        <v>#REF!</v>
      </c>
      <c r="B88" t="e">
        <f>AND(Liste!#REF!,"AAAAAH/77wE=")</f>
        <v>#REF!</v>
      </c>
      <c r="C88" t="e">
        <f>AND(Liste!#REF!,"AAAAAH/77wI=")</f>
        <v>#REF!</v>
      </c>
      <c r="D88" t="e">
        <f>AND(Liste!#REF!,"AAAAAH/77wM=")</f>
        <v>#REF!</v>
      </c>
      <c r="E88" t="e">
        <f>AND(Liste!#REF!,"AAAAAH/77wQ=")</f>
        <v>#REF!</v>
      </c>
      <c r="F88" t="e">
        <f>AND(Liste!#REF!,"AAAAAH/77wU=")</f>
        <v>#REF!</v>
      </c>
      <c r="G88" t="e">
        <f>AND(Liste!#REF!,"AAAAAH/77wY=")</f>
        <v>#REF!</v>
      </c>
      <c r="H88" t="e">
        <f>AND(Liste!#REF!,"AAAAAH/77wc=")</f>
        <v>#REF!</v>
      </c>
      <c r="I88" t="e">
        <f>AND(Liste!#REF!,"AAAAAH/77wg=")</f>
        <v>#REF!</v>
      </c>
      <c r="J88" t="e">
        <f>AND(Liste!#REF!,"AAAAAH/77wk=")</f>
        <v>#REF!</v>
      </c>
      <c r="K88" t="e">
        <f>AND(Liste!#REF!,"AAAAAH/77wo=")</f>
        <v>#REF!</v>
      </c>
      <c r="L88" t="e">
        <f>AND(Liste!#REF!,"AAAAAH/77ws=")</f>
        <v>#REF!</v>
      </c>
      <c r="M88" t="e">
        <f>AND(Liste!#REF!,"AAAAAH/77ww=")</f>
        <v>#REF!</v>
      </c>
      <c r="N88" t="e">
        <f>AND(Liste!#REF!,"AAAAAH/77w0=")</f>
        <v>#REF!</v>
      </c>
      <c r="O88" t="e">
        <f>AND(Liste!#REF!,"AAAAAH/77w4=")</f>
        <v>#REF!</v>
      </c>
      <c r="P88" t="e">
        <f>AND(Liste!#REF!,"AAAAAH/77w8=")</f>
        <v>#REF!</v>
      </c>
      <c r="Q88" t="e">
        <f>AND(Liste!#REF!,"AAAAAH/77xA=")</f>
        <v>#REF!</v>
      </c>
      <c r="R88" t="e">
        <f>IF(Liste!#REF!,"AAAAAH/77xE=",0)</f>
        <v>#REF!</v>
      </c>
      <c r="S88" t="e">
        <f>AND(Liste!#REF!,"AAAAAH/77xI=")</f>
        <v>#REF!</v>
      </c>
      <c r="T88" t="e">
        <f>AND(Liste!#REF!,"AAAAAH/77xM=")</f>
        <v>#REF!</v>
      </c>
      <c r="U88" t="e">
        <f>AND(Liste!#REF!,"AAAAAH/77xQ=")</f>
        <v>#REF!</v>
      </c>
      <c r="V88" t="e">
        <f>AND(Liste!#REF!,"AAAAAH/77xU=")</f>
        <v>#REF!</v>
      </c>
      <c r="W88" t="e">
        <f>AND(Liste!#REF!,"AAAAAH/77xY=")</f>
        <v>#REF!</v>
      </c>
      <c r="X88" t="e">
        <f>AND(Liste!#REF!,"AAAAAH/77xc=")</f>
        <v>#REF!</v>
      </c>
      <c r="Y88" t="e">
        <f>AND(Liste!#REF!,"AAAAAH/77xg=")</f>
        <v>#REF!</v>
      </c>
      <c r="Z88" t="e">
        <f>AND(Liste!#REF!,"AAAAAH/77xk=")</f>
        <v>#REF!</v>
      </c>
      <c r="AA88" t="e">
        <f>AND(Liste!#REF!,"AAAAAH/77xo=")</f>
        <v>#REF!</v>
      </c>
      <c r="AB88" t="e">
        <f>AND(Liste!#REF!,"AAAAAH/77xs=")</f>
        <v>#REF!</v>
      </c>
      <c r="AC88" t="e">
        <f>AND(Liste!#REF!,"AAAAAH/77xw=")</f>
        <v>#REF!</v>
      </c>
      <c r="AD88" t="e">
        <f>AND(Liste!#REF!,"AAAAAH/77x0=")</f>
        <v>#REF!</v>
      </c>
      <c r="AE88" t="e">
        <f>AND(Liste!#REF!,"AAAAAH/77x4=")</f>
        <v>#REF!</v>
      </c>
      <c r="AF88" t="e">
        <f>AND(Liste!#REF!,"AAAAAH/77x8=")</f>
        <v>#REF!</v>
      </c>
      <c r="AG88" t="e">
        <f>AND(Liste!#REF!,"AAAAAH/77yA=")</f>
        <v>#REF!</v>
      </c>
      <c r="AH88" t="e">
        <f>AND(Liste!#REF!,"AAAAAH/77yE=")</f>
        <v>#REF!</v>
      </c>
      <c r="AI88" t="e">
        <f>AND(Liste!#REF!,"AAAAAH/77yI=")</f>
        <v>#REF!</v>
      </c>
      <c r="AJ88" t="e">
        <f>AND(Liste!#REF!,"AAAAAH/77yM=")</f>
        <v>#REF!</v>
      </c>
      <c r="AK88" t="e">
        <f>AND(Liste!#REF!,"AAAAAH/77yQ=")</f>
        <v>#REF!</v>
      </c>
      <c r="AL88" t="e">
        <f>AND(Liste!#REF!,"AAAAAH/77yU=")</f>
        <v>#REF!</v>
      </c>
      <c r="AM88" t="e">
        <f>AND(Liste!#REF!,"AAAAAH/77yY=")</f>
        <v>#REF!</v>
      </c>
      <c r="AN88" t="e">
        <f>AND(Liste!#REF!,"AAAAAH/77yc=")</f>
        <v>#REF!</v>
      </c>
      <c r="AO88" t="e">
        <f>AND(Liste!#REF!,"AAAAAH/77yg=")</f>
        <v>#REF!</v>
      </c>
      <c r="AP88" t="e">
        <f>AND(Liste!#REF!,"AAAAAH/77yk=")</f>
        <v>#REF!</v>
      </c>
      <c r="AQ88" t="e">
        <f>AND(Liste!#REF!,"AAAAAH/77yo=")</f>
        <v>#REF!</v>
      </c>
      <c r="AR88" t="e">
        <f>AND(Liste!#REF!,"AAAAAH/77ys=")</f>
        <v>#REF!</v>
      </c>
      <c r="AS88" t="e">
        <f>AND(Liste!#REF!,"AAAAAH/77yw=")</f>
        <v>#REF!</v>
      </c>
      <c r="AT88" t="e">
        <f>AND(Liste!#REF!,"AAAAAH/77y0=")</f>
        <v>#REF!</v>
      </c>
      <c r="AU88" t="e">
        <f>AND(Liste!#REF!,"AAAAAH/77y4=")</f>
        <v>#REF!</v>
      </c>
      <c r="AV88" t="e">
        <f>AND(Liste!#REF!,"AAAAAH/77y8=")</f>
        <v>#REF!</v>
      </c>
      <c r="AW88" t="e">
        <f>IF(Liste!#REF!,"AAAAAH/77zA=",0)</f>
        <v>#REF!</v>
      </c>
      <c r="AX88" t="e">
        <f>AND(Liste!#REF!,"AAAAAH/77zE=")</f>
        <v>#REF!</v>
      </c>
      <c r="AY88" t="e">
        <f>AND(Liste!#REF!,"AAAAAH/77zI=")</f>
        <v>#REF!</v>
      </c>
      <c r="AZ88" t="e">
        <f>AND(Liste!#REF!,"AAAAAH/77zM=")</f>
        <v>#REF!</v>
      </c>
      <c r="BA88" t="e">
        <f>AND(Liste!#REF!,"AAAAAH/77zQ=")</f>
        <v>#REF!</v>
      </c>
      <c r="BB88" t="e">
        <f>AND(Liste!#REF!,"AAAAAH/77zU=")</f>
        <v>#REF!</v>
      </c>
      <c r="BC88" t="e">
        <f>AND(Liste!#REF!,"AAAAAH/77zY=")</f>
        <v>#REF!</v>
      </c>
      <c r="BD88" t="e">
        <f>AND(Liste!#REF!,"AAAAAH/77zc=")</f>
        <v>#REF!</v>
      </c>
      <c r="BE88" t="e">
        <f>AND(Liste!#REF!,"AAAAAH/77zg=")</f>
        <v>#REF!</v>
      </c>
      <c r="BF88" t="e">
        <f>AND(Liste!#REF!,"AAAAAH/77zk=")</f>
        <v>#REF!</v>
      </c>
      <c r="BG88" t="e">
        <f>AND(Liste!#REF!,"AAAAAH/77zo=")</f>
        <v>#REF!</v>
      </c>
      <c r="BH88" t="e">
        <f>AND(Liste!#REF!,"AAAAAH/77zs=")</f>
        <v>#REF!</v>
      </c>
      <c r="BI88" t="e">
        <f>AND(Liste!#REF!,"AAAAAH/77zw=")</f>
        <v>#REF!</v>
      </c>
      <c r="BJ88" t="e">
        <f>AND(Liste!#REF!,"AAAAAH/77z0=")</f>
        <v>#REF!</v>
      </c>
      <c r="BK88" t="e">
        <f>AND(Liste!#REF!,"AAAAAH/77z4=")</f>
        <v>#REF!</v>
      </c>
      <c r="BL88" t="e">
        <f>AND(Liste!#REF!,"AAAAAH/77z8=")</f>
        <v>#REF!</v>
      </c>
      <c r="BM88" t="e">
        <f>AND(Liste!#REF!,"AAAAAH/770A=")</f>
        <v>#REF!</v>
      </c>
      <c r="BN88" t="e">
        <f>AND(Liste!#REF!,"AAAAAH/770E=")</f>
        <v>#REF!</v>
      </c>
      <c r="BO88" t="e">
        <f>AND(Liste!#REF!,"AAAAAH/770I=")</f>
        <v>#REF!</v>
      </c>
      <c r="BP88" t="e">
        <f>AND(Liste!#REF!,"AAAAAH/770M=")</f>
        <v>#REF!</v>
      </c>
      <c r="BQ88" t="e">
        <f>AND(Liste!#REF!,"AAAAAH/770Q=")</f>
        <v>#REF!</v>
      </c>
      <c r="BR88" t="e">
        <f>AND(Liste!#REF!,"AAAAAH/770U=")</f>
        <v>#REF!</v>
      </c>
      <c r="BS88" t="e">
        <f>AND(Liste!#REF!,"AAAAAH/770Y=")</f>
        <v>#REF!</v>
      </c>
      <c r="BT88" t="e">
        <f>AND(Liste!#REF!,"AAAAAH/770c=")</f>
        <v>#REF!</v>
      </c>
      <c r="BU88" t="e">
        <f>AND(Liste!#REF!,"AAAAAH/770g=")</f>
        <v>#REF!</v>
      </c>
      <c r="BV88" t="e">
        <f>AND(Liste!#REF!,"AAAAAH/770k=")</f>
        <v>#REF!</v>
      </c>
      <c r="BW88" t="e">
        <f>AND(Liste!#REF!,"AAAAAH/770o=")</f>
        <v>#REF!</v>
      </c>
      <c r="BX88" t="e">
        <f>AND(Liste!#REF!,"AAAAAH/770s=")</f>
        <v>#REF!</v>
      </c>
      <c r="BY88" t="e">
        <f>AND(Liste!#REF!,"AAAAAH/770w=")</f>
        <v>#REF!</v>
      </c>
      <c r="BZ88" t="e">
        <f>AND(Liste!#REF!,"AAAAAH/7700=")</f>
        <v>#REF!</v>
      </c>
      <c r="CA88" t="e">
        <f>AND(Liste!#REF!,"AAAAAH/7704=")</f>
        <v>#REF!</v>
      </c>
      <c r="CB88" t="e">
        <f>IF(Liste!#REF!,"AAAAAH/7708=",0)</f>
        <v>#REF!</v>
      </c>
      <c r="CC88" t="e">
        <f>AND(Liste!#REF!,"AAAAAH/771A=")</f>
        <v>#REF!</v>
      </c>
      <c r="CD88" t="e">
        <f>AND(Liste!#REF!,"AAAAAH/771E=")</f>
        <v>#REF!</v>
      </c>
      <c r="CE88" t="e">
        <f>AND(Liste!#REF!,"AAAAAH/771I=")</f>
        <v>#REF!</v>
      </c>
      <c r="CF88" t="e">
        <f>AND(Liste!#REF!,"AAAAAH/771M=")</f>
        <v>#REF!</v>
      </c>
      <c r="CG88" t="e">
        <f>AND(Liste!#REF!,"AAAAAH/771Q=")</f>
        <v>#REF!</v>
      </c>
      <c r="CH88" t="e">
        <f>AND(Liste!#REF!,"AAAAAH/771U=")</f>
        <v>#REF!</v>
      </c>
      <c r="CI88" t="e">
        <f>AND(Liste!#REF!,"AAAAAH/771Y=")</f>
        <v>#REF!</v>
      </c>
      <c r="CJ88" t="e">
        <f>AND(Liste!#REF!,"AAAAAH/771c=")</f>
        <v>#REF!</v>
      </c>
      <c r="CK88" t="e">
        <f>AND(Liste!#REF!,"AAAAAH/771g=")</f>
        <v>#REF!</v>
      </c>
      <c r="CL88" t="e">
        <f>AND(Liste!#REF!,"AAAAAH/771k=")</f>
        <v>#REF!</v>
      </c>
      <c r="CM88" t="e">
        <f>AND(Liste!#REF!,"AAAAAH/771o=")</f>
        <v>#REF!</v>
      </c>
      <c r="CN88" t="e">
        <f>AND(Liste!#REF!,"AAAAAH/771s=")</f>
        <v>#REF!</v>
      </c>
      <c r="CO88" t="e">
        <f>AND(Liste!#REF!,"AAAAAH/771w=")</f>
        <v>#REF!</v>
      </c>
      <c r="CP88" t="e">
        <f>AND(Liste!#REF!,"AAAAAH/7710=")</f>
        <v>#REF!</v>
      </c>
      <c r="CQ88" t="e">
        <f>AND(Liste!#REF!,"AAAAAH/7714=")</f>
        <v>#REF!</v>
      </c>
      <c r="CR88" t="e">
        <f>AND(Liste!#REF!,"AAAAAH/7718=")</f>
        <v>#REF!</v>
      </c>
      <c r="CS88" t="e">
        <f>AND(Liste!#REF!,"AAAAAH/772A=")</f>
        <v>#REF!</v>
      </c>
      <c r="CT88" t="e">
        <f>AND(Liste!#REF!,"AAAAAH/772E=")</f>
        <v>#REF!</v>
      </c>
      <c r="CU88" t="e">
        <f>AND(Liste!#REF!,"AAAAAH/772I=")</f>
        <v>#REF!</v>
      </c>
      <c r="CV88" t="e">
        <f>AND(Liste!#REF!,"AAAAAH/772M=")</f>
        <v>#REF!</v>
      </c>
      <c r="CW88" t="e">
        <f>AND(Liste!#REF!,"AAAAAH/772Q=")</f>
        <v>#REF!</v>
      </c>
      <c r="CX88" t="e">
        <f>AND(Liste!#REF!,"AAAAAH/772U=")</f>
        <v>#REF!</v>
      </c>
      <c r="CY88" t="e">
        <f>AND(Liste!#REF!,"AAAAAH/772Y=")</f>
        <v>#REF!</v>
      </c>
      <c r="CZ88" t="e">
        <f>AND(Liste!#REF!,"AAAAAH/772c=")</f>
        <v>#REF!</v>
      </c>
      <c r="DA88" t="e">
        <f>AND(Liste!#REF!,"AAAAAH/772g=")</f>
        <v>#REF!</v>
      </c>
      <c r="DB88" t="e">
        <f>AND(Liste!#REF!,"AAAAAH/772k=")</f>
        <v>#REF!</v>
      </c>
      <c r="DC88" t="e">
        <f>AND(Liste!#REF!,"AAAAAH/772o=")</f>
        <v>#REF!</v>
      </c>
      <c r="DD88" t="e">
        <f>AND(Liste!#REF!,"AAAAAH/772s=")</f>
        <v>#REF!</v>
      </c>
      <c r="DE88" t="e">
        <f>AND(Liste!#REF!,"AAAAAH/772w=")</f>
        <v>#REF!</v>
      </c>
      <c r="DF88" t="e">
        <f>AND(Liste!#REF!,"AAAAAH/7720=")</f>
        <v>#REF!</v>
      </c>
      <c r="DG88" t="e">
        <f>IF(Liste!#REF!,"AAAAAH/7724=",0)</f>
        <v>#REF!</v>
      </c>
      <c r="DH88" t="e">
        <f>AND(Liste!#REF!,"AAAAAH/7728=")</f>
        <v>#REF!</v>
      </c>
      <c r="DI88" t="e">
        <f>AND(Liste!#REF!,"AAAAAH/773A=")</f>
        <v>#REF!</v>
      </c>
      <c r="DJ88" t="e">
        <f>AND(Liste!#REF!,"AAAAAH/773E=")</f>
        <v>#REF!</v>
      </c>
      <c r="DK88" t="e">
        <f>AND(Liste!#REF!,"AAAAAH/773I=")</f>
        <v>#REF!</v>
      </c>
      <c r="DL88" t="e">
        <f>AND(Liste!#REF!,"AAAAAH/773M=")</f>
        <v>#REF!</v>
      </c>
      <c r="DM88" t="e">
        <f>AND(Liste!#REF!,"AAAAAH/773Q=")</f>
        <v>#REF!</v>
      </c>
      <c r="DN88" t="e">
        <f>AND(Liste!#REF!,"AAAAAH/773U=")</f>
        <v>#REF!</v>
      </c>
      <c r="DO88" t="e">
        <f>AND(Liste!#REF!,"AAAAAH/773Y=")</f>
        <v>#REF!</v>
      </c>
      <c r="DP88" t="e">
        <f>AND(Liste!#REF!,"AAAAAH/773c=")</f>
        <v>#REF!</v>
      </c>
      <c r="DQ88" t="e">
        <f>AND(Liste!#REF!,"AAAAAH/773g=")</f>
        <v>#REF!</v>
      </c>
      <c r="DR88" t="e">
        <f>AND(Liste!#REF!,"AAAAAH/773k=")</f>
        <v>#REF!</v>
      </c>
      <c r="DS88" t="e">
        <f>AND(Liste!#REF!,"AAAAAH/773o=")</f>
        <v>#REF!</v>
      </c>
      <c r="DT88" t="e">
        <f>AND(Liste!#REF!,"AAAAAH/773s=")</f>
        <v>#REF!</v>
      </c>
      <c r="DU88" t="e">
        <f>AND(Liste!#REF!,"AAAAAH/773w=")</f>
        <v>#REF!</v>
      </c>
      <c r="DV88" t="e">
        <f>AND(Liste!#REF!,"AAAAAH/7730=")</f>
        <v>#REF!</v>
      </c>
      <c r="DW88" t="e">
        <f>AND(Liste!#REF!,"AAAAAH/7734=")</f>
        <v>#REF!</v>
      </c>
      <c r="DX88" t="e">
        <f>AND(Liste!#REF!,"AAAAAH/7738=")</f>
        <v>#REF!</v>
      </c>
      <c r="DY88" t="e">
        <f>AND(Liste!#REF!,"AAAAAH/774A=")</f>
        <v>#REF!</v>
      </c>
      <c r="DZ88" t="e">
        <f>AND(Liste!#REF!,"AAAAAH/774E=")</f>
        <v>#REF!</v>
      </c>
      <c r="EA88" t="e">
        <f>AND(Liste!#REF!,"AAAAAH/774I=")</f>
        <v>#REF!</v>
      </c>
      <c r="EB88" t="e">
        <f>AND(Liste!#REF!,"AAAAAH/774M=")</f>
        <v>#REF!</v>
      </c>
      <c r="EC88" t="e">
        <f>AND(Liste!#REF!,"AAAAAH/774Q=")</f>
        <v>#REF!</v>
      </c>
      <c r="ED88" t="e">
        <f>AND(Liste!#REF!,"AAAAAH/774U=")</f>
        <v>#REF!</v>
      </c>
      <c r="EE88" t="e">
        <f>AND(Liste!#REF!,"AAAAAH/774Y=")</f>
        <v>#REF!</v>
      </c>
      <c r="EF88" t="e">
        <f>AND(Liste!#REF!,"AAAAAH/774c=")</f>
        <v>#REF!</v>
      </c>
      <c r="EG88" t="e">
        <f>AND(Liste!#REF!,"AAAAAH/774g=")</f>
        <v>#REF!</v>
      </c>
      <c r="EH88" t="e">
        <f>AND(Liste!#REF!,"AAAAAH/774k=")</f>
        <v>#REF!</v>
      </c>
      <c r="EI88" t="e">
        <f>AND(Liste!#REF!,"AAAAAH/774o=")</f>
        <v>#REF!</v>
      </c>
      <c r="EJ88" t="e">
        <f>AND(Liste!#REF!,"AAAAAH/774s=")</f>
        <v>#REF!</v>
      </c>
      <c r="EK88" t="e">
        <f>AND(Liste!#REF!,"AAAAAH/774w=")</f>
        <v>#REF!</v>
      </c>
      <c r="EL88" t="e">
        <f>IF(Liste!#REF!,"AAAAAH/7740=",0)</f>
        <v>#REF!</v>
      </c>
      <c r="EM88" t="e">
        <f>AND(Liste!#REF!,"AAAAAH/7744=")</f>
        <v>#REF!</v>
      </c>
      <c r="EN88" t="e">
        <f>AND(Liste!#REF!,"AAAAAH/7748=")</f>
        <v>#REF!</v>
      </c>
      <c r="EO88" t="e">
        <f>AND(Liste!#REF!,"AAAAAH/775A=")</f>
        <v>#REF!</v>
      </c>
      <c r="EP88" t="e">
        <f>AND(Liste!#REF!,"AAAAAH/775E=")</f>
        <v>#REF!</v>
      </c>
      <c r="EQ88" t="e">
        <f>AND(Liste!#REF!,"AAAAAH/775I=")</f>
        <v>#REF!</v>
      </c>
      <c r="ER88" t="e">
        <f>AND(Liste!#REF!,"AAAAAH/775M=")</f>
        <v>#REF!</v>
      </c>
      <c r="ES88" t="e">
        <f>AND(Liste!#REF!,"AAAAAH/775Q=")</f>
        <v>#REF!</v>
      </c>
      <c r="ET88" t="e">
        <f>AND(Liste!#REF!,"AAAAAH/775U=")</f>
        <v>#REF!</v>
      </c>
      <c r="EU88" t="e">
        <f>AND(Liste!#REF!,"AAAAAH/775Y=")</f>
        <v>#REF!</v>
      </c>
      <c r="EV88" t="e">
        <f>AND(Liste!#REF!,"AAAAAH/775c=")</f>
        <v>#REF!</v>
      </c>
      <c r="EW88" t="e">
        <f>AND(Liste!#REF!,"AAAAAH/775g=")</f>
        <v>#REF!</v>
      </c>
      <c r="EX88" t="e">
        <f>AND(Liste!#REF!,"AAAAAH/775k=")</f>
        <v>#REF!</v>
      </c>
      <c r="EY88" t="e">
        <f>AND(Liste!#REF!,"AAAAAH/775o=")</f>
        <v>#REF!</v>
      </c>
      <c r="EZ88" t="e">
        <f>AND(Liste!#REF!,"AAAAAH/775s=")</f>
        <v>#REF!</v>
      </c>
      <c r="FA88" t="e">
        <f>AND(Liste!#REF!,"AAAAAH/775w=")</f>
        <v>#REF!</v>
      </c>
      <c r="FB88" t="e">
        <f>AND(Liste!#REF!,"AAAAAH/7750=")</f>
        <v>#REF!</v>
      </c>
      <c r="FC88" t="e">
        <f>AND(Liste!#REF!,"AAAAAH/7754=")</f>
        <v>#REF!</v>
      </c>
      <c r="FD88" t="e">
        <f>AND(Liste!#REF!,"AAAAAH/7758=")</f>
        <v>#REF!</v>
      </c>
      <c r="FE88" t="e">
        <f>AND(Liste!#REF!,"AAAAAH/776A=")</f>
        <v>#REF!</v>
      </c>
      <c r="FF88" t="e">
        <f>AND(Liste!#REF!,"AAAAAH/776E=")</f>
        <v>#REF!</v>
      </c>
      <c r="FG88" t="e">
        <f>AND(Liste!#REF!,"AAAAAH/776I=")</f>
        <v>#REF!</v>
      </c>
      <c r="FH88" t="e">
        <f>AND(Liste!#REF!,"AAAAAH/776M=")</f>
        <v>#REF!</v>
      </c>
      <c r="FI88" t="e">
        <f>AND(Liste!#REF!,"AAAAAH/776Q=")</f>
        <v>#REF!</v>
      </c>
      <c r="FJ88" t="e">
        <f>AND(Liste!#REF!,"AAAAAH/776U=")</f>
        <v>#REF!</v>
      </c>
      <c r="FK88" t="e">
        <f>AND(Liste!#REF!,"AAAAAH/776Y=")</f>
        <v>#REF!</v>
      </c>
      <c r="FL88" t="e">
        <f>AND(Liste!#REF!,"AAAAAH/776c=")</f>
        <v>#REF!</v>
      </c>
      <c r="FM88" t="e">
        <f>AND(Liste!#REF!,"AAAAAH/776g=")</f>
        <v>#REF!</v>
      </c>
      <c r="FN88" t="e">
        <f>AND(Liste!#REF!,"AAAAAH/776k=")</f>
        <v>#REF!</v>
      </c>
      <c r="FO88" t="e">
        <f>AND(Liste!#REF!,"AAAAAH/776o=")</f>
        <v>#REF!</v>
      </c>
      <c r="FP88" t="e">
        <f>AND(Liste!#REF!,"AAAAAH/776s=")</f>
        <v>#REF!</v>
      </c>
      <c r="FQ88" t="e">
        <f>IF(Liste!#REF!,"AAAAAH/776w=",0)</f>
        <v>#REF!</v>
      </c>
      <c r="FR88" t="e">
        <f>AND(Liste!#REF!,"AAAAAH/7760=")</f>
        <v>#REF!</v>
      </c>
      <c r="FS88" t="e">
        <f>AND(Liste!#REF!,"AAAAAH/7764=")</f>
        <v>#REF!</v>
      </c>
      <c r="FT88" t="e">
        <f>AND(Liste!#REF!,"AAAAAH/7768=")</f>
        <v>#REF!</v>
      </c>
      <c r="FU88" t="e">
        <f>AND(Liste!#REF!,"AAAAAH/777A=")</f>
        <v>#REF!</v>
      </c>
      <c r="FV88" t="e">
        <f>AND(Liste!#REF!,"AAAAAH/777E=")</f>
        <v>#REF!</v>
      </c>
      <c r="FW88" t="e">
        <f>AND(Liste!#REF!,"AAAAAH/777I=")</f>
        <v>#REF!</v>
      </c>
      <c r="FX88" t="e">
        <f>AND(Liste!#REF!,"AAAAAH/777M=")</f>
        <v>#REF!</v>
      </c>
      <c r="FY88" t="e">
        <f>AND(Liste!#REF!,"AAAAAH/777Q=")</f>
        <v>#REF!</v>
      </c>
      <c r="FZ88" t="e">
        <f>AND(Liste!#REF!,"AAAAAH/777U=")</f>
        <v>#REF!</v>
      </c>
      <c r="GA88" t="e">
        <f>AND(Liste!#REF!,"AAAAAH/777Y=")</f>
        <v>#REF!</v>
      </c>
      <c r="GB88" t="e">
        <f>AND(Liste!#REF!,"AAAAAH/777c=")</f>
        <v>#REF!</v>
      </c>
      <c r="GC88" t="e">
        <f>AND(Liste!#REF!,"AAAAAH/777g=")</f>
        <v>#REF!</v>
      </c>
      <c r="GD88" t="e">
        <f>AND(Liste!#REF!,"AAAAAH/777k=")</f>
        <v>#REF!</v>
      </c>
      <c r="GE88" t="e">
        <f>AND(Liste!#REF!,"AAAAAH/777o=")</f>
        <v>#REF!</v>
      </c>
      <c r="GF88" t="e">
        <f>AND(Liste!#REF!,"AAAAAH/777s=")</f>
        <v>#REF!</v>
      </c>
      <c r="GG88" t="e">
        <f>AND(Liste!#REF!,"AAAAAH/777w=")</f>
        <v>#REF!</v>
      </c>
      <c r="GH88" t="e">
        <f>AND(Liste!#REF!,"AAAAAH/7770=")</f>
        <v>#REF!</v>
      </c>
      <c r="GI88" t="e">
        <f>AND(Liste!#REF!,"AAAAAH/7774=")</f>
        <v>#REF!</v>
      </c>
      <c r="GJ88" t="e">
        <f>AND(Liste!#REF!,"AAAAAH/7778=")</f>
        <v>#REF!</v>
      </c>
      <c r="GK88" t="e">
        <f>AND(Liste!#REF!,"AAAAAH/778A=")</f>
        <v>#REF!</v>
      </c>
      <c r="GL88" t="e">
        <f>AND(Liste!#REF!,"AAAAAH/778E=")</f>
        <v>#REF!</v>
      </c>
      <c r="GM88" t="e">
        <f>AND(Liste!#REF!,"AAAAAH/778I=")</f>
        <v>#REF!</v>
      </c>
      <c r="GN88" t="e">
        <f>AND(Liste!#REF!,"AAAAAH/778M=")</f>
        <v>#REF!</v>
      </c>
      <c r="GO88" t="e">
        <f>AND(Liste!#REF!,"AAAAAH/778Q=")</f>
        <v>#REF!</v>
      </c>
      <c r="GP88" t="e">
        <f>AND(Liste!#REF!,"AAAAAH/778U=")</f>
        <v>#REF!</v>
      </c>
      <c r="GQ88" t="e">
        <f>AND(Liste!#REF!,"AAAAAH/778Y=")</f>
        <v>#REF!</v>
      </c>
      <c r="GR88" t="e">
        <f>AND(Liste!#REF!,"AAAAAH/778c=")</f>
        <v>#REF!</v>
      </c>
      <c r="GS88" t="e">
        <f>AND(Liste!#REF!,"AAAAAH/778g=")</f>
        <v>#REF!</v>
      </c>
      <c r="GT88" t="e">
        <f>AND(Liste!#REF!,"AAAAAH/778k=")</f>
        <v>#REF!</v>
      </c>
      <c r="GU88" t="e">
        <f>AND(Liste!#REF!,"AAAAAH/778o=")</f>
        <v>#REF!</v>
      </c>
      <c r="GV88" t="e">
        <f>IF(Liste!#REF!,"AAAAAH/778s=",0)</f>
        <v>#REF!</v>
      </c>
      <c r="GW88" t="e">
        <f>AND(Liste!#REF!,"AAAAAH/778w=")</f>
        <v>#REF!</v>
      </c>
      <c r="GX88" t="e">
        <f>AND(Liste!#REF!,"AAAAAH/7780=")</f>
        <v>#REF!</v>
      </c>
      <c r="GY88" t="e">
        <f>AND(Liste!#REF!,"AAAAAH/7784=")</f>
        <v>#REF!</v>
      </c>
      <c r="GZ88" t="e">
        <f>AND(Liste!#REF!,"AAAAAH/7788=")</f>
        <v>#REF!</v>
      </c>
      <c r="HA88" t="e">
        <f>AND(Liste!#REF!,"AAAAAH/779A=")</f>
        <v>#REF!</v>
      </c>
      <c r="HB88" t="e">
        <f>AND(Liste!#REF!,"AAAAAH/779E=")</f>
        <v>#REF!</v>
      </c>
      <c r="HC88" t="e">
        <f>AND(Liste!#REF!,"AAAAAH/779I=")</f>
        <v>#REF!</v>
      </c>
      <c r="HD88" t="e">
        <f>AND(Liste!#REF!,"AAAAAH/779M=")</f>
        <v>#REF!</v>
      </c>
      <c r="HE88" t="e">
        <f>AND(Liste!#REF!,"AAAAAH/779Q=")</f>
        <v>#REF!</v>
      </c>
      <c r="HF88" t="e">
        <f>AND(Liste!#REF!,"AAAAAH/779U=")</f>
        <v>#REF!</v>
      </c>
      <c r="HG88" t="e">
        <f>AND(Liste!#REF!,"AAAAAH/779Y=")</f>
        <v>#REF!</v>
      </c>
      <c r="HH88" t="e">
        <f>AND(Liste!#REF!,"AAAAAH/779c=")</f>
        <v>#REF!</v>
      </c>
      <c r="HI88" t="e">
        <f>AND(Liste!#REF!,"AAAAAH/779g=")</f>
        <v>#REF!</v>
      </c>
      <c r="HJ88" t="e">
        <f>AND(Liste!#REF!,"AAAAAH/779k=")</f>
        <v>#REF!</v>
      </c>
      <c r="HK88" t="e">
        <f>AND(Liste!#REF!,"AAAAAH/779o=")</f>
        <v>#REF!</v>
      </c>
      <c r="HL88" t="e">
        <f>AND(Liste!#REF!,"AAAAAH/779s=")</f>
        <v>#REF!</v>
      </c>
      <c r="HM88" t="e">
        <f>AND(Liste!#REF!,"AAAAAH/779w=")</f>
        <v>#REF!</v>
      </c>
      <c r="HN88" t="e">
        <f>AND(Liste!#REF!,"AAAAAH/7790=")</f>
        <v>#REF!</v>
      </c>
      <c r="HO88" t="e">
        <f>AND(Liste!#REF!,"AAAAAH/7794=")</f>
        <v>#REF!</v>
      </c>
      <c r="HP88" t="e">
        <f>AND(Liste!#REF!,"AAAAAH/7798=")</f>
        <v>#REF!</v>
      </c>
      <c r="HQ88" t="e">
        <f>AND(Liste!#REF!,"AAAAAH/77+A=")</f>
        <v>#REF!</v>
      </c>
      <c r="HR88" t="e">
        <f>AND(Liste!#REF!,"AAAAAH/77+E=")</f>
        <v>#REF!</v>
      </c>
      <c r="HS88" t="e">
        <f>AND(Liste!#REF!,"AAAAAH/77+I=")</f>
        <v>#REF!</v>
      </c>
      <c r="HT88" t="e">
        <f>AND(Liste!#REF!,"AAAAAH/77+M=")</f>
        <v>#REF!</v>
      </c>
      <c r="HU88" t="e">
        <f>AND(Liste!#REF!,"AAAAAH/77+Q=")</f>
        <v>#REF!</v>
      </c>
      <c r="HV88" t="e">
        <f>AND(Liste!#REF!,"AAAAAH/77+U=")</f>
        <v>#REF!</v>
      </c>
      <c r="HW88" t="e">
        <f>AND(Liste!#REF!,"AAAAAH/77+Y=")</f>
        <v>#REF!</v>
      </c>
      <c r="HX88" t="e">
        <f>AND(Liste!#REF!,"AAAAAH/77+c=")</f>
        <v>#REF!</v>
      </c>
      <c r="HY88" t="e">
        <f>AND(Liste!#REF!,"AAAAAH/77+g=")</f>
        <v>#REF!</v>
      </c>
      <c r="HZ88" t="e">
        <f>AND(Liste!#REF!,"AAAAAH/77+k=")</f>
        <v>#REF!</v>
      </c>
      <c r="IA88" t="e">
        <f>IF(Liste!#REF!,"AAAAAH/77+o=",0)</f>
        <v>#REF!</v>
      </c>
      <c r="IB88" t="e">
        <f>AND(Liste!#REF!,"AAAAAH/77+s=")</f>
        <v>#REF!</v>
      </c>
      <c r="IC88" t="e">
        <f>AND(Liste!#REF!,"AAAAAH/77+w=")</f>
        <v>#REF!</v>
      </c>
      <c r="ID88" t="e">
        <f>AND(Liste!#REF!,"AAAAAH/77+0=")</f>
        <v>#REF!</v>
      </c>
      <c r="IE88" t="e">
        <f>AND(Liste!#REF!,"AAAAAH/77+4=")</f>
        <v>#REF!</v>
      </c>
      <c r="IF88" t="e">
        <f>AND(Liste!#REF!,"AAAAAH/77+8=")</f>
        <v>#REF!</v>
      </c>
      <c r="IG88" t="e">
        <f>AND(Liste!#REF!,"AAAAAH/77/A=")</f>
        <v>#REF!</v>
      </c>
      <c r="IH88" t="e">
        <f>AND(Liste!#REF!,"AAAAAH/77/E=")</f>
        <v>#REF!</v>
      </c>
      <c r="II88" t="e">
        <f>AND(Liste!#REF!,"AAAAAH/77/I=")</f>
        <v>#REF!</v>
      </c>
      <c r="IJ88" t="e">
        <f>AND(Liste!#REF!,"AAAAAH/77/M=")</f>
        <v>#REF!</v>
      </c>
      <c r="IK88" t="e">
        <f>AND(Liste!#REF!,"AAAAAH/77/Q=")</f>
        <v>#REF!</v>
      </c>
      <c r="IL88" t="e">
        <f>AND(Liste!#REF!,"AAAAAH/77/U=")</f>
        <v>#REF!</v>
      </c>
      <c r="IM88" t="e">
        <f>AND(Liste!#REF!,"AAAAAH/77/Y=")</f>
        <v>#REF!</v>
      </c>
      <c r="IN88" t="e">
        <f>AND(Liste!#REF!,"AAAAAH/77/c=")</f>
        <v>#REF!</v>
      </c>
      <c r="IO88" t="e">
        <f>AND(Liste!#REF!,"AAAAAH/77/g=")</f>
        <v>#REF!</v>
      </c>
      <c r="IP88" t="e">
        <f>AND(Liste!#REF!,"AAAAAH/77/k=")</f>
        <v>#REF!</v>
      </c>
      <c r="IQ88" t="e">
        <f>AND(Liste!#REF!,"AAAAAH/77/o=")</f>
        <v>#REF!</v>
      </c>
      <c r="IR88" t="e">
        <f>AND(Liste!#REF!,"AAAAAH/77/s=")</f>
        <v>#REF!</v>
      </c>
      <c r="IS88" t="e">
        <f>AND(Liste!#REF!,"AAAAAH/77/w=")</f>
        <v>#REF!</v>
      </c>
      <c r="IT88" t="e">
        <f>AND(Liste!#REF!,"AAAAAH/77/0=")</f>
        <v>#REF!</v>
      </c>
      <c r="IU88" t="e">
        <f>AND(Liste!#REF!,"AAAAAH/77/4=")</f>
        <v>#REF!</v>
      </c>
      <c r="IV88" t="e">
        <f>AND(Liste!#REF!,"AAAAAH/77/8=")</f>
        <v>#REF!</v>
      </c>
    </row>
    <row r="89" spans="1:256" x14ac:dyDescent="0.2">
      <c r="A89" t="e">
        <f>AND(Liste!#REF!,"AAAAAHu9WgA=")</f>
        <v>#REF!</v>
      </c>
      <c r="B89" t="e">
        <f>AND(Liste!#REF!,"AAAAAHu9WgE=")</f>
        <v>#REF!</v>
      </c>
      <c r="C89" t="e">
        <f>AND(Liste!#REF!,"AAAAAHu9WgI=")</f>
        <v>#REF!</v>
      </c>
      <c r="D89" t="e">
        <f>AND(Liste!#REF!,"AAAAAHu9WgM=")</f>
        <v>#REF!</v>
      </c>
      <c r="E89" t="e">
        <f>AND(Liste!#REF!,"AAAAAHu9WgQ=")</f>
        <v>#REF!</v>
      </c>
      <c r="F89" t="e">
        <f>AND(Liste!#REF!,"AAAAAHu9WgU=")</f>
        <v>#REF!</v>
      </c>
      <c r="G89" t="e">
        <f>AND(Liste!#REF!,"AAAAAHu9WgY=")</f>
        <v>#REF!</v>
      </c>
      <c r="H89" t="e">
        <f>AND(Liste!#REF!,"AAAAAHu9Wgc=")</f>
        <v>#REF!</v>
      </c>
      <c r="I89" t="e">
        <f>AND(Liste!#REF!,"AAAAAHu9Wgg=")</f>
        <v>#REF!</v>
      </c>
      <c r="J89" t="e">
        <f>IF(Liste!#REF!,"AAAAAHu9Wgk=",0)</f>
        <v>#REF!</v>
      </c>
      <c r="K89" t="e">
        <f>AND(Liste!#REF!,"AAAAAHu9Wgo=")</f>
        <v>#REF!</v>
      </c>
      <c r="L89" t="e">
        <f>AND(Liste!#REF!,"AAAAAHu9Wgs=")</f>
        <v>#REF!</v>
      </c>
      <c r="M89" t="e">
        <f>AND(Liste!#REF!,"AAAAAHu9Wgw=")</f>
        <v>#REF!</v>
      </c>
      <c r="N89" t="e">
        <f>AND(Liste!#REF!,"AAAAAHu9Wg0=")</f>
        <v>#REF!</v>
      </c>
      <c r="O89" t="e">
        <f>AND(Liste!#REF!,"AAAAAHu9Wg4=")</f>
        <v>#REF!</v>
      </c>
      <c r="P89" t="e">
        <f>AND(Liste!#REF!,"AAAAAHu9Wg8=")</f>
        <v>#REF!</v>
      </c>
      <c r="Q89" t="e">
        <f>AND(Liste!#REF!,"AAAAAHu9WhA=")</f>
        <v>#REF!</v>
      </c>
      <c r="R89" t="e">
        <f>AND(Liste!#REF!,"AAAAAHu9WhE=")</f>
        <v>#REF!</v>
      </c>
      <c r="S89" t="e">
        <f>AND(Liste!#REF!,"AAAAAHu9WhI=")</f>
        <v>#REF!</v>
      </c>
      <c r="T89" t="e">
        <f>AND(Liste!#REF!,"AAAAAHu9WhM=")</f>
        <v>#REF!</v>
      </c>
      <c r="U89" t="e">
        <f>AND(Liste!#REF!,"AAAAAHu9WhQ=")</f>
        <v>#REF!</v>
      </c>
      <c r="V89" t="e">
        <f>AND(Liste!#REF!,"AAAAAHu9WhU=")</f>
        <v>#REF!</v>
      </c>
      <c r="W89" t="e">
        <f>AND(Liste!#REF!,"AAAAAHu9WhY=")</f>
        <v>#REF!</v>
      </c>
      <c r="X89" t="e">
        <f>AND(Liste!#REF!,"AAAAAHu9Whc=")</f>
        <v>#REF!</v>
      </c>
      <c r="Y89" t="e">
        <f>AND(Liste!#REF!,"AAAAAHu9Whg=")</f>
        <v>#REF!</v>
      </c>
      <c r="Z89" t="e">
        <f>AND(Liste!#REF!,"AAAAAHu9Whk=")</f>
        <v>#REF!</v>
      </c>
      <c r="AA89" t="e">
        <f>AND(Liste!#REF!,"AAAAAHu9Who=")</f>
        <v>#REF!</v>
      </c>
      <c r="AB89" t="e">
        <f>AND(Liste!#REF!,"AAAAAHu9Whs=")</f>
        <v>#REF!</v>
      </c>
      <c r="AC89" t="e">
        <f>AND(Liste!#REF!,"AAAAAHu9Whw=")</f>
        <v>#REF!</v>
      </c>
      <c r="AD89" t="e">
        <f>AND(Liste!#REF!,"AAAAAHu9Wh0=")</f>
        <v>#REF!</v>
      </c>
      <c r="AE89" t="e">
        <f>AND(Liste!#REF!,"AAAAAHu9Wh4=")</f>
        <v>#REF!</v>
      </c>
      <c r="AF89" t="e">
        <f>AND(Liste!#REF!,"AAAAAHu9Wh8=")</f>
        <v>#REF!</v>
      </c>
      <c r="AG89" t="e">
        <f>AND(Liste!#REF!,"AAAAAHu9WiA=")</f>
        <v>#REF!</v>
      </c>
      <c r="AH89" t="e">
        <f>AND(Liste!#REF!,"AAAAAHu9WiE=")</f>
        <v>#REF!</v>
      </c>
      <c r="AI89" t="e">
        <f>AND(Liste!#REF!,"AAAAAHu9WiI=")</f>
        <v>#REF!</v>
      </c>
      <c r="AJ89" t="e">
        <f>AND(Liste!#REF!,"AAAAAHu9WiM=")</f>
        <v>#REF!</v>
      </c>
      <c r="AK89" t="e">
        <f>AND(Liste!#REF!,"AAAAAHu9WiQ=")</f>
        <v>#REF!</v>
      </c>
      <c r="AL89" t="e">
        <f>AND(Liste!#REF!,"AAAAAHu9WiU=")</f>
        <v>#REF!</v>
      </c>
      <c r="AM89" t="e">
        <f>AND(Liste!#REF!,"AAAAAHu9WiY=")</f>
        <v>#REF!</v>
      </c>
      <c r="AN89" t="e">
        <f>AND(Liste!#REF!,"AAAAAHu9Wic=")</f>
        <v>#REF!</v>
      </c>
      <c r="AO89" t="e">
        <f>IF(Liste!#REF!,"AAAAAHu9Wig=",0)</f>
        <v>#REF!</v>
      </c>
      <c r="AP89" t="e">
        <f>AND(Liste!#REF!,"AAAAAHu9Wik=")</f>
        <v>#REF!</v>
      </c>
      <c r="AQ89" t="e">
        <f>AND(Liste!#REF!,"AAAAAHu9Wio=")</f>
        <v>#REF!</v>
      </c>
      <c r="AR89" t="e">
        <f>AND(Liste!#REF!,"AAAAAHu9Wis=")</f>
        <v>#REF!</v>
      </c>
      <c r="AS89" t="e">
        <f>AND(Liste!#REF!,"AAAAAHu9Wiw=")</f>
        <v>#REF!</v>
      </c>
      <c r="AT89" t="e">
        <f>AND(Liste!#REF!,"AAAAAHu9Wi0=")</f>
        <v>#REF!</v>
      </c>
      <c r="AU89" t="e">
        <f>AND(Liste!#REF!,"AAAAAHu9Wi4=")</f>
        <v>#REF!</v>
      </c>
      <c r="AV89" t="e">
        <f>AND(Liste!#REF!,"AAAAAHu9Wi8=")</f>
        <v>#REF!</v>
      </c>
      <c r="AW89" t="e">
        <f>AND(Liste!#REF!,"AAAAAHu9WjA=")</f>
        <v>#REF!</v>
      </c>
      <c r="AX89" t="e">
        <f>AND(Liste!#REF!,"AAAAAHu9WjE=")</f>
        <v>#REF!</v>
      </c>
      <c r="AY89" t="e">
        <f>AND(Liste!#REF!,"AAAAAHu9WjI=")</f>
        <v>#REF!</v>
      </c>
      <c r="AZ89" t="e">
        <f>AND(Liste!#REF!,"AAAAAHu9WjM=")</f>
        <v>#REF!</v>
      </c>
      <c r="BA89" t="e">
        <f>AND(Liste!#REF!,"AAAAAHu9WjQ=")</f>
        <v>#REF!</v>
      </c>
      <c r="BB89" t="e">
        <f>AND(Liste!#REF!,"AAAAAHu9WjU=")</f>
        <v>#REF!</v>
      </c>
      <c r="BC89" t="e">
        <f>AND(Liste!#REF!,"AAAAAHu9WjY=")</f>
        <v>#REF!</v>
      </c>
      <c r="BD89" t="e">
        <f>AND(Liste!#REF!,"AAAAAHu9Wjc=")</f>
        <v>#REF!</v>
      </c>
      <c r="BE89" t="e">
        <f>AND(Liste!#REF!,"AAAAAHu9Wjg=")</f>
        <v>#REF!</v>
      </c>
      <c r="BF89" t="e">
        <f>AND(Liste!#REF!,"AAAAAHu9Wjk=")</f>
        <v>#REF!</v>
      </c>
      <c r="BG89" t="e">
        <f>AND(Liste!#REF!,"AAAAAHu9Wjo=")</f>
        <v>#REF!</v>
      </c>
      <c r="BH89" t="e">
        <f>AND(Liste!#REF!,"AAAAAHu9Wjs=")</f>
        <v>#REF!</v>
      </c>
      <c r="BI89" t="e">
        <f>AND(Liste!#REF!,"AAAAAHu9Wjw=")</f>
        <v>#REF!</v>
      </c>
      <c r="BJ89" t="e">
        <f>AND(Liste!#REF!,"AAAAAHu9Wj0=")</f>
        <v>#REF!</v>
      </c>
      <c r="BK89" t="e">
        <f>AND(Liste!#REF!,"AAAAAHu9Wj4=")</f>
        <v>#REF!</v>
      </c>
      <c r="BL89" t="e">
        <f>AND(Liste!#REF!,"AAAAAHu9Wj8=")</f>
        <v>#REF!</v>
      </c>
      <c r="BM89" t="e">
        <f>AND(Liste!#REF!,"AAAAAHu9WkA=")</f>
        <v>#REF!</v>
      </c>
      <c r="BN89" t="e">
        <f>AND(Liste!#REF!,"AAAAAHu9WkE=")</f>
        <v>#REF!</v>
      </c>
      <c r="BO89" t="e">
        <f>AND(Liste!#REF!,"AAAAAHu9WkI=")</f>
        <v>#REF!</v>
      </c>
      <c r="BP89" t="e">
        <f>AND(Liste!#REF!,"AAAAAHu9WkM=")</f>
        <v>#REF!</v>
      </c>
      <c r="BQ89" t="e">
        <f>AND(Liste!#REF!,"AAAAAHu9WkQ=")</f>
        <v>#REF!</v>
      </c>
      <c r="BR89" t="e">
        <f>AND(Liste!#REF!,"AAAAAHu9WkU=")</f>
        <v>#REF!</v>
      </c>
      <c r="BS89" t="e">
        <f>AND(Liste!#REF!,"AAAAAHu9WkY=")</f>
        <v>#REF!</v>
      </c>
      <c r="BT89" t="e">
        <f>IF(Liste!#REF!,"AAAAAHu9Wkc=",0)</f>
        <v>#REF!</v>
      </c>
      <c r="BU89" t="e">
        <f>AND(Liste!#REF!,"AAAAAHu9Wkg=")</f>
        <v>#REF!</v>
      </c>
      <c r="BV89" t="e">
        <f>AND(Liste!#REF!,"AAAAAHu9Wkk=")</f>
        <v>#REF!</v>
      </c>
      <c r="BW89" t="e">
        <f>AND(Liste!#REF!,"AAAAAHu9Wko=")</f>
        <v>#REF!</v>
      </c>
      <c r="BX89" t="e">
        <f>AND(Liste!#REF!,"AAAAAHu9Wks=")</f>
        <v>#REF!</v>
      </c>
      <c r="BY89" t="e">
        <f>AND(Liste!#REF!,"AAAAAHu9Wkw=")</f>
        <v>#REF!</v>
      </c>
      <c r="BZ89" t="e">
        <f>AND(Liste!#REF!,"AAAAAHu9Wk0=")</f>
        <v>#REF!</v>
      </c>
      <c r="CA89" t="e">
        <f>AND(Liste!#REF!,"AAAAAHu9Wk4=")</f>
        <v>#REF!</v>
      </c>
      <c r="CB89" t="e">
        <f>AND(Liste!#REF!,"AAAAAHu9Wk8=")</f>
        <v>#REF!</v>
      </c>
      <c r="CC89" t="e">
        <f>AND(Liste!#REF!,"AAAAAHu9WlA=")</f>
        <v>#REF!</v>
      </c>
      <c r="CD89" t="e">
        <f>AND(Liste!#REF!,"AAAAAHu9WlE=")</f>
        <v>#REF!</v>
      </c>
      <c r="CE89" t="e">
        <f>AND(Liste!#REF!,"AAAAAHu9WlI=")</f>
        <v>#REF!</v>
      </c>
      <c r="CF89" t="e">
        <f>AND(Liste!#REF!,"AAAAAHu9WlM=")</f>
        <v>#REF!</v>
      </c>
      <c r="CG89" t="e">
        <f>AND(Liste!#REF!,"AAAAAHu9WlQ=")</f>
        <v>#REF!</v>
      </c>
      <c r="CH89" t="e">
        <f>AND(Liste!#REF!,"AAAAAHu9WlU=")</f>
        <v>#REF!</v>
      </c>
      <c r="CI89" t="e">
        <f>AND(Liste!#REF!,"AAAAAHu9WlY=")</f>
        <v>#REF!</v>
      </c>
      <c r="CJ89" t="e">
        <f>AND(Liste!#REF!,"AAAAAHu9Wlc=")</f>
        <v>#REF!</v>
      </c>
      <c r="CK89" t="e">
        <f>AND(Liste!#REF!,"AAAAAHu9Wlg=")</f>
        <v>#REF!</v>
      </c>
      <c r="CL89" t="e">
        <f>AND(Liste!#REF!,"AAAAAHu9Wlk=")</f>
        <v>#REF!</v>
      </c>
      <c r="CM89" t="e">
        <f>AND(Liste!#REF!,"AAAAAHu9Wlo=")</f>
        <v>#REF!</v>
      </c>
      <c r="CN89" t="e">
        <f>AND(Liste!#REF!,"AAAAAHu9Wls=")</f>
        <v>#REF!</v>
      </c>
      <c r="CO89" t="e">
        <f>AND(Liste!#REF!,"AAAAAHu9Wlw=")</f>
        <v>#REF!</v>
      </c>
      <c r="CP89" t="e">
        <f>AND(Liste!#REF!,"AAAAAHu9Wl0=")</f>
        <v>#REF!</v>
      </c>
      <c r="CQ89" t="e">
        <f>AND(Liste!#REF!,"AAAAAHu9Wl4=")</f>
        <v>#REF!</v>
      </c>
      <c r="CR89" t="e">
        <f>AND(Liste!#REF!,"AAAAAHu9Wl8=")</f>
        <v>#REF!</v>
      </c>
      <c r="CS89" t="e">
        <f>AND(Liste!#REF!,"AAAAAHu9WmA=")</f>
        <v>#REF!</v>
      </c>
      <c r="CT89" t="e">
        <f>AND(Liste!#REF!,"AAAAAHu9WmE=")</f>
        <v>#REF!</v>
      </c>
      <c r="CU89" t="e">
        <f>AND(Liste!#REF!,"AAAAAHu9WmI=")</f>
        <v>#REF!</v>
      </c>
      <c r="CV89" t="e">
        <f>AND(Liste!#REF!,"AAAAAHu9WmM=")</f>
        <v>#REF!</v>
      </c>
      <c r="CW89" t="e">
        <f>AND(Liste!#REF!,"AAAAAHu9WmQ=")</f>
        <v>#REF!</v>
      </c>
      <c r="CX89" t="e">
        <f>AND(Liste!#REF!,"AAAAAHu9WmU=")</f>
        <v>#REF!</v>
      </c>
      <c r="CY89" t="e">
        <f>IF(Liste!#REF!,"AAAAAHu9WmY=",0)</f>
        <v>#REF!</v>
      </c>
      <c r="CZ89" t="e">
        <f>AND(Liste!#REF!,"AAAAAHu9Wmc=")</f>
        <v>#REF!</v>
      </c>
      <c r="DA89" t="e">
        <f>AND(Liste!#REF!,"AAAAAHu9Wmg=")</f>
        <v>#REF!</v>
      </c>
      <c r="DB89" t="e">
        <f>AND(Liste!#REF!,"AAAAAHu9Wmk=")</f>
        <v>#REF!</v>
      </c>
      <c r="DC89" t="e">
        <f>AND(Liste!#REF!,"AAAAAHu9Wmo=")</f>
        <v>#REF!</v>
      </c>
      <c r="DD89" t="e">
        <f>AND(Liste!#REF!,"AAAAAHu9Wms=")</f>
        <v>#REF!</v>
      </c>
      <c r="DE89" t="e">
        <f>AND(Liste!#REF!,"AAAAAHu9Wmw=")</f>
        <v>#REF!</v>
      </c>
      <c r="DF89" t="e">
        <f>AND(Liste!#REF!,"AAAAAHu9Wm0=")</f>
        <v>#REF!</v>
      </c>
      <c r="DG89" t="e">
        <f>AND(Liste!#REF!,"AAAAAHu9Wm4=")</f>
        <v>#REF!</v>
      </c>
      <c r="DH89" t="e">
        <f>AND(Liste!#REF!,"AAAAAHu9Wm8=")</f>
        <v>#REF!</v>
      </c>
      <c r="DI89" t="e">
        <f>AND(Liste!#REF!,"AAAAAHu9WnA=")</f>
        <v>#REF!</v>
      </c>
      <c r="DJ89" t="e">
        <f>AND(Liste!#REF!,"AAAAAHu9WnE=")</f>
        <v>#REF!</v>
      </c>
      <c r="DK89" t="e">
        <f>AND(Liste!#REF!,"AAAAAHu9WnI=")</f>
        <v>#REF!</v>
      </c>
      <c r="DL89" t="e">
        <f>AND(Liste!#REF!,"AAAAAHu9WnM=")</f>
        <v>#REF!</v>
      </c>
      <c r="DM89" t="e">
        <f>AND(Liste!#REF!,"AAAAAHu9WnQ=")</f>
        <v>#REF!</v>
      </c>
      <c r="DN89" t="e">
        <f>AND(Liste!#REF!,"AAAAAHu9WnU=")</f>
        <v>#REF!</v>
      </c>
      <c r="DO89" t="e">
        <f>AND(Liste!#REF!,"AAAAAHu9WnY=")</f>
        <v>#REF!</v>
      </c>
      <c r="DP89" t="e">
        <f>AND(Liste!#REF!,"AAAAAHu9Wnc=")</f>
        <v>#REF!</v>
      </c>
      <c r="DQ89" t="e">
        <f>AND(Liste!#REF!,"AAAAAHu9Wng=")</f>
        <v>#REF!</v>
      </c>
      <c r="DR89" t="e">
        <f>AND(Liste!#REF!,"AAAAAHu9Wnk=")</f>
        <v>#REF!</v>
      </c>
      <c r="DS89" t="e">
        <f>AND(Liste!#REF!,"AAAAAHu9Wno=")</f>
        <v>#REF!</v>
      </c>
      <c r="DT89" t="e">
        <f>AND(Liste!#REF!,"AAAAAHu9Wns=")</f>
        <v>#REF!</v>
      </c>
      <c r="DU89" t="e">
        <f>AND(Liste!#REF!,"AAAAAHu9Wnw=")</f>
        <v>#REF!</v>
      </c>
      <c r="DV89" t="e">
        <f>AND(Liste!#REF!,"AAAAAHu9Wn0=")</f>
        <v>#REF!</v>
      </c>
      <c r="DW89" t="e">
        <f>AND(Liste!#REF!,"AAAAAHu9Wn4=")</f>
        <v>#REF!</v>
      </c>
      <c r="DX89" t="e">
        <f>AND(Liste!#REF!,"AAAAAHu9Wn8=")</f>
        <v>#REF!</v>
      </c>
      <c r="DY89" t="e">
        <f>AND(Liste!#REF!,"AAAAAHu9WoA=")</f>
        <v>#REF!</v>
      </c>
      <c r="DZ89" t="e">
        <f>AND(Liste!#REF!,"AAAAAHu9WoE=")</f>
        <v>#REF!</v>
      </c>
      <c r="EA89" t="e">
        <f>AND(Liste!#REF!,"AAAAAHu9WoI=")</f>
        <v>#REF!</v>
      </c>
      <c r="EB89" t="e">
        <f>AND(Liste!#REF!,"AAAAAHu9WoM=")</f>
        <v>#REF!</v>
      </c>
      <c r="EC89" t="e">
        <f>AND(Liste!#REF!,"AAAAAHu9WoQ=")</f>
        <v>#REF!</v>
      </c>
      <c r="ED89" t="e">
        <f>IF(Liste!#REF!,"AAAAAHu9WoU=",0)</f>
        <v>#REF!</v>
      </c>
      <c r="EE89" t="e">
        <f>AND(Liste!#REF!,"AAAAAHu9WoY=")</f>
        <v>#REF!</v>
      </c>
      <c r="EF89" t="e">
        <f>AND(Liste!#REF!,"AAAAAHu9Woc=")</f>
        <v>#REF!</v>
      </c>
      <c r="EG89" t="e">
        <f>AND(Liste!#REF!,"AAAAAHu9Wog=")</f>
        <v>#REF!</v>
      </c>
      <c r="EH89" t="e">
        <f>AND(Liste!#REF!,"AAAAAHu9Wok=")</f>
        <v>#REF!</v>
      </c>
      <c r="EI89" t="e">
        <f>AND(Liste!#REF!,"AAAAAHu9Woo=")</f>
        <v>#REF!</v>
      </c>
      <c r="EJ89" t="e">
        <f>AND(Liste!#REF!,"AAAAAHu9Wos=")</f>
        <v>#REF!</v>
      </c>
      <c r="EK89" t="e">
        <f>AND(Liste!#REF!,"AAAAAHu9Wow=")</f>
        <v>#REF!</v>
      </c>
      <c r="EL89" t="e">
        <f>AND(Liste!#REF!,"AAAAAHu9Wo0=")</f>
        <v>#REF!</v>
      </c>
      <c r="EM89" t="e">
        <f>AND(Liste!#REF!,"AAAAAHu9Wo4=")</f>
        <v>#REF!</v>
      </c>
      <c r="EN89" t="e">
        <f>AND(Liste!#REF!,"AAAAAHu9Wo8=")</f>
        <v>#REF!</v>
      </c>
      <c r="EO89" t="e">
        <f>AND(Liste!#REF!,"AAAAAHu9WpA=")</f>
        <v>#REF!</v>
      </c>
      <c r="EP89" t="e">
        <f>AND(Liste!#REF!,"AAAAAHu9WpE=")</f>
        <v>#REF!</v>
      </c>
      <c r="EQ89" t="e">
        <f>AND(Liste!#REF!,"AAAAAHu9WpI=")</f>
        <v>#REF!</v>
      </c>
      <c r="ER89" t="e">
        <f>AND(Liste!#REF!,"AAAAAHu9WpM=")</f>
        <v>#REF!</v>
      </c>
      <c r="ES89" t="e">
        <f>AND(Liste!#REF!,"AAAAAHu9WpQ=")</f>
        <v>#REF!</v>
      </c>
      <c r="ET89" t="e">
        <f>AND(Liste!#REF!,"AAAAAHu9WpU=")</f>
        <v>#REF!</v>
      </c>
      <c r="EU89" t="e">
        <f>AND(Liste!#REF!,"AAAAAHu9WpY=")</f>
        <v>#REF!</v>
      </c>
      <c r="EV89" t="e">
        <f>AND(Liste!#REF!,"AAAAAHu9Wpc=")</f>
        <v>#REF!</v>
      </c>
      <c r="EW89" t="e">
        <f>AND(Liste!#REF!,"AAAAAHu9Wpg=")</f>
        <v>#REF!</v>
      </c>
      <c r="EX89" t="e">
        <f>AND(Liste!#REF!,"AAAAAHu9Wpk=")</f>
        <v>#REF!</v>
      </c>
      <c r="EY89" t="e">
        <f>AND(Liste!#REF!,"AAAAAHu9Wpo=")</f>
        <v>#REF!</v>
      </c>
      <c r="EZ89" t="e">
        <f>AND(Liste!#REF!,"AAAAAHu9Wps=")</f>
        <v>#REF!</v>
      </c>
      <c r="FA89" t="e">
        <f>AND(Liste!#REF!,"AAAAAHu9Wpw=")</f>
        <v>#REF!</v>
      </c>
      <c r="FB89" t="e">
        <f>AND(Liste!#REF!,"AAAAAHu9Wp0=")</f>
        <v>#REF!</v>
      </c>
      <c r="FC89" t="e">
        <f>AND(Liste!#REF!,"AAAAAHu9Wp4=")</f>
        <v>#REF!</v>
      </c>
      <c r="FD89" t="e">
        <f>AND(Liste!#REF!,"AAAAAHu9Wp8=")</f>
        <v>#REF!</v>
      </c>
      <c r="FE89" t="e">
        <f>AND(Liste!#REF!,"AAAAAHu9WqA=")</f>
        <v>#REF!</v>
      </c>
      <c r="FF89" t="e">
        <f>AND(Liste!#REF!,"AAAAAHu9WqE=")</f>
        <v>#REF!</v>
      </c>
      <c r="FG89" t="e">
        <f>AND(Liste!#REF!,"AAAAAHu9WqI=")</f>
        <v>#REF!</v>
      </c>
      <c r="FH89" t="e">
        <f>AND(Liste!#REF!,"AAAAAHu9WqM=")</f>
        <v>#REF!</v>
      </c>
      <c r="FI89" t="e">
        <f>IF(Liste!#REF!,"AAAAAHu9WqQ=",0)</f>
        <v>#REF!</v>
      </c>
      <c r="FJ89" t="e">
        <f>AND(Liste!#REF!,"AAAAAHu9WqU=")</f>
        <v>#REF!</v>
      </c>
      <c r="FK89" t="e">
        <f>AND(Liste!#REF!,"AAAAAHu9WqY=")</f>
        <v>#REF!</v>
      </c>
      <c r="FL89" t="e">
        <f>AND(Liste!#REF!,"AAAAAHu9Wqc=")</f>
        <v>#REF!</v>
      </c>
      <c r="FM89" t="e">
        <f>AND(Liste!#REF!,"AAAAAHu9Wqg=")</f>
        <v>#REF!</v>
      </c>
      <c r="FN89" t="e">
        <f>AND(Liste!#REF!,"AAAAAHu9Wqk=")</f>
        <v>#REF!</v>
      </c>
      <c r="FO89" t="e">
        <f>AND(Liste!#REF!,"AAAAAHu9Wqo=")</f>
        <v>#REF!</v>
      </c>
      <c r="FP89" t="e">
        <f>AND(Liste!#REF!,"AAAAAHu9Wqs=")</f>
        <v>#REF!</v>
      </c>
      <c r="FQ89" t="e">
        <f>AND(Liste!#REF!,"AAAAAHu9Wqw=")</f>
        <v>#REF!</v>
      </c>
      <c r="FR89" t="e">
        <f>AND(Liste!#REF!,"AAAAAHu9Wq0=")</f>
        <v>#REF!</v>
      </c>
      <c r="FS89" t="e">
        <f>AND(Liste!#REF!,"AAAAAHu9Wq4=")</f>
        <v>#REF!</v>
      </c>
      <c r="FT89" t="e">
        <f>AND(Liste!#REF!,"AAAAAHu9Wq8=")</f>
        <v>#REF!</v>
      </c>
      <c r="FU89" t="e">
        <f>AND(Liste!#REF!,"AAAAAHu9WrA=")</f>
        <v>#REF!</v>
      </c>
      <c r="FV89" t="e">
        <f>AND(Liste!#REF!,"AAAAAHu9WrE=")</f>
        <v>#REF!</v>
      </c>
      <c r="FW89" t="e">
        <f>AND(Liste!#REF!,"AAAAAHu9WrI=")</f>
        <v>#REF!</v>
      </c>
      <c r="FX89" t="e">
        <f>AND(Liste!#REF!,"AAAAAHu9WrM=")</f>
        <v>#REF!</v>
      </c>
      <c r="FY89" t="e">
        <f>AND(Liste!#REF!,"AAAAAHu9WrQ=")</f>
        <v>#REF!</v>
      </c>
      <c r="FZ89" t="e">
        <f>AND(Liste!#REF!,"AAAAAHu9WrU=")</f>
        <v>#REF!</v>
      </c>
      <c r="GA89" t="e">
        <f>AND(Liste!#REF!,"AAAAAHu9WrY=")</f>
        <v>#REF!</v>
      </c>
      <c r="GB89" t="e">
        <f>AND(Liste!#REF!,"AAAAAHu9Wrc=")</f>
        <v>#REF!</v>
      </c>
      <c r="GC89" t="e">
        <f>AND(Liste!#REF!,"AAAAAHu9Wrg=")</f>
        <v>#REF!</v>
      </c>
      <c r="GD89" t="e">
        <f>AND(Liste!#REF!,"AAAAAHu9Wrk=")</f>
        <v>#REF!</v>
      </c>
      <c r="GE89" t="e">
        <f>AND(Liste!#REF!,"AAAAAHu9Wro=")</f>
        <v>#REF!</v>
      </c>
      <c r="GF89" t="e">
        <f>AND(Liste!#REF!,"AAAAAHu9Wrs=")</f>
        <v>#REF!</v>
      </c>
      <c r="GG89" t="e">
        <f>AND(Liste!#REF!,"AAAAAHu9Wrw=")</f>
        <v>#REF!</v>
      </c>
      <c r="GH89" t="e">
        <f>AND(Liste!#REF!,"AAAAAHu9Wr0=")</f>
        <v>#REF!</v>
      </c>
      <c r="GI89" t="e">
        <f>AND(Liste!#REF!,"AAAAAHu9Wr4=")</f>
        <v>#REF!</v>
      </c>
      <c r="GJ89" t="e">
        <f>AND(Liste!#REF!,"AAAAAHu9Wr8=")</f>
        <v>#REF!</v>
      </c>
      <c r="GK89" t="e">
        <f>AND(Liste!#REF!,"AAAAAHu9WsA=")</f>
        <v>#REF!</v>
      </c>
      <c r="GL89" t="e">
        <f>AND(Liste!#REF!,"AAAAAHu9WsE=")</f>
        <v>#REF!</v>
      </c>
      <c r="GM89" t="e">
        <f>AND(Liste!#REF!,"AAAAAHu9WsI=")</f>
        <v>#REF!</v>
      </c>
      <c r="GN89" t="e">
        <f>IF(Liste!#REF!,"AAAAAHu9WsM=",0)</f>
        <v>#REF!</v>
      </c>
      <c r="GO89" t="e">
        <f>AND(Liste!#REF!,"AAAAAHu9WsQ=")</f>
        <v>#REF!</v>
      </c>
      <c r="GP89" t="e">
        <f>AND(Liste!#REF!,"AAAAAHu9WsU=")</f>
        <v>#REF!</v>
      </c>
      <c r="GQ89" t="e">
        <f>AND(Liste!#REF!,"AAAAAHu9WsY=")</f>
        <v>#REF!</v>
      </c>
      <c r="GR89" t="e">
        <f>AND(Liste!#REF!,"AAAAAHu9Wsc=")</f>
        <v>#REF!</v>
      </c>
      <c r="GS89" t="e">
        <f>AND(Liste!#REF!,"AAAAAHu9Wsg=")</f>
        <v>#REF!</v>
      </c>
      <c r="GT89" t="e">
        <f>AND(Liste!#REF!,"AAAAAHu9Wsk=")</f>
        <v>#REF!</v>
      </c>
      <c r="GU89" t="e">
        <f>AND(Liste!#REF!,"AAAAAHu9Wso=")</f>
        <v>#REF!</v>
      </c>
      <c r="GV89" t="e">
        <f>AND(Liste!#REF!,"AAAAAHu9Wss=")</f>
        <v>#REF!</v>
      </c>
      <c r="GW89" t="e">
        <f>AND(Liste!#REF!,"AAAAAHu9Wsw=")</f>
        <v>#REF!</v>
      </c>
      <c r="GX89" t="e">
        <f>AND(Liste!#REF!,"AAAAAHu9Ws0=")</f>
        <v>#REF!</v>
      </c>
      <c r="GY89" t="e">
        <f>AND(Liste!#REF!,"AAAAAHu9Ws4=")</f>
        <v>#REF!</v>
      </c>
      <c r="GZ89" t="e">
        <f>AND(Liste!#REF!,"AAAAAHu9Ws8=")</f>
        <v>#REF!</v>
      </c>
      <c r="HA89" t="e">
        <f>AND(Liste!#REF!,"AAAAAHu9WtA=")</f>
        <v>#REF!</v>
      </c>
      <c r="HB89" t="e">
        <f>AND(Liste!#REF!,"AAAAAHu9WtE=")</f>
        <v>#REF!</v>
      </c>
      <c r="HC89" t="e">
        <f>AND(Liste!#REF!,"AAAAAHu9WtI=")</f>
        <v>#REF!</v>
      </c>
      <c r="HD89" t="e">
        <f>AND(Liste!#REF!,"AAAAAHu9WtM=")</f>
        <v>#REF!</v>
      </c>
      <c r="HE89" t="e">
        <f>AND(Liste!#REF!,"AAAAAHu9WtQ=")</f>
        <v>#REF!</v>
      </c>
      <c r="HF89" t="e">
        <f>AND(Liste!#REF!,"AAAAAHu9WtU=")</f>
        <v>#REF!</v>
      </c>
      <c r="HG89" t="e">
        <f>AND(Liste!#REF!,"AAAAAHu9WtY=")</f>
        <v>#REF!</v>
      </c>
      <c r="HH89" t="e">
        <f>AND(Liste!#REF!,"AAAAAHu9Wtc=")</f>
        <v>#REF!</v>
      </c>
      <c r="HI89" t="e">
        <f>AND(Liste!#REF!,"AAAAAHu9Wtg=")</f>
        <v>#REF!</v>
      </c>
      <c r="HJ89" t="e">
        <f>AND(Liste!#REF!,"AAAAAHu9Wtk=")</f>
        <v>#REF!</v>
      </c>
      <c r="HK89" t="e">
        <f>AND(Liste!#REF!,"AAAAAHu9Wto=")</f>
        <v>#REF!</v>
      </c>
      <c r="HL89" t="e">
        <f>AND(Liste!#REF!,"AAAAAHu9Wts=")</f>
        <v>#REF!</v>
      </c>
      <c r="HM89" t="e">
        <f>AND(Liste!#REF!,"AAAAAHu9Wtw=")</f>
        <v>#REF!</v>
      </c>
      <c r="HN89" t="e">
        <f>AND(Liste!#REF!,"AAAAAHu9Wt0=")</f>
        <v>#REF!</v>
      </c>
      <c r="HO89" t="e">
        <f>AND(Liste!#REF!,"AAAAAHu9Wt4=")</f>
        <v>#REF!</v>
      </c>
      <c r="HP89" t="e">
        <f>AND(Liste!#REF!,"AAAAAHu9Wt8=")</f>
        <v>#REF!</v>
      </c>
      <c r="HQ89" t="e">
        <f>AND(Liste!#REF!,"AAAAAHu9WuA=")</f>
        <v>#REF!</v>
      </c>
      <c r="HR89" t="e">
        <f>AND(Liste!#REF!,"AAAAAHu9WuE=")</f>
        <v>#REF!</v>
      </c>
      <c r="HS89" t="e">
        <f>IF(Liste!#REF!,"AAAAAHu9WuI=",0)</f>
        <v>#REF!</v>
      </c>
      <c r="HT89" t="e">
        <f>AND(Liste!#REF!,"AAAAAHu9WuM=")</f>
        <v>#REF!</v>
      </c>
      <c r="HU89" t="e">
        <f>AND(Liste!#REF!,"AAAAAHu9WuQ=")</f>
        <v>#REF!</v>
      </c>
      <c r="HV89" t="e">
        <f>AND(Liste!#REF!,"AAAAAHu9WuU=")</f>
        <v>#REF!</v>
      </c>
      <c r="HW89" t="e">
        <f>AND(Liste!#REF!,"AAAAAHu9WuY=")</f>
        <v>#REF!</v>
      </c>
      <c r="HX89" t="e">
        <f>AND(Liste!#REF!,"AAAAAHu9Wuc=")</f>
        <v>#REF!</v>
      </c>
      <c r="HY89" t="e">
        <f>AND(Liste!#REF!,"AAAAAHu9Wug=")</f>
        <v>#REF!</v>
      </c>
      <c r="HZ89" t="e">
        <f>AND(Liste!#REF!,"AAAAAHu9Wuk=")</f>
        <v>#REF!</v>
      </c>
      <c r="IA89" t="e">
        <f>AND(Liste!#REF!,"AAAAAHu9Wuo=")</f>
        <v>#REF!</v>
      </c>
      <c r="IB89" t="e">
        <f>AND(Liste!#REF!,"AAAAAHu9Wus=")</f>
        <v>#REF!</v>
      </c>
      <c r="IC89" t="e">
        <f>AND(Liste!#REF!,"AAAAAHu9Wuw=")</f>
        <v>#REF!</v>
      </c>
      <c r="ID89" t="e">
        <f>AND(Liste!#REF!,"AAAAAHu9Wu0=")</f>
        <v>#REF!</v>
      </c>
      <c r="IE89" t="e">
        <f>AND(Liste!#REF!,"AAAAAHu9Wu4=")</f>
        <v>#REF!</v>
      </c>
      <c r="IF89" t="e">
        <f>AND(Liste!#REF!,"AAAAAHu9Wu8=")</f>
        <v>#REF!</v>
      </c>
      <c r="IG89" t="e">
        <f>AND(Liste!#REF!,"AAAAAHu9WvA=")</f>
        <v>#REF!</v>
      </c>
      <c r="IH89" t="e">
        <f>AND(Liste!#REF!,"AAAAAHu9WvE=")</f>
        <v>#REF!</v>
      </c>
      <c r="II89" t="e">
        <f>AND(Liste!#REF!,"AAAAAHu9WvI=")</f>
        <v>#REF!</v>
      </c>
      <c r="IJ89" t="e">
        <f>AND(Liste!#REF!,"AAAAAHu9WvM=")</f>
        <v>#REF!</v>
      </c>
      <c r="IK89" t="e">
        <f>AND(Liste!#REF!,"AAAAAHu9WvQ=")</f>
        <v>#REF!</v>
      </c>
      <c r="IL89" t="e">
        <f>AND(Liste!#REF!,"AAAAAHu9WvU=")</f>
        <v>#REF!</v>
      </c>
      <c r="IM89" t="e">
        <f>AND(Liste!#REF!,"AAAAAHu9WvY=")</f>
        <v>#REF!</v>
      </c>
      <c r="IN89" t="e">
        <f>AND(Liste!#REF!,"AAAAAHu9Wvc=")</f>
        <v>#REF!</v>
      </c>
      <c r="IO89" t="e">
        <f>AND(Liste!#REF!,"AAAAAHu9Wvg=")</f>
        <v>#REF!</v>
      </c>
      <c r="IP89" t="e">
        <f>AND(Liste!#REF!,"AAAAAHu9Wvk=")</f>
        <v>#REF!</v>
      </c>
      <c r="IQ89" t="e">
        <f>AND(Liste!#REF!,"AAAAAHu9Wvo=")</f>
        <v>#REF!</v>
      </c>
      <c r="IR89" t="e">
        <f>AND(Liste!#REF!,"AAAAAHu9Wvs=")</f>
        <v>#REF!</v>
      </c>
      <c r="IS89" t="e">
        <f>AND(Liste!#REF!,"AAAAAHu9Wvw=")</f>
        <v>#REF!</v>
      </c>
      <c r="IT89" t="e">
        <f>AND(Liste!#REF!,"AAAAAHu9Wv0=")</f>
        <v>#REF!</v>
      </c>
      <c r="IU89" t="e">
        <f>AND(Liste!#REF!,"AAAAAHu9Wv4=")</f>
        <v>#REF!</v>
      </c>
      <c r="IV89" t="e">
        <f>AND(Liste!#REF!,"AAAAAHu9Wv8=")</f>
        <v>#REF!</v>
      </c>
    </row>
    <row r="90" spans="1:256" x14ac:dyDescent="0.2">
      <c r="A90" t="e">
        <f>AND(Liste!#REF!,"AAAAAH/z9wA=")</f>
        <v>#REF!</v>
      </c>
      <c r="B90" t="e">
        <f>IF(Liste!#REF!,"AAAAAH/z9wE=",0)</f>
        <v>#REF!</v>
      </c>
      <c r="C90" t="e">
        <f>AND(Liste!#REF!,"AAAAAH/z9wI=")</f>
        <v>#REF!</v>
      </c>
      <c r="D90" t="e">
        <f>AND(Liste!#REF!,"AAAAAH/z9wM=")</f>
        <v>#REF!</v>
      </c>
      <c r="E90" t="e">
        <f>AND(Liste!#REF!,"AAAAAH/z9wQ=")</f>
        <v>#REF!</v>
      </c>
      <c r="F90" t="e">
        <f>AND(Liste!#REF!,"AAAAAH/z9wU=")</f>
        <v>#REF!</v>
      </c>
      <c r="G90" t="e">
        <f>AND(Liste!#REF!,"AAAAAH/z9wY=")</f>
        <v>#REF!</v>
      </c>
      <c r="H90" t="e">
        <f>AND(Liste!#REF!,"AAAAAH/z9wc=")</f>
        <v>#REF!</v>
      </c>
      <c r="I90" t="e">
        <f>AND(Liste!#REF!,"AAAAAH/z9wg=")</f>
        <v>#REF!</v>
      </c>
      <c r="J90" t="e">
        <f>AND(Liste!#REF!,"AAAAAH/z9wk=")</f>
        <v>#REF!</v>
      </c>
      <c r="K90" t="e">
        <f>AND(Liste!#REF!,"AAAAAH/z9wo=")</f>
        <v>#REF!</v>
      </c>
      <c r="L90" t="e">
        <f>AND(Liste!#REF!,"AAAAAH/z9ws=")</f>
        <v>#REF!</v>
      </c>
      <c r="M90" t="e">
        <f>AND(Liste!#REF!,"AAAAAH/z9ww=")</f>
        <v>#REF!</v>
      </c>
      <c r="N90" t="e">
        <f>AND(Liste!#REF!,"AAAAAH/z9w0=")</f>
        <v>#REF!</v>
      </c>
      <c r="O90" t="e">
        <f>AND(Liste!#REF!,"AAAAAH/z9w4=")</f>
        <v>#REF!</v>
      </c>
      <c r="P90" t="e">
        <f>AND(Liste!#REF!,"AAAAAH/z9w8=")</f>
        <v>#REF!</v>
      </c>
      <c r="Q90" t="e">
        <f>AND(Liste!#REF!,"AAAAAH/z9xA=")</f>
        <v>#REF!</v>
      </c>
      <c r="R90" t="e">
        <f>AND(Liste!#REF!,"AAAAAH/z9xE=")</f>
        <v>#REF!</v>
      </c>
      <c r="S90" t="e">
        <f>AND(Liste!#REF!,"AAAAAH/z9xI=")</f>
        <v>#REF!</v>
      </c>
      <c r="T90" t="e">
        <f>AND(Liste!#REF!,"AAAAAH/z9xM=")</f>
        <v>#REF!</v>
      </c>
      <c r="U90" t="e">
        <f>AND(Liste!#REF!,"AAAAAH/z9xQ=")</f>
        <v>#REF!</v>
      </c>
      <c r="V90" t="e">
        <f>AND(Liste!#REF!,"AAAAAH/z9xU=")</f>
        <v>#REF!</v>
      </c>
      <c r="W90" t="e">
        <f>AND(Liste!#REF!,"AAAAAH/z9xY=")</f>
        <v>#REF!</v>
      </c>
      <c r="X90" t="e">
        <f>AND(Liste!#REF!,"AAAAAH/z9xc=")</f>
        <v>#REF!</v>
      </c>
      <c r="Y90" t="e">
        <f>AND(Liste!#REF!,"AAAAAH/z9xg=")</f>
        <v>#REF!</v>
      </c>
      <c r="Z90" t="e">
        <f>AND(Liste!#REF!,"AAAAAH/z9xk=")</f>
        <v>#REF!</v>
      </c>
      <c r="AA90" t="e">
        <f>AND(Liste!#REF!,"AAAAAH/z9xo=")</f>
        <v>#REF!</v>
      </c>
      <c r="AB90" t="e">
        <f>AND(Liste!#REF!,"AAAAAH/z9xs=")</f>
        <v>#REF!</v>
      </c>
      <c r="AC90" t="e">
        <f>AND(Liste!#REF!,"AAAAAH/z9xw=")</f>
        <v>#REF!</v>
      </c>
      <c r="AD90" t="e">
        <f>AND(Liste!#REF!,"AAAAAH/z9x0=")</f>
        <v>#REF!</v>
      </c>
      <c r="AE90" t="e">
        <f>AND(Liste!#REF!,"AAAAAH/z9x4=")</f>
        <v>#REF!</v>
      </c>
      <c r="AF90" t="e">
        <f>AND(Liste!#REF!,"AAAAAH/z9x8=")</f>
        <v>#REF!</v>
      </c>
      <c r="AG90" t="e">
        <f>IF(Liste!#REF!,"AAAAAH/z9yA=",0)</f>
        <v>#REF!</v>
      </c>
      <c r="AH90" t="e">
        <f>AND(Liste!#REF!,"AAAAAH/z9yE=")</f>
        <v>#REF!</v>
      </c>
      <c r="AI90" t="e">
        <f>AND(Liste!#REF!,"AAAAAH/z9yI=")</f>
        <v>#REF!</v>
      </c>
      <c r="AJ90" t="e">
        <f>AND(Liste!#REF!,"AAAAAH/z9yM=")</f>
        <v>#REF!</v>
      </c>
      <c r="AK90" t="e">
        <f>AND(Liste!#REF!,"AAAAAH/z9yQ=")</f>
        <v>#REF!</v>
      </c>
      <c r="AL90" t="e">
        <f>AND(Liste!#REF!,"AAAAAH/z9yU=")</f>
        <v>#REF!</v>
      </c>
      <c r="AM90" t="e">
        <f>AND(Liste!#REF!,"AAAAAH/z9yY=")</f>
        <v>#REF!</v>
      </c>
      <c r="AN90" t="e">
        <f>AND(Liste!#REF!,"AAAAAH/z9yc=")</f>
        <v>#REF!</v>
      </c>
      <c r="AO90" t="e">
        <f>AND(Liste!#REF!,"AAAAAH/z9yg=")</f>
        <v>#REF!</v>
      </c>
      <c r="AP90" t="e">
        <f>AND(Liste!#REF!,"AAAAAH/z9yk=")</f>
        <v>#REF!</v>
      </c>
      <c r="AQ90" t="e">
        <f>AND(Liste!#REF!,"AAAAAH/z9yo=")</f>
        <v>#REF!</v>
      </c>
      <c r="AR90" t="e">
        <f>AND(Liste!#REF!,"AAAAAH/z9ys=")</f>
        <v>#REF!</v>
      </c>
      <c r="AS90" t="e">
        <f>AND(Liste!#REF!,"AAAAAH/z9yw=")</f>
        <v>#REF!</v>
      </c>
      <c r="AT90" t="e">
        <f>AND(Liste!#REF!,"AAAAAH/z9y0=")</f>
        <v>#REF!</v>
      </c>
      <c r="AU90" t="e">
        <f>AND(Liste!#REF!,"AAAAAH/z9y4=")</f>
        <v>#REF!</v>
      </c>
      <c r="AV90" t="e">
        <f>AND(Liste!#REF!,"AAAAAH/z9y8=")</f>
        <v>#REF!</v>
      </c>
      <c r="AW90" t="e">
        <f>AND(Liste!#REF!,"AAAAAH/z9zA=")</f>
        <v>#REF!</v>
      </c>
      <c r="AX90" t="e">
        <f>AND(Liste!#REF!,"AAAAAH/z9zE=")</f>
        <v>#REF!</v>
      </c>
      <c r="AY90" t="e">
        <f>AND(Liste!#REF!,"AAAAAH/z9zI=")</f>
        <v>#REF!</v>
      </c>
      <c r="AZ90" t="e">
        <f>AND(Liste!#REF!,"AAAAAH/z9zM=")</f>
        <v>#REF!</v>
      </c>
      <c r="BA90" t="e">
        <f>AND(Liste!#REF!,"AAAAAH/z9zQ=")</f>
        <v>#REF!</v>
      </c>
      <c r="BB90" t="e">
        <f>AND(Liste!#REF!,"AAAAAH/z9zU=")</f>
        <v>#REF!</v>
      </c>
      <c r="BC90" t="e">
        <f>AND(Liste!#REF!,"AAAAAH/z9zY=")</f>
        <v>#REF!</v>
      </c>
      <c r="BD90" t="e">
        <f>AND(Liste!#REF!,"AAAAAH/z9zc=")</f>
        <v>#REF!</v>
      </c>
      <c r="BE90" t="e">
        <f>AND(Liste!#REF!,"AAAAAH/z9zg=")</f>
        <v>#REF!</v>
      </c>
      <c r="BF90" t="e">
        <f>AND(Liste!#REF!,"AAAAAH/z9zk=")</f>
        <v>#REF!</v>
      </c>
      <c r="BG90" t="e">
        <f>AND(Liste!#REF!,"AAAAAH/z9zo=")</f>
        <v>#REF!</v>
      </c>
      <c r="BH90" t="e">
        <f>AND(Liste!#REF!,"AAAAAH/z9zs=")</f>
        <v>#REF!</v>
      </c>
      <c r="BI90" t="e">
        <f>AND(Liste!#REF!,"AAAAAH/z9zw=")</f>
        <v>#REF!</v>
      </c>
      <c r="BJ90" t="e">
        <f>AND(Liste!#REF!,"AAAAAH/z9z0=")</f>
        <v>#REF!</v>
      </c>
      <c r="BK90" t="e">
        <f>AND(Liste!#REF!,"AAAAAH/z9z4=")</f>
        <v>#REF!</v>
      </c>
      <c r="BL90" t="e">
        <f>IF(Liste!#REF!,"AAAAAH/z9z8=",0)</f>
        <v>#REF!</v>
      </c>
      <c r="BM90" t="e">
        <f>AND(Liste!#REF!,"AAAAAH/z90A=")</f>
        <v>#REF!</v>
      </c>
      <c r="BN90" t="e">
        <f>AND(Liste!#REF!,"AAAAAH/z90E=")</f>
        <v>#REF!</v>
      </c>
      <c r="BO90" t="e">
        <f>AND(Liste!#REF!,"AAAAAH/z90I=")</f>
        <v>#REF!</v>
      </c>
      <c r="BP90" t="e">
        <f>AND(Liste!#REF!,"AAAAAH/z90M=")</f>
        <v>#REF!</v>
      </c>
      <c r="BQ90" t="e">
        <f>AND(Liste!#REF!,"AAAAAH/z90Q=")</f>
        <v>#REF!</v>
      </c>
      <c r="BR90" t="e">
        <f>AND(Liste!#REF!,"AAAAAH/z90U=")</f>
        <v>#REF!</v>
      </c>
      <c r="BS90" t="e">
        <f>AND(Liste!#REF!,"AAAAAH/z90Y=")</f>
        <v>#REF!</v>
      </c>
      <c r="BT90" t="e">
        <f>AND(Liste!#REF!,"AAAAAH/z90c=")</f>
        <v>#REF!</v>
      </c>
      <c r="BU90" t="e">
        <f>AND(Liste!#REF!,"AAAAAH/z90g=")</f>
        <v>#REF!</v>
      </c>
      <c r="BV90" t="e">
        <f>AND(Liste!#REF!,"AAAAAH/z90k=")</f>
        <v>#REF!</v>
      </c>
      <c r="BW90" t="e">
        <f>AND(Liste!#REF!,"AAAAAH/z90o=")</f>
        <v>#REF!</v>
      </c>
      <c r="BX90" t="e">
        <f>AND(Liste!#REF!,"AAAAAH/z90s=")</f>
        <v>#REF!</v>
      </c>
      <c r="BY90" t="e">
        <f>AND(Liste!#REF!,"AAAAAH/z90w=")</f>
        <v>#REF!</v>
      </c>
      <c r="BZ90" t="e">
        <f>AND(Liste!#REF!,"AAAAAH/z900=")</f>
        <v>#REF!</v>
      </c>
      <c r="CA90" t="e">
        <f>AND(Liste!#REF!,"AAAAAH/z904=")</f>
        <v>#REF!</v>
      </c>
      <c r="CB90" t="e">
        <f>AND(Liste!#REF!,"AAAAAH/z908=")</f>
        <v>#REF!</v>
      </c>
      <c r="CC90" t="e">
        <f>AND(Liste!#REF!,"AAAAAH/z91A=")</f>
        <v>#REF!</v>
      </c>
      <c r="CD90" t="e">
        <f>AND(Liste!#REF!,"AAAAAH/z91E=")</f>
        <v>#REF!</v>
      </c>
      <c r="CE90" t="e">
        <f>AND(Liste!#REF!,"AAAAAH/z91I=")</f>
        <v>#REF!</v>
      </c>
      <c r="CF90" t="e">
        <f>AND(Liste!#REF!,"AAAAAH/z91M=")</f>
        <v>#REF!</v>
      </c>
      <c r="CG90" t="e">
        <f>AND(Liste!#REF!,"AAAAAH/z91Q=")</f>
        <v>#REF!</v>
      </c>
      <c r="CH90" t="e">
        <f>AND(Liste!#REF!,"AAAAAH/z91U=")</f>
        <v>#REF!</v>
      </c>
      <c r="CI90" t="e">
        <f>AND(Liste!#REF!,"AAAAAH/z91Y=")</f>
        <v>#REF!</v>
      </c>
      <c r="CJ90" t="e">
        <f>AND(Liste!#REF!,"AAAAAH/z91c=")</f>
        <v>#REF!</v>
      </c>
      <c r="CK90" t="e">
        <f>AND(Liste!#REF!,"AAAAAH/z91g=")</f>
        <v>#REF!</v>
      </c>
      <c r="CL90" t="e">
        <f>AND(Liste!#REF!,"AAAAAH/z91k=")</f>
        <v>#REF!</v>
      </c>
      <c r="CM90" t="e">
        <f>AND(Liste!#REF!,"AAAAAH/z91o=")</f>
        <v>#REF!</v>
      </c>
      <c r="CN90" t="e">
        <f>AND(Liste!#REF!,"AAAAAH/z91s=")</f>
        <v>#REF!</v>
      </c>
      <c r="CO90" t="e">
        <f>AND(Liste!#REF!,"AAAAAH/z91w=")</f>
        <v>#REF!</v>
      </c>
      <c r="CP90" t="e">
        <f>AND(Liste!#REF!,"AAAAAH/z910=")</f>
        <v>#REF!</v>
      </c>
      <c r="CQ90" t="e">
        <f>IF(Liste!#REF!,"AAAAAH/z914=",0)</f>
        <v>#REF!</v>
      </c>
      <c r="CR90" t="e">
        <f>AND(Liste!#REF!,"AAAAAH/z918=")</f>
        <v>#REF!</v>
      </c>
      <c r="CS90" t="e">
        <f>AND(Liste!#REF!,"AAAAAH/z92A=")</f>
        <v>#REF!</v>
      </c>
      <c r="CT90" t="e">
        <f>AND(Liste!#REF!,"AAAAAH/z92E=")</f>
        <v>#REF!</v>
      </c>
      <c r="CU90" t="e">
        <f>AND(Liste!#REF!,"AAAAAH/z92I=")</f>
        <v>#REF!</v>
      </c>
      <c r="CV90" t="e">
        <f>AND(Liste!#REF!,"AAAAAH/z92M=")</f>
        <v>#REF!</v>
      </c>
      <c r="CW90" t="e">
        <f>AND(Liste!#REF!,"AAAAAH/z92Q=")</f>
        <v>#REF!</v>
      </c>
      <c r="CX90" t="e">
        <f>AND(Liste!#REF!,"AAAAAH/z92U=")</f>
        <v>#REF!</v>
      </c>
      <c r="CY90" t="e">
        <f>AND(Liste!#REF!,"AAAAAH/z92Y=")</f>
        <v>#REF!</v>
      </c>
      <c r="CZ90" t="e">
        <f>AND(Liste!#REF!,"AAAAAH/z92c=")</f>
        <v>#REF!</v>
      </c>
      <c r="DA90" t="e">
        <f>AND(Liste!#REF!,"AAAAAH/z92g=")</f>
        <v>#REF!</v>
      </c>
      <c r="DB90" t="e">
        <f>AND(Liste!#REF!,"AAAAAH/z92k=")</f>
        <v>#REF!</v>
      </c>
      <c r="DC90" t="e">
        <f>AND(Liste!#REF!,"AAAAAH/z92o=")</f>
        <v>#REF!</v>
      </c>
      <c r="DD90" t="e">
        <f>AND(Liste!#REF!,"AAAAAH/z92s=")</f>
        <v>#REF!</v>
      </c>
      <c r="DE90" t="e">
        <f>AND(Liste!#REF!,"AAAAAH/z92w=")</f>
        <v>#REF!</v>
      </c>
      <c r="DF90" t="e">
        <f>AND(Liste!#REF!,"AAAAAH/z920=")</f>
        <v>#REF!</v>
      </c>
      <c r="DG90" t="e">
        <f>AND(Liste!#REF!,"AAAAAH/z924=")</f>
        <v>#REF!</v>
      </c>
      <c r="DH90" t="e">
        <f>AND(Liste!#REF!,"AAAAAH/z928=")</f>
        <v>#REF!</v>
      </c>
      <c r="DI90" t="e">
        <f>AND(Liste!#REF!,"AAAAAH/z93A=")</f>
        <v>#REF!</v>
      </c>
      <c r="DJ90" t="e">
        <f>AND(Liste!#REF!,"AAAAAH/z93E=")</f>
        <v>#REF!</v>
      </c>
      <c r="DK90" t="e">
        <f>AND(Liste!#REF!,"AAAAAH/z93I=")</f>
        <v>#REF!</v>
      </c>
      <c r="DL90" t="e">
        <f>AND(Liste!#REF!,"AAAAAH/z93M=")</f>
        <v>#REF!</v>
      </c>
      <c r="DM90" t="e">
        <f>AND(Liste!#REF!,"AAAAAH/z93Q=")</f>
        <v>#REF!</v>
      </c>
      <c r="DN90" t="e">
        <f>AND(Liste!#REF!,"AAAAAH/z93U=")</f>
        <v>#REF!</v>
      </c>
      <c r="DO90" t="e">
        <f>AND(Liste!#REF!,"AAAAAH/z93Y=")</f>
        <v>#REF!</v>
      </c>
      <c r="DP90" t="e">
        <f>AND(Liste!#REF!,"AAAAAH/z93c=")</f>
        <v>#REF!</v>
      </c>
      <c r="DQ90" t="e">
        <f>AND(Liste!#REF!,"AAAAAH/z93g=")</f>
        <v>#REF!</v>
      </c>
      <c r="DR90" t="e">
        <f>AND(Liste!#REF!,"AAAAAH/z93k=")</f>
        <v>#REF!</v>
      </c>
      <c r="DS90" t="e">
        <f>AND(Liste!#REF!,"AAAAAH/z93o=")</f>
        <v>#REF!</v>
      </c>
      <c r="DT90" t="e">
        <f>AND(Liste!#REF!,"AAAAAH/z93s=")</f>
        <v>#REF!</v>
      </c>
      <c r="DU90" t="e">
        <f>AND(Liste!#REF!,"AAAAAH/z93w=")</f>
        <v>#REF!</v>
      </c>
      <c r="DV90" t="e">
        <f>IF(Liste!#REF!,"AAAAAH/z930=",0)</f>
        <v>#REF!</v>
      </c>
      <c r="DW90" t="e">
        <f>AND(Liste!#REF!,"AAAAAH/z934=")</f>
        <v>#REF!</v>
      </c>
      <c r="DX90" t="e">
        <f>AND(Liste!#REF!,"AAAAAH/z938=")</f>
        <v>#REF!</v>
      </c>
      <c r="DY90" t="e">
        <f>AND(Liste!#REF!,"AAAAAH/z94A=")</f>
        <v>#REF!</v>
      </c>
      <c r="DZ90" t="e">
        <f>AND(Liste!#REF!,"AAAAAH/z94E=")</f>
        <v>#REF!</v>
      </c>
      <c r="EA90" t="e">
        <f>AND(Liste!#REF!,"AAAAAH/z94I=")</f>
        <v>#REF!</v>
      </c>
      <c r="EB90" t="e">
        <f>AND(Liste!#REF!,"AAAAAH/z94M=")</f>
        <v>#REF!</v>
      </c>
      <c r="EC90" t="e">
        <f>AND(Liste!#REF!,"AAAAAH/z94Q=")</f>
        <v>#REF!</v>
      </c>
      <c r="ED90" t="e">
        <f>AND(Liste!#REF!,"AAAAAH/z94U=")</f>
        <v>#REF!</v>
      </c>
      <c r="EE90" t="e">
        <f>AND(Liste!#REF!,"AAAAAH/z94Y=")</f>
        <v>#REF!</v>
      </c>
      <c r="EF90" t="e">
        <f>AND(Liste!#REF!,"AAAAAH/z94c=")</f>
        <v>#REF!</v>
      </c>
      <c r="EG90" t="e">
        <f>AND(Liste!#REF!,"AAAAAH/z94g=")</f>
        <v>#REF!</v>
      </c>
      <c r="EH90" t="e">
        <f>AND(Liste!#REF!,"AAAAAH/z94k=")</f>
        <v>#REF!</v>
      </c>
      <c r="EI90" t="e">
        <f>AND(Liste!#REF!,"AAAAAH/z94o=")</f>
        <v>#REF!</v>
      </c>
      <c r="EJ90" t="e">
        <f>AND(Liste!#REF!,"AAAAAH/z94s=")</f>
        <v>#REF!</v>
      </c>
      <c r="EK90" t="e">
        <f>AND(Liste!#REF!,"AAAAAH/z94w=")</f>
        <v>#REF!</v>
      </c>
      <c r="EL90" t="e">
        <f>AND(Liste!#REF!,"AAAAAH/z940=")</f>
        <v>#REF!</v>
      </c>
      <c r="EM90" t="e">
        <f>AND(Liste!#REF!,"AAAAAH/z944=")</f>
        <v>#REF!</v>
      </c>
      <c r="EN90" t="e">
        <f>AND(Liste!#REF!,"AAAAAH/z948=")</f>
        <v>#REF!</v>
      </c>
      <c r="EO90" t="e">
        <f>AND(Liste!#REF!,"AAAAAH/z95A=")</f>
        <v>#REF!</v>
      </c>
      <c r="EP90" t="e">
        <f>AND(Liste!#REF!,"AAAAAH/z95E=")</f>
        <v>#REF!</v>
      </c>
      <c r="EQ90" t="e">
        <f>AND(Liste!#REF!,"AAAAAH/z95I=")</f>
        <v>#REF!</v>
      </c>
      <c r="ER90" t="e">
        <f>AND(Liste!#REF!,"AAAAAH/z95M=")</f>
        <v>#REF!</v>
      </c>
      <c r="ES90" t="e">
        <f>AND(Liste!#REF!,"AAAAAH/z95Q=")</f>
        <v>#REF!</v>
      </c>
      <c r="ET90" t="e">
        <f>AND(Liste!#REF!,"AAAAAH/z95U=")</f>
        <v>#REF!</v>
      </c>
      <c r="EU90" t="e">
        <f>AND(Liste!#REF!,"AAAAAH/z95Y=")</f>
        <v>#REF!</v>
      </c>
      <c r="EV90" t="e">
        <f>AND(Liste!#REF!,"AAAAAH/z95c=")</f>
        <v>#REF!</v>
      </c>
      <c r="EW90" t="e">
        <f>AND(Liste!#REF!,"AAAAAH/z95g=")</f>
        <v>#REF!</v>
      </c>
      <c r="EX90" t="e">
        <f>AND(Liste!#REF!,"AAAAAH/z95k=")</f>
        <v>#REF!</v>
      </c>
      <c r="EY90" t="e">
        <f>AND(Liste!#REF!,"AAAAAH/z95o=")</f>
        <v>#REF!</v>
      </c>
      <c r="EZ90" t="e">
        <f>AND(Liste!#REF!,"AAAAAH/z95s=")</f>
        <v>#REF!</v>
      </c>
      <c r="FA90" t="e">
        <f>IF(Liste!#REF!,"AAAAAH/z95w=",0)</f>
        <v>#REF!</v>
      </c>
      <c r="FB90" t="e">
        <f>AND(Liste!#REF!,"AAAAAH/z950=")</f>
        <v>#REF!</v>
      </c>
      <c r="FC90" t="e">
        <f>AND(Liste!#REF!,"AAAAAH/z954=")</f>
        <v>#REF!</v>
      </c>
      <c r="FD90" t="e">
        <f>AND(Liste!#REF!,"AAAAAH/z958=")</f>
        <v>#REF!</v>
      </c>
      <c r="FE90" t="e">
        <f>AND(Liste!#REF!,"AAAAAH/z96A=")</f>
        <v>#REF!</v>
      </c>
      <c r="FF90" t="e">
        <f>AND(Liste!#REF!,"AAAAAH/z96E=")</f>
        <v>#REF!</v>
      </c>
      <c r="FG90" t="e">
        <f>AND(Liste!#REF!,"AAAAAH/z96I=")</f>
        <v>#REF!</v>
      </c>
      <c r="FH90" t="e">
        <f>AND(Liste!#REF!,"AAAAAH/z96M=")</f>
        <v>#REF!</v>
      </c>
      <c r="FI90" t="e">
        <f>AND(Liste!#REF!,"AAAAAH/z96Q=")</f>
        <v>#REF!</v>
      </c>
      <c r="FJ90" t="e">
        <f>AND(Liste!#REF!,"AAAAAH/z96U=")</f>
        <v>#REF!</v>
      </c>
      <c r="FK90" t="e">
        <f>AND(Liste!#REF!,"AAAAAH/z96Y=")</f>
        <v>#REF!</v>
      </c>
      <c r="FL90" t="e">
        <f>AND(Liste!#REF!,"AAAAAH/z96c=")</f>
        <v>#REF!</v>
      </c>
      <c r="FM90" t="e">
        <f>AND(Liste!#REF!,"AAAAAH/z96g=")</f>
        <v>#REF!</v>
      </c>
      <c r="FN90" t="e">
        <f>AND(Liste!#REF!,"AAAAAH/z96k=")</f>
        <v>#REF!</v>
      </c>
      <c r="FO90" t="e">
        <f>AND(Liste!#REF!,"AAAAAH/z96o=")</f>
        <v>#REF!</v>
      </c>
      <c r="FP90" t="e">
        <f>AND(Liste!#REF!,"AAAAAH/z96s=")</f>
        <v>#REF!</v>
      </c>
      <c r="FQ90" t="e">
        <f>AND(Liste!#REF!,"AAAAAH/z96w=")</f>
        <v>#REF!</v>
      </c>
      <c r="FR90" t="e">
        <f>AND(Liste!#REF!,"AAAAAH/z960=")</f>
        <v>#REF!</v>
      </c>
      <c r="FS90" t="e">
        <f>AND(Liste!#REF!,"AAAAAH/z964=")</f>
        <v>#REF!</v>
      </c>
      <c r="FT90" t="e">
        <f>AND(Liste!#REF!,"AAAAAH/z968=")</f>
        <v>#REF!</v>
      </c>
      <c r="FU90" t="e">
        <f>AND(Liste!#REF!,"AAAAAH/z97A=")</f>
        <v>#REF!</v>
      </c>
      <c r="FV90" t="e">
        <f>AND(Liste!#REF!,"AAAAAH/z97E=")</f>
        <v>#REF!</v>
      </c>
      <c r="FW90" t="e">
        <f>AND(Liste!#REF!,"AAAAAH/z97I=")</f>
        <v>#REF!</v>
      </c>
      <c r="FX90" t="e">
        <f>AND(Liste!#REF!,"AAAAAH/z97M=")</f>
        <v>#REF!</v>
      </c>
      <c r="FY90" t="e">
        <f>AND(Liste!#REF!,"AAAAAH/z97Q=")</f>
        <v>#REF!</v>
      </c>
      <c r="FZ90" t="e">
        <f>AND(Liste!#REF!,"AAAAAH/z97U=")</f>
        <v>#REF!</v>
      </c>
      <c r="GA90" t="e">
        <f>AND(Liste!#REF!,"AAAAAH/z97Y=")</f>
        <v>#REF!</v>
      </c>
      <c r="GB90" t="e">
        <f>AND(Liste!#REF!,"AAAAAH/z97c=")</f>
        <v>#REF!</v>
      </c>
      <c r="GC90" t="e">
        <f>AND(Liste!#REF!,"AAAAAH/z97g=")</f>
        <v>#REF!</v>
      </c>
      <c r="GD90" t="e">
        <f>AND(Liste!#REF!,"AAAAAH/z97k=")</f>
        <v>#REF!</v>
      </c>
      <c r="GE90" t="e">
        <f>AND(Liste!#REF!,"AAAAAH/z97o=")</f>
        <v>#REF!</v>
      </c>
      <c r="GF90" t="e">
        <f>IF(Liste!#REF!,"AAAAAH/z97s=",0)</f>
        <v>#REF!</v>
      </c>
      <c r="GG90" t="e">
        <f>AND(Liste!#REF!,"AAAAAH/z97w=")</f>
        <v>#REF!</v>
      </c>
      <c r="GH90" t="e">
        <f>AND(Liste!#REF!,"AAAAAH/z970=")</f>
        <v>#REF!</v>
      </c>
      <c r="GI90" t="e">
        <f>AND(Liste!#REF!,"AAAAAH/z974=")</f>
        <v>#REF!</v>
      </c>
      <c r="GJ90" t="e">
        <f>AND(Liste!#REF!,"AAAAAH/z978=")</f>
        <v>#REF!</v>
      </c>
      <c r="GK90" t="e">
        <f>AND(Liste!#REF!,"AAAAAH/z98A=")</f>
        <v>#REF!</v>
      </c>
      <c r="GL90" t="e">
        <f>AND(Liste!#REF!,"AAAAAH/z98E=")</f>
        <v>#REF!</v>
      </c>
      <c r="GM90" t="e">
        <f>AND(Liste!#REF!,"AAAAAH/z98I=")</f>
        <v>#REF!</v>
      </c>
      <c r="GN90" t="e">
        <f>AND(Liste!#REF!,"AAAAAH/z98M=")</f>
        <v>#REF!</v>
      </c>
      <c r="GO90" t="e">
        <f>AND(Liste!#REF!,"AAAAAH/z98Q=")</f>
        <v>#REF!</v>
      </c>
      <c r="GP90" t="e">
        <f>AND(Liste!#REF!,"AAAAAH/z98U=")</f>
        <v>#REF!</v>
      </c>
      <c r="GQ90" t="e">
        <f>AND(Liste!#REF!,"AAAAAH/z98Y=")</f>
        <v>#REF!</v>
      </c>
      <c r="GR90" t="e">
        <f>AND(Liste!#REF!,"AAAAAH/z98c=")</f>
        <v>#REF!</v>
      </c>
      <c r="GS90" t="e">
        <f>AND(Liste!#REF!,"AAAAAH/z98g=")</f>
        <v>#REF!</v>
      </c>
      <c r="GT90" t="e">
        <f>AND(Liste!#REF!,"AAAAAH/z98k=")</f>
        <v>#REF!</v>
      </c>
      <c r="GU90" t="e">
        <f>AND(Liste!#REF!,"AAAAAH/z98o=")</f>
        <v>#REF!</v>
      </c>
      <c r="GV90" t="e">
        <f>AND(Liste!#REF!,"AAAAAH/z98s=")</f>
        <v>#REF!</v>
      </c>
      <c r="GW90" t="e">
        <f>AND(Liste!#REF!,"AAAAAH/z98w=")</f>
        <v>#REF!</v>
      </c>
      <c r="GX90" t="e">
        <f>AND(Liste!#REF!,"AAAAAH/z980=")</f>
        <v>#REF!</v>
      </c>
      <c r="GY90" t="e">
        <f>AND(Liste!#REF!,"AAAAAH/z984=")</f>
        <v>#REF!</v>
      </c>
      <c r="GZ90" t="e">
        <f>AND(Liste!#REF!,"AAAAAH/z988=")</f>
        <v>#REF!</v>
      </c>
      <c r="HA90" t="e">
        <f>AND(Liste!#REF!,"AAAAAH/z99A=")</f>
        <v>#REF!</v>
      </c>
      <c r="HB90" t="e">
        <f>AND(Liste!#REF!,"AAAAAH/z99E=")</f>
        <v>#REF!</v>
      </c>
      <c r="HC90" t="e">
        <f>AND(Liste!#REF!,"AAAAAH/z99I=")</f>
        <v>#REF!</v>
      </c>
      <c r="HD90" t="e">
        <f>AND(Liste!#REF!,"AAAAAH/z99M=")</f>
        <v>#REF!</v>
      </c>
      <c r="HE90" t="e">
        <f>AND(Liste!#REF!,"AAAAAH/z99Q=")</f>
        <v>#REF!</v>
      </c>
      <c r="HF90" t="e">
        <f>AND(Liste!#REF!,"AAAAAH/z99U=")</f>
        <v>#REF!</v>
      </c>
      <c r="HG90" t="e">
        <f>AND(Liste!#REF!,"AAAAAH/z99Y=")</f>
        <v>#REF!</v>
      </c>
      <c r="HH90" t="e">
        <f>AND(Liste!#REF!,"AAAAAH/z99c=")</f>
        <v>#REF!</v>
      </c>
      <c r="HI90" t="e">
        <f>AND(Liste!#REF!,"AAAAAH/z99g=")</f>
        <v>#REF!</v>
      </c>
      <c r="HJ90" t="e">
        <f>AND(Liste!#REF!,"AAAAAH/z99k=")</f>
        <v>#REF!</v>
      </c>
      <c r="HK90" t="e">
        <f>IF(Liste!#REF!,"AAAAAH/z99o=",0)</f>
        <v>#REF!</v>
      </c>
      <c r="HL90" t="e">
        <f>AND(Liste!#REF!,"AAAAAH/z99s=")</f>
        <v>#REF!</v>
      </c>
      <c r="HM90" t="e">
        <f>AND(Liste!#REF!,"AAAAAH/z99w=")</f>
        <v>#REF!</v>
      </c>
      <c r="HN90" t="e">
        <f>AND(Liste!#REF!,"AAAAAH/z990=")</f>
        <v>#REF!</v>
      </c>
      <c r="HO90" t="e">
        <f>AND(Liste!#REF!,"AAAAAH/z994=")</f>
        <v>#REF!</v>
      </c>
      <c r="HP90" t="e">
        <f>AND(Liste!#REF!,"AAAAAH/z998=")</f>
        <v>#REF!</v>
      </c>
      <c r="HQ90" t="e">
        <f>AND(Liste!#REF!,"AAAAAH/z9+A=")</f>
        <v>#REF!</v>
      </c>
      <c r="HR90" t="e">
        <f>AND(Liste!#REF!,"AAAAAH/z9+E=")</f>
        <v>#REF!</v>
      </c>
      <c r="HS90" t="e">
        <f>AND(Liste!#REF!,"AAAAAH/z9+I=")</f>
        <v>#REF!</v>
      </c>
      <c r="HT90" t="e">
        <f>AND(Liste!#REF!,"AAAAAH/z9+M=")</f>
        <v>#REF!</v>
      </c>
      <c r="HU90" t="e">
        <f>AND(Liste!#REF!,"AAAAAH/z9+Q=")</f>
        <v>#REF!</v>
      </c>
      <c r="HV90" t="e">
        <f>AND(Liste!#REF!,"AAAAAH/z9+U=")</f>
        <v>#REF!</v>
      </c>
      <c r="HW90" t="e">
        <f>AND(Liste!#REF!,"AAAAAH/z9+Y=")</f>
        <v>#REF!</v>
      </c>
      <c r="HX90" t="e">
        <f>AND(Liste!#REF!,"AAAAAH/z9+c=")</f>
        <v>#REF!</v>
      </c>
      <c r="HY90" t="e">
        <f>AND(Liste!#REF!,"AAAAAH/z9+g=")</f>
        <v>#REF!</v>
      </c>
      <c r="HZ90" t="e">
        <f>AND(Liste!#REF!,"AAAAAH/z9+k=")</f>
        <v>#REF!</v>
      </c>
      <c r="IA90" t="e">
        <f>AND(Liste!#REF!,"AAAAAH/z9+o=")</f>
        <v>#REF!</v>
      </c>
      <c r="IB90" t="e">
        <f>AND(Liste!#REF!,"AAAAAH/z9+s=")</f>
        <v>#REF!</v>
      </c>
      <c r="IC90" t="e">
        <f>AND(Liste!#REF!,"AAAAAH/z9+w=")</f>
        <v>#REF!</v>
      </c>
      <c r="ID90" t="e">
        <f>AND(Liste!#REF!,"AAAAAH/z9+0=")</f>
        <v>#REF!</v>
      </c>
      <c r="IE90" t="e">
        <f>AND(Liste!#REF!,"AAAAAH/z9+4=")</f>
        <v>#REF!</v>
      </c>
      <c r="IF90" t="e">
        <f>AND(Liste!#REF!,"AAAAAH/z9+8=")</f>
        <v>#REF!</v>
      </c>
      <c r="IG90" t="e">
        <f>AND(Liste!#REF!,"AAAAAH/z9/A=")</f>
        <v>#REF!</v>
      </c>
      <c r="IH90" t="e">
        <f>AND(Liste!#REF!,"AAAAAH/z9/E=")</f>
        <v>#REF!</v>
      </c>
      <c r="II90" t="e">
        <f>AND(Liste!#REF!,"AAAAAH/z9/I=")</f>
        <v>#REF!</v>
      </c>
      <c r="IJ90" t="e">
        <f>AND(Liste!#REF!,"AAAAAH/z9/M=")</f>
        <v>#REF!</v>
      </c>
      <c r="IK90" t="e">
        <f>AND(Liste!#REF!,"AAAAAH/z9/Q=")</f>
        <v>#REF!</v>
      </c>
      <c r="IL90" t="e">
        <f>AND(Liste!#REF!,"AAAAAH/z9/U=")</f>
        <v>#REF!</v>
      </c>
      <c r="IM90" t="e">
        <f>AND(Liste!#REF!,"AAAAAH/z9/Y=")</f>
        <v>#REF!</v>
      </c>
      <c r="IN90" t="e">
        <f>AND(Liste!#REF!,"AAAAAH/z9/c=")</f>
        <v>#REF!</v>
      </c>
      <c r="IO90" t="e">
        <f>AND(Liste!#REF!,"AAAAAH/z9/g=")</f>
        <v>#REF!</v>
      </c>
      <c r="IP90" t="e">
        <f>IF(Liste!#REF!,"AAAAAH/z9/k=",0)</f>
        <v>#REF!</v>
      </c>
      <c r="IQ90" t="e">
        <f>AND(Liste!#REF!,"AAAAAH/z9/o=")</f>
        <v>#REF!</v>
      </c>
      <c r="IR90" t="e">
        <f>AND(Liste!#REF!,"AAAAAH/z9/s=")</f>
        <v>#REF!</v>
      </c>
      <c r="IS90" t="e">
        <f>AND(Liste!#REF!,"AAAAAH/z9/w=")</f>
        <v>#REF!</v>
      </c>
      <c r="IT90" t="e">
        <f>AND(Liste!#REF!,"AAAAAH/z9/0=")</f>
        <v>#REF!</v>
      </c>
      <c r="IU90" t="e">
        <f>AND(Liste!#REF!,"AAAAAH/z9/4=")</f>
        <v>#REF!</v>
      </c>
      <c r="IV90" t="e">
        <f>AND(Liste!#REF!,"AAAAAH/z9/8=")</f>
        <v>#REF!</v>
      </c>
    </row>
    <row r="91" spans="1:256" x14ac:dyDescent="0.2">
      <c r="A91" t="e">
        <f>AND(Liste!#REF!,"AAAAAH877wA=")</f>
        <v>#REF!</v>
      </c>
      <c r="B91" t="e">
        <f>AND(Liste!#REF!,"AAAAAH877wE=")</f>
        <v>#REF!</v>
      </c>
      <c r="C91" t="e">
        <f>AND(Liste!#REF!,"AAAAAH877wI=")</f>
        <v>#REF!</v>
      </c>
      <c r="D91" t="e">
        <f>AND(Liste!#REF!,"AAAAAH877wM=")</f>
        <v>#REF!</v>
      </c>
      <c r="E91" t="e">
        <f>AND(Liste!#REF!,"AAAAAH877wQ=")</f>
        <v>#REF!</v>
      </c>
      <c r="F91" t="e">
        <f>AND(Liste!#REF!,"AAAAAH877wU=")</f>
        <v>#REF!</v>
      </c>
      <c r="G91" t="e">
        <f>AND(Liste!#REF!,"AAAAAH877wY=")</f>
        <v>#REF!</v>
      </c>
      <c r="H91" t="e">
        <f>AND(Liste!#REF!,"AAAAAH877wc=")</f>
        <v>#REF!</v>
      </c>
      <c r="I91" t="e">
        <f>AND(Liste!#REF!,"AAAAAH877wg=")</f>
        <v>#REF!</v>
      </c>
      <c r="J91" t="e">
        <f>AND(Liste!#REF!,"AAAAAH877wk=")</f>
        <v>#REF!</v>
      </c>
      <c r="K91" t="e">
        <f>AND(Liste!#REF!,"AAAAAH877wo=")</f>
        <v>#REF!</v>
      </c>
      <c r="L91" t="e">
        <f>AND(Liste!#REF!,"AAAAAH877ws=")</f>
        <v>#REF!</v>
      </c>
      <c r="M91" t="e">
        <f>AND(Liste!#REF!,"AAAAAH877ww=")</f>
        <v>#REF!</v>
      </c>
      <c r="N91" t="e">
        <f>AND(Liste!#REF!,"AAAAAH877w0=")</f>
        <v>#REF!</v>
      </c>
      <c r="O91" t="e">
        <f>AND(Liste!#REF!,"AAAAAH877w4=")</f>
        <v>#REF!</v>
      </c>
      <c r="P91" t="e">
        <f>AND(Liste!#REF!,"AAAAAH877w8=")</f>
        <v>#REF!</v>
      </c>
      <c r="Q91" t="e">
        <f>AND(Liste!#REF!,"AAAAAH877xA=")</f>
        <v>#REF!</v>
      </c>
      <c r="R91" t="e">
        <f>AND(Liste!#REF!,"AAAAAH877xE=")</f>
        <v>#REF!</v>
      </c>
      <c r="S91" t="e">
        <f>AND(Liste!#REF!,"AAAAAH877xI=")</f>
        <v>#REF!</v>
      </c>
      <c r="T91" t="e">
        <f>AND(Liste!#REF!,"AAAAAH877xM=")</f>
        <v>#REF!</v>
      </c>
      <c r="U91" t="e">
        <f>AND(Liste!#REF!,"AAAAAH877xQ=")</f>
        <v>#REF!</v>
      </c>
      <c r="V91" t="e">
        <f>AND(Liste!#REF!,"AAAAAH877xU=")</f>
        <v>#REF!</v>
      </c>
      <c r="W91" t="e">
        <f>AND(Liste!#REF!,"AAAAAH877xY=")</f>
        <v>#REF!</v>
      </c>
      <c r="X91" t="e">
        <f>AND(Liste!#REF!,"AAAAAH877xc=")</f>
        <v>#REF!</v>
      </c>
      <c r="Y91" t="e">
        <f>IF(Liste!#REF!,"AAAAAH877xg=",0)</f>
        <v>#REF!</v>
      </c>
      <c r="Z91" t="e">
        <f>AND(Liste!#REF!,"AAAAAH877xk=")</f>
        <v>#REF!</v>
      </c>
      <c r="AA91" t="e">
        <f>AND(Liste!#REF!,"AAAAAH877xo=")</f>
        <v>#REF!</v>
      </c>
      <c r="AB91" t="e">
        <f>AND(Liste!#REF!,"AAAAAH877xs=")</f>
        <v>#REF!</v>
      </c>
      <c r="AC91" t="e">
        <f>AND(Liste!#REF!,"AAAAAH877xw=")</f>
        <v>#REF!</v>
      </c>
      <c r="AD91" t="e">
        <f>AND(Liste!#REF!,"AAAAAH877x0=")</f>
        <v>#REF!</v>
      </c>
      <c r="AE91" t="e">
        <f>AND(Liste!#REF!,"AAAAAH877x4=")</f>
        <v>#REF!</v>
      </c>
      <c r="AF91" t="e">
        <f>AND(Liste!#REF!,"AAAAAH877x8=")</f>
        <v>#REF!</v>
      </c>
      <c r="AG91" t="e">
        <f>AND(Liste!#REF!,"AAAAAH877yA=")</f>
        <v>#REF!</v>
      </c>
      <c r="AH91" t="e">
        <f>AND(Liste!#REF!,"AAAAAH877yE=")</f>
        <v>#REF!</v>
      </c>
      <c r="AI91" t="e">
        <f>AND(Liste!#REF!,"AAAAAH877yI=")</f>
        <v>#REF!</v>
      </c>
      <c r="AJ91" t="e">
        <f>AND(Liste!#REF!,"AAAAAH877yM=")</f>
        <v>#REF!</v>
      </c>
      <c r="AK91" t="e">
        <f>AND(Liste!#REF!,"AAAAAH877yQ=")</f>
        <v>#REF!</v>
      </c>
      <c r="AL91" t="e">
        <f>AND(Liste!#REF!,"AAAAAH877yU=")</f>
        <v>#REF!</v>
      </c>
      <c r="AM91" t="e">
        <f>AND(Liste!#REF!,"AAAAAH877yY=")</f>
        <v>#REF!</v>
      </c>
      <c r="AN91" t="e">
        <f>AND(Liste!#REF!,"AAAAAH877yc=")</f>
        <v>#REF!</v>
      </c>
      <c r="AO91" t="e">
        <f>AND(Liste!#REF!,"AAAAAH877yg=")</f>
        <v>#REF!</v>
      </c>
      <c r="AP91" t="e">
        <f>AND(Liste!#REF!,"AAAAAH877yk=")</f>
        <v>#REF!</v>
      </c>
      <c r="AQ91" t="e">
        <f>AND(Liste!#REF!,"AAAAAH877yo=")</f>
        <v>#REF!</v>
      </c>
      <c r="AR91" t="e">
        <f>AND(Liste!#REF!,"AAAAAH877ys=")</f>
        <v>#REF!</v>
      </c>
      <c r="AS91" t="e">
        <f>AND(Liste!#REF!,"AAAAAH877yw=")</f>
        <v>#REF!</v>
      </c>
      <c r="AT91" t="e">
        <f>AND(Liste!#REF!,"AAAAAH877y0=")</f>
        <v>#REF!</v>
      </c>
      <c r="AU91" t="e">
        <f>AND(Liste!#REF!,"AAAAAH877y4=")</f>
        <v>#REF!</v>
      </c>
      <c r="AV91" t="e">
        <f>AND(Liste!#REF!,"AAAAAH877y8=")</f>
        <v>#REF!</v>
      </c>
      <c r="AW91" t="e">
        <f>AND(Liste!#REF!,"AAAAAH877zA=")</f>
        <v>#REF!</v>
      </c>
      <c r="AX91" t="e">
        <f>AND(Liste!#REF!,"AAAAAH877zE=")</f>
        <v>#REF!</v>
      </c>
      <c r="AY91" t="e">
        <f>AND(Liste!#REF!,"AAAAAH877zI=")</f>
        <v>#REF!</v>
      </c>
      <c r="AZ91" t="e">
        <f>AND(Liste!#REF!,"AAAAAH877zM=")</f>
        <v>#REF!</v>
      </c>
      <c r="BA91" t="e">
        <f>AND(Liste!#REF!,"AAAAAH877zQ=")</f>
        <v>#REF!</v>
      </c>
      <c r="BB91" t="e">
        <f>AND(Liste!#REF!,"AAAAAH877zU=")</f>
        <v>#REF!</v>
      </c>
      <c r="BC91" t="e">
        <f>AND(Liste!#REF!,"AAAAAH877zY=")</f>
        <v>#REF!</v>
      </c>
      <c r="BD91" t="e">
        <f>IF(Liste!#REF!,"AAAAAH877zc=",0)</f>
        <v>#REF!</v>
      </c>
      <c r="BE91" t="e">
        <f>AND(Liste!#REF!,"AAAAAH877zg=")</f>
        <v>#REF!</v>
      </c>
      <c r="BF91" t="e">
        <f>AND(Liste!#REF!,"AAAAAH877zk=")</f>
        <v>#REF!</v>
      </c>
      <c r="BG91" t="e">
        <f>AND(Liste!#REF!,"AAAAAH877zo=")</f>
        <v>#REF!</v>
      </c>
      <c r="BH91" t="e">
        <f>AND(Liste!#REF!,"AAAAAH877zs=")</f>
        <v>#REF!</v>
      </c>
      <c r="BI91" t="e">
        <f>AND(Liste!#REF!,"AAAAAH877zw=")</f>
        <v>#REF!</v>
      </c>
      <c r="BJ91" t="e">
        <f>AND(Liste!#REF!,"AAAAAH877z0=")</f>
        <v>#REF!</v>
      </c>
      <c r="BK91" t="e">
        <f>AND(Liste!#REF!,"AAAAAH877z4=")</f>
        <v>#REF!</v>
      </c>
      <c r="BL91" t="e">
        <f>AND(Liste!#REF!,"AAAAAH877z8=")</f>
        <v>#REF!</v>
      </c>
      <c r="BM91" t="e">
        <f>AND(Liste!#REF!,"AAAAAH8770A=")</f>
        <v>#REF!</v>
      </c>
      <c r="BN91" t="e">
        <f>AND(Liste!#REF!,"AAAAAH8770E=")</f>
        <v>#REF!</v>
      </c>
      <c r="BO91" t="e">
        <f>AND(Liste!#REF!,"AAAAAH8770I=")</f>
        <v>#REF!</v>
      </c>
      <c r="BP91" t="e">
        <f>AND(Liste!#REF!,"AAAAAH8770M=")</f>
        <v>#REF!</v>
      </c>
      <c r="BQ91" t="e">
        <f>AND(Liste!#REF!,"AAAAAH8770Q=")</f>
        <v>#REF!</v>
      </c>
      <c r="BR91" t="e">
        <f>AND(Liste!#REF!,"AAAAAH8770U=")</f>
        <v>#REF!</v>
      </c>
      <c r="BS91" t="e">
        <f>AND(Liste!#REF!,"AAAAAH8770Y=")</f>
        <v>#REF!</v>
      </c>
      <c r="BT91" t="e">
        <f>AND(Liste!#REF!,"AAAAAH8770c=")</f>
        <v>#REF!</v>
      </c>
      <c r="BU91" t="e">
        <f>AND(Liste!#REF!,"AAAAAH8770g=")</f>
        <v>#REF!</v>
      </c>
      <c r="BV91" t="e">
        <f>AND(Liste!#REF!,"AAAAAH8770k=")</f>
        <v>#REF!</v>
      </c>
      <c r="BW91" t="e">
        <f>AND(Liste!#REF!,"AAAAAH8770o=")</f>
        <v>#REF!</v>
      </c>
      <c r="BX91" t="e">
        <f>AND(Liste!#REF!,"AAAAAH8770s=")</f>
        <v>#REF!</v>
      </c>
      <c r="BY91" t="e">
        <f>AND(Liste!#REF!,"AAAAAH8770w=")</f>
        <v>#REF!</v>
      </c>
      <c r="BZ91" t="e">
        <f>AND(Liste!#REF!,"AAAAAH87700=")</f>
        <v>#REF!</v>
      </c>
      <c r="CA91" t="e">
        <f>AND(Liste!#REF!,"AAAAAH87704=")</f>
        <v>#REF!</v>
      </c>
      <c r="CB91" t="e">
        <f>AND(Liste!#REF!,"AAAAAH87708=")</f>
        <v>#REF!</v>
      </c>
      <c r="CC91" t="e">
        <f>AND(Liste!#REF!,"AAAAAH8771A=")</f>
        <v>#REF!</v>
      </c>
      <c r="CD91" t="e">
        <f>AND(Liste!#REF!,"AAAAAH8771E=")</f>
        <v>#REF!</v>
      </c>
      <c r="CE91" t="e">
        <f>AND(Liste!#REF!,"AAAAAH8771I=")</f>
        <v>#REF!</v>
      </c>
      <c r="CF91" t="e">
        <f>AND(Liste!#REF!,"AAAAAH8771M=")</f>
        <v>#REF!</v>
      </c>
      <c r="CG91" t="e">
        <f>AND(Liste!#REF!,"AAAAAH8771Q=")</f>
        <v>#REF!</v>
      </c>
      <c r="CH91" t="e">
        <f>AND(Liste!#REF!,"AAAAAH8771U=")</f>
        <v>#REF!</v>
      </c>
      <c r="CI91" t="e">
        <f>IF(Liste!#REF!,"AAAAAH8771Y=",0)</f>
        <v>#REF!</v>
      </c>
      <c r="CJ91" t="e">
        <f>AND(Liste!#REF!,"AAAAAH8771c=")</f>
        <v>#REF!</v>
      </c>
      <c r="CK91" t="e">
        <f>AND(Liste!#REF!,"AAAAAH8771g=")</f>
        <v>#REF!</v>
      </c>
      <c r="CL91" t="e">
        <f>AND(Liste!#REF!,"AAAAAH8771k=")</f>
        <v>#REF!</v>
      </c>
      <c r="CM91" t="e">
        <f>AND(Liste!#REF!,"AAAAAH8771o=")</f>
        <v>#REF!</v>
      </c>
      <c r="CN91" t="e">
        <f>AND(Liste!#REF!,"AAAAAH8771s=")</f>
        <v>#REF!</v>
      </c>
      <c r="CO91" t="e">
        <f>AND(Liste!#REF!,"AAAAAH8771w=")</f>
        <v>#REF!</v>
      </c>
      <c r="CP91" t="e">
        <f>AND(Liste!#REF!,"AAAAAH87710=")</f>
        <v>#REF!</v>
      </c>
      <c r="CQ91" t="e">
        <f>AND(Liste!#REF!,"AAAAAH87714=")</f>
        <v>#REF!</v>
      </c>
      <c r="CR91" t="e">
        <f>AND(Liste!#REF!,"AAAAAH87718=")</f>
        <v>#REF!</v>
      </c>
      <c r="CS91" t="e">
        <f>AND(Liste!#REF!,"AAAAAH8772A=")</f>
        <v>#REF!</v>
      </c>
      <c r="CT91" t="e">
        <f>AND(Liste!#REF!,"AAAAAH8772E=")</f>
        <v>#REF!</v>
      </c>
      <c r="CU91" t="e">
        <f>AND(Liste!#REF!,"AAAAAH8772I=")</f>
        <v>#REF!</v>
      </c>
      <c r="CV91" t="e">
        <f>AND(Liste!#REF!,"AAAAAH8772M=")</f>
        <v>#REF!</v>
      </c>
      <c r="CW91" t="e">
        <f>AND(Liste!#REF!,"AAAAAH8772Q=")</f>
        <v>#REF!</v>
      </c>
      <c r="CX91" t="e">
        <f>AND(Liste!#REF!,"AAAAAH8772U=")</f>
        <v>#REF!</v>
      </c>
      <c r="CY91" t="e">
        <f>AND(Liste!#REF!,"AAAAAH8772Y=")</f>
        <v>#REF!</v>
      </c>
      <c r="CZ91" t="e">
        <f>AND(Liste!#REF!,"AAAAAH8772c=")</f>
        <v>#REF!</v>
      </c>
      <c r="DA91" t="e">
        <f>AND(Liste!#REF!,"AAAAAH8772g=")</f>
        <v>#REF!</v>
      </c>
      <c r="DB91" t="e">
        <f>AND(Liste!#REF!,"AAAAAH8772k=")</f>
        <v>#REF!</v>
      </c>
      <c r="DC91" t="e">
        <f>AND(Liste!#REF!,"AAAAAH8772o=")</f>
        <v>#REF!</v>
      </c>
      <c r="DD91" t="e">
        <f>AND(Liste!#REF!,"AAAAAH8772s=")</f>
        <v>#REF!</v>
      </c>
      <c r="DE91" t="e">
        <f>AND(Liste!#REF!,"AAAAAH8772w=")</f>
        <v>#REF!</v>
      </c>
      <c r="DF91" t="e">
        <f>AND(Liste!#REF!,"AAAAAH87720=")</f>
        <v>#REF!</v>
      </c>
      <c r="DG91" t="e">
        <f>AND(Liste!#REF!,"AAAAAH87724=")</f>
        <v>#REF!</v>
      </c>
      <c r="DH91" t="e">
        <f>AND(Liste!#REF!,"AAAAAH87728=")</f>
        <v>#REF!</v>
      </c>
      <c r="DI91" t="e">
        <f>AND(Liste!#REF!,"AAAAAH8773A=")</f>
        <v>#REF!</v>
      </c>
      <c r="DJ91" t="e">
        <f>AND(Liste!#REF!,"AAAAAH8773E=")</f>
        <v>#REF!</v>
      </c>
      <c r="DK91" t="e">
        <f>AND(Liste!#REF!,"AAAAAH8773I=")</f>
        <v>#REF!</v>
      </c>
      <c r="DL91" t="e">
        <f>AND(Liste!#REF!,"AAAAAH8773M=")</f>
        <v>#REF!</v>
      </c>
      <c r="DM91" t="e">
        <f>AND(Liste!#REF!,"AAAAAH8773Q=")</f>
        <v>#REF!</v>
      </c>
      <c r="DN91" t="e">
        <f>IF(Liste!#REF!,"AAAAAH8773U=",0)</f>
        <v>#REF!</v>
      </c>
      <c r="DO91" t="e">
        <f>AND(Liste!#REF!,"AAAAAH8773Y=")</f>
        <v>#REF!</v>
      </c>
      <c r="DP91" t="e">
        <f>AND(Liste!#REF!,"AAAAAH8773c=")</f>
        <v>#REF!</v>
      </c>
      <c r="DQ91" t="e">
        <f>AND(Liste!#REF!,"AAAAAH8773g=")</f>
        <v>#REF!</v>
      </c>
      <c r="DR91" t="e">
        <f>AND(Liste!#REF!,"AAAAAH8773k=")</f>
        <v>#REF!</v>
      </c>
      <c r="DS91" t="e">
        <f>AND(Liste!#REF!,"AAAAAH8773o=")</f>
        <v>#REF!</v>
      </c>
      <c r="DT91" t="e">
        <f>AND(Liste!#REF!,"AAAAAH8773s=")</f>
        <v>#REF!</v>
      </c>
      <c r="DU91" t="e">
        <f>AND(Liste!#REF!,"AAAAAH8773w=")</f>
        <v>#REF!</v>
      </c>
      <c r="DV91" t="e">
        <f>AND(Liste!#REF!,"AAAAAH87730=")</f>
        <v>#REF!</v>
      </c>
      <c r="DW91" t="e">
        <f>AND(Liste!#REF!,"AAAAAH87734=")</f>
        <v>#REF!</v>
      </c>
      <c r="DX91" t="e">
        <f>AND(Liste!#REF!,"AAAAAH87738=")</f>
        <v>#REF!</v>
      </c>
      <c r="DY91" t="e">
        <f>AND(Liste!#REF!,"AAAAAH8774A=")</f>
        <v>#REF!</v>
      </c>
      <c r="DZ91" t="e">
        <f>AND(Liste!#REF!,"AAAAAH8774E=")</f>
        <v>#REF!</v>
      </c>
      <c r="EA91" t="e">
        <f>AND(Liste!#REF!,"AAAAAH8774I=")</f>
        <v>#REF!</v>
      </c>
      <c r="EB91" t="e">
        <f>AND(Liste!#REF!,"AAAAAH8774M=")</f>
        <v>#REF!</v>
      </c>
      <c r="EC91" t="e">
        <f>AND(Liste!#REF!,"AAAAAH8774Q=")</f>
        <v>#REF!</v>
      </c>
      <c r="ED91" t="e">
        <f>AND(Liste!#REF!,"AAAAAH8774U=")</f>
        <v>#REF!</v>
      </c>
      <c r="EE91" t="e">
        <f>AND(Liste!#REF!,"AAAAAH8774Y=")</f>
        <v>#REF!</v>
      </c>
      <c r="EF91" t="e">
        <f>AND(Liste!#REF!,"AAAAAH8774c=")</f>
        <v>#REF!</v>
      </c>
      <c r="EG91" t="e">
        <f>AND(Liste!#REF!,"AAAAAH8774g=")</f>
        <v>#REF!</v>
      </c>
      <c r="EH91" t="e">
        <f>AND(Liste!#REF!,"AAAAAH8774k=")</f>
        <v>#REF!</v>
      </c>
      <c r="EI91" t="e">
        <f>AND(Liste!#REF!,"AAAAAH8774o=")</f>
        <v>#REF!</v>
      </c>
      <c r="EJ91" t="e">
        <f>AND(Liste!#REF!,"AAAAAH8774s=")</f>
        <v>#REF!</v>
      </c>
      <c r="EK91" t="e">
        <f>AND(Liste!#REF!,"AAAAAH8774w=")</f>
        <v>#REF!</v>
      </c>
      <c r="EL91" t="e">
        <f>AND(Liste!#REF!,"AAAAAH87740=")</f>
        <v>#REF!</v>
      </c>
      <c r="EM91" t="e">
        <f>AND(Liste!#REF!,"AAAAAH87744=")</f>
        <v>#REF!</v>
      </c>
      <c r="EN91" t="e">
        <f>AND(Liste!#REF!,"AAAAAH87748=")</f>
        <v>#REF!</v>
      </c>
      <c r="EO91" t="e">
        <f>AND(Liste!#REF!,"AAAAAH8775A=")</f>
        <v>#REF!</v>
      </c>
      <c r="EP91" t="e">
        <f>AND(Liste!#REF!,"AAAAAH8775E=")</f>
        <v>#REF!</v>
      </c>
      <c r="EQ91" t="e">
        <f>AND(Liste!#REF!,"AAAAAH8775I=")</f>
        <v>#REF!</v>
      </c>
      <c r="ER91" t="e">
        <f>AND(Liste!#REF!,"AAAAAH8775M=")</f>
        <v>#REF!</v>
      </c>
      <c r="ES91" t="e">
        <f>IF(Liste!#REF!,"AAAAAH8775Q=",0)</f>
        <v>#REF!</v>
      </c>
      <c r="ET91" t="e">
        <f>AND(Liste!#REF!,"AAAAAH8775U=")</f>
        <v>#REF!</v>
      </c>
      <c r="EU91" t="e">
        <f>AND(Liste!#REF!,"AAAAAH8775Y=")</f>
        <v>#REF!</v>
      </c>
      <c r="EV91" t="e">
        <f>AND(Liste!#REF!,"AAAAAH8775c=")</f>
        <v>#REF!</v>
      </c>
      <c r="EW91" t="e">
        <f>AND(Liste!#REF!,"AAAAAH8775g=")</f>
        <v>#REF!</v>
      </c>
      <c r="EX91" t="e">
        <f>AND(Liste!#REF!,"AAAAAH8775k=")</f>
        <v>#REF!</v>
      </c>
      <c r="EY91" t="e">
        <f>AND(Liste!#REF!,"AAAAAH8775o=")</f>
        <v>#REF!</v>
      </c>
      <c r="EZ91" t="e">
        <f>AND(Liste!#REF!,"AAAAAH8775s=")</f>
        <v>#REF!</v>
      </c>
      <c r="FA91" t="e">
        <f>AND(Liste!#REF!,"AAAAAH8775w=")</f>
        <v>#REF!</v>
      </c>
      <c r="FB91" t="e">
        <f>AND(Liste!#REF!,"AAAAAH87750=")</f>
        <v>#REF!</v>
      </c>
      <c r="FC91" t="e">
        <f>AND(Liste!#REF!,"AAAAAH87754=")</f>
        <v>#REF!</v>
      </c>
      <c r="FD91" t="e">
        <f>AND(Liste!#REF!,"AAAAAH87758=")</f>
        <v>#REF!</v>
      </c>
      <c r="FE91" t="e">
        <f>AND(Liste!#REF!,"AAAAAH8776A=")</f>
        <v>#REF!</v>
      </c>
      <c r="FF91" t="e">
        <f>AND(Liste!#REF!,"AAAAAH8776E=")</f>
        <v>#REF!</v>
      </c>
      <c r="FG91" t="e">
        <f>AND(Liste!#REF!,"AAAAAH8776I=")</f>
        <v>#REF!</v>
      </c>
      <c r="FH91" t="e">
        <f>AND(Liste!#REF!,"AAAAAH8776M=")</f>
        <v>#REF!</v>
      </c>
      <c r="FI91" t="e">
        <f>AND(Liste!#REF!,"AAAAAH8776Q=")</f>
        <v>#REF!</v>
      </c>
      <c r="FJ91" t="e">
        <f>AND(Liste!#REF!,"AAAAAH8776U=")</f>
        <v>#REF!</v>
      </c>
      <c r="FK91" t="e">
        <f>AND(Liste!#REF!,"AAAAAH8776Y=")</f>
        <v>#REF!</v>
      </c>
      <c r="FL91" t="e">
        <f>AND(Liste!#REF!,"AAAAAH8776c=")</f>
        <v>#REF!</v>
      </c>
      <c r="FM91" t="e">
        <f>AND(Liste!#REF!,"AAAAAH8776g=")</f>
        <v>#REF!</v>
      </c>
      <c r="FN91" t="e">
        <f>AND(Liste!#REF!,"AAAAAH8776k=")</f>
        <v>#REF!</v>
      </c>
      <c r="FO91" t="e">
        <f>AND(Liste!#REF!,"AAAAAH8776o=")</f>
        <v>#REF!</v>
      </c>
      <c r="FP91" t="e">
        <f>AND(Liste!#REF!,"AAAAAH8776s=")</f>
        <v>#REF!</v>
      </c>
      <c r="FQ91" t="e">
        <f>AND(Liste!#REF!,"AAAAAH8776w=")</f>
        <v>#REF!</v>
      </c>
      <c r="FR91" t="e">
        <f>AND(Liste!#REF!,"AAAAAH87760=")</f>
        <v>#REF!</v>
      </c>
      <c r="FS91" t="e">
        <f>AND(Liste!#REF!,"AAAAAH87764=")</f>
        <v>#REF!</v>
      </c>
      <c r="FT91" t="e">
        <f>AND(Liste!#REF!,"AAAAAH87768=")</f>
        <v>#REF!</v>
      </c>
      <c r="FU91" t="e">
        <f>AND(Liste!#REF!,"AAAAAH8777A=")</f>
        <v>#REF!</v>
      </c>
      <c r="FV91" t="e">
        <f>AND(Liste!#REF!,"AAAAAH8777E=")</f>
        <v>#REF!</v>
      </c>
      <c r="FW91" t="e">
        <f>AND(Liste!#REF!,"AAAAAH8777I=")</f>
        <v>#REF!</v>
      </c>
      <c r="FX91" t="e">
        <f>IF(Liste!#REF!,"AAAAAH8777M=",0)</f>
        <v>#REF!</v>
      </c>
      <c r="FY91" t="e">
        <f>AND(Liste!#REF!,"AAAAAH8777Q=")</f>
        <v>#REF!</v>
      </c>
      <c r="FZ91" t="e">
        <f>AND(Liste!#REF!,"AAAAAH8777U=")</f>
        <v>#REF!</v>
      </c>
      <c r="GA91" t="e">
        <f>AND(Liste!#REF!,"AAAAAH8777Y=")</f>
        <v>#REF!</v>
      </c>
      <c r="GB91" t="e">
        <f>AND(Liste!#REF!,"AAAAAH8777c=")</f>
        <v>#REF!</v>
      </c>
      <c r="GC91" t="e">
        <f>AND(Liste!#REF!,"AAAAAH8777g=")</f>
        <v>#REF!</v>
      </c>
      <c r="GD91" t="e">
        <f>AND(Liste!#REF!,"AAAAAH8777k=")</f>
        <v>#REF!</v>
      </c>
      <c r="GE91" t="e">
        <f>AND(Liste!#REF!,"AAAAAH8777o=")</f>
        <v>#REF!</v>
      </c>
      <c r="GF91" t="e">
        <f>AND(Liste!#REF!,"AAAAAH8777s=")</f>
        <v>#REF!</v>
      </c>
      <c r="GG91" t="e">
        <f>AND(Liste!#REF!,"AAAAAH8777w=")</f>
        <v>#REF!</v>
      </c>
      <c r="GH91" t="e">
        <f>AND(Liste!#REF!,"AAAAAH87770=")</f>
        <v>#REF!</v>
      </c>
      <c r="GI91" t="e">
        <f>AND(Liste!#REF!,"AAAAAH87774=")</f>
        <v>#REF!</v>
      </c>
      <c r="GJ91" t="e">
        <f>AND(Liste!#REF!,"AAAAAH87778=")</f>
        <v>#REF!</v>
      </c>
      <c r="GK91" t="e">
        <f>AND(Liste!#REF!,"AAAAAH8778A=")</f>
        <v>#REF!</v>
      </c>
      <c r="GL91" t="e">
        <f>AND(Liste!#REF!,"AAAAAH8778E=")</f>
        <v>#REF!</v>
      </c>
      <c r="GM91" t="e">
        <f>AND(Liste!#REF!,"AAAAAH8778I=")</f>
        <v>#REF!</v>
      </c>
      <c r="GN91" t="e">
        <f>AND(Liste!#REF!,"AAAAAH8778M=")</f>
        <v>#REF!</v>
      </c>
      <c r="GO91" t="e">
        <f>AND(Liste!#REF!,"AAAAAH8778Q=")</f>
        <v>#REF!</v>
      </c>
      <c r="GP91" t="e">
        <f>AND(Liste!#REF!,"AAAAAH8778U=")</f>
        <v>#REF!</v>
      </c>
      <c r="GQ91" t="e">
        <f>AND(Liste!#REF!,"AAAAAH8778Y=")</f>
        <v>#REF!</v>
      </c>
      <c r="GR91" t="e">
        <f>AND(Liste!#REF!,"AAAAAH8778c=")</f>
        <v>#REF!</v>
      </c>
      <c r="GS91" t="e">
        <f>AND(Liste!#REF!,"AAAAAH8778g=")</f>
        <v>#REF!</v>
      </c>
      <c r="GT91" t="e">
        <f>AND(Liste!#REF!,"AAAAAH8778k=")</f>
        <v>#REF!</v>
      </c>
      <c r="GU91" t="e">
        <f>AND(Liste!#REF!,"AAAAAH8778o=")</f>
        <v>#REF!</v>
      </c>
      <c r="GV91" t="e">
        <f>AND(Liste!#REF!,"AAAAAH8778s=")</f>
        <v>#REF!</v>
      </c>
      <c r="GW91" t="e">
        <f>AND(Liste!#REF!,"AAAAAH8778w=")</f>
        <v>#REF!</v>
      </c>
      <c r="GX91" t="e">
        <f>AND(Liste!#REF!,"AAAAAH87780=")</f>
        <v>#REF!</v>
      </c>
      <c r="GY91" t="e">
        <f>AND(Liste!#REF!,"AAAAAH87784=")</f>
        <v>#REF!</v>
      </c>
      <c r="GZ91" t="e">
        <f>AND(Liste!#REF!,"AAAAAH87788=")</f>
        <v>#REF!</v>
      </c>
      <c r="HA91" t="e">
        <f>AND(Liste!#REF!,"AAAAAH8779A=")</f>
        <v>#REF!</v>
      </c>
      <c r="HB91" t="e">
        <f>AND(Liste!#REF!,"AAAAAH8779E=")</f>
        <v>#REF!</v>
      </c>
      <c r="HC91" t="e">
        <f>IF(Liste!#REF!,"AAAAAH8779I=",0)</f>
        <v>#REF!</v>
      </c>
      <c r="HD91" t="e">
        <f>AND(Liste!#REF!,"AAAAAH8779M=")</f>
        <v>#REF!</v>
      </c>
      <c r="HE91" t="e">
        <f>AND(Liste!#REF!,"AAAAAH8779Q=")</f>
        <v>#REF!</v>
      </c>
      <c r="HF91" t="e">
        <f>AND(Liste!#REF!,"AAAAAH8779U=")</f>
        <v>#REF!</v>
      </c>
      <c r="HG91" t="e">
        <f>AND(Liste!#REF!,"AAAAAH8779Y=")</f>
        <v>#REF!</v>
      </c>
      <c r="HH91" t="e">
        <f>AND(Liste!#REF!,"AAAAAH8779c=")</f>
        <v>#REF!</v>
      </c>
      <c r="HI91" t="e">
        <f>AND(Liste!#REF!,"AAAAAH8779g=")</f>
        <v>#REF!</v>
      </c>
      <c r="HJ91" t="e">
        <f>AND(Liste!#REF!,"AAAAAH8779k=")</f>
        <v>#REF!</v>
      </c>
      <c r="HK91" t="e">
        <f>AND(Liste!#REF!,"AAAAAH8779o=")</f>
        <v>#REF!</v>
      </c>
      <c r="HL91" t="e">
        <f>AND(Liste!#REF!,"AAAAAH8779s=")</f>
        <v>#REF!</v>
      </c>
      <c r="HM91" t="e">
        <f>AND(Liste!#REF!,"AAAAAH8779w=")</f>
        <v>#REF!</v>
      </c>
      <c r="HN91" t="e">
        <f>AND(Liste!#REF!,"AAAAAH87790=")</f>
        <v>#REF!</v>
      </c>
      <c r="HO91" t="e">
        <f>AND(Liste!#REF!,"AAAAAH87794=")</f>
        <v>#REF!</v>
      </c>
      <c r="HP91" t="e">
        <f>AND(Liste!#REF!,"AAAAAH87798=")</f>
        <v>#REF!</v>
      </c>
      <c r="HQ91" t="e">
        <f>AND(Liste!#REF!,"AAAAAH877+A=")</f>
        <v>#REF!</v>
      </c>
      <c r="HR91" t="e">
        <f>AND(Liste!#REF!,"AAAAAH877+E=")</f>
        <v>#REF!</v>
      </c>
      <c r="HS91" t="e">
        <f>AND(Liste!#REF!,"AAAAAH877+I=")</f>
        <v>#REF!</v>
      </c>
      <c r="HT91" t="e">
        <f>AND(Liste!#REF!,"AAAAAH877+M=")</f>
        <v>#REF!</v>
      </c>
      <c r="HU91" t="e">
        <f>AND(Liste!#REF!,"AAAAAH877+Q=")</f>
        <v>#REF!</v>
      </c>
      <c r="HV91" t="e">
        <f>AND(Liste!#REF!,"AAAAAH877+U=")</f>
        <v>#REF!</v>
      </c>
      <c r="HW91" t="e">
        <f>AND(Liste!#REF!,"AAAAAH877+Y=")</f>
        <v>#REF!</v>
      </c>
      <c r="HX91" t="e">
        <f>AND(Liste!#REF!,"AAAAAH877+c=")</f>
        <v>#REF!</v>
      </c>
      <c r="HY91" t="e">
        <f>AND(Liste!#REF!,"AAAAAH877+g=")</f>
        <v>#REF!</v>
      </c>
      <c r="HZ91" t="e">
        <f>AND(Liste!#REF!,"AAAAAH877+k=")</f>
        <v>#REF!</v>
      </c>
      <c r="IA91" t="e">
        <f>AND(Liste!#REF!,"AAAAAH877+o=")</f>
        <v>#REF!</v>
      </c>
      <c r="IB91" t="e">
        <f>AND(Liste!#REF!,"AAAAAH877+s=")</f>
        <v>#REF!</v>
      </c>
      <c r="IC91" t="e">
        <f>AND(Liste!#REF!,"AAAAAH877+w=")</f>
        <v>#REF!</v>
      </c>
      <c r="ID91" t="e">
        <f>AND(Liste!#REF!,"AAAAAH877+0=")</f>
        <v>#REF!</v>
      </c>
      <c r="IE91" t="e">
        <f>AND(Liste!#REF!,"AAAAAH877+4=")</f>
        <v>#REF!</v>
      </c>
      <c r="IF91" t="e">
        <f>AND(Liste!#REF!,"AAAAAH877+8=")</f>
        <v>#REF!</v>
      </c>
      <c r="IG91" t="e">
        <f>AND(Liste!#REF!,"AAAAAH877/A=")</f>
        <v>#REF!</v>
      </c>
      <c r="IH91" t="e">
        <f>IF(Liste!#REF!,"AAAAAH877/E=",0)</f>
        <v>#REF!</v>
      </c>
      <c r="II91" t="e">
        <f>AND(Liste!#REF!,"AAAAAH877/I=")</f>
        <v>#REF!</v>
      </c>
      <c r="IJ91" t="e">
        <f>AND(Liste!#REF!,"AAAAAH877/M=")</f>
        <v>#REF!</v>
      </c>
      <c r="IK91" t="e">
        <f>AND(Liste!#REF!,"AAAAAH877/Q=")</f>
        <v>#REF!</v>
      </c>
      <c r="IL91" t="e">
        <f>AND(Liste!#REF!,"AAAAAH877/U=")</f>
        <v>#REF!</v>
      </c>
      <c r="IM91" t="e">
        <f>AND(Liste!#REF!,"AAAAAH877/Y=")</f>
        <v>#REF!</v>
      </c>
      <c r="IN91" t="e">
        <f>AND(Liste!#REF!,"AAAAAH877/c=")</f>
        <v>#REF!</v>
      </c>
      <c r="IO91" t="e">
        <f>AND(Liste!#REF!,"AAAAAH877/g=")</f>
        <v>#REF!</v>
      </c>
      <c r="IP91" t="e">
        <f>AND(Liste!#REF!,"AAAAAH877/k=")</f>
        <v>#REF!</v>
      </c>
      <c r="IQ91" t="e">
        <f>AND(Liste!#REF!,"AAAAAH877/o=")</f>
        <v>#REF!</v>
      </c>
      <c r="IR91" t="e">
        <f>AND(Liste!#REF!,"AAAAAH877/s=")</f>
        <v>#REF!</v>
      </c>
      <c r="IS91" t="e">
        <f>AND(Liste!#REF!,"AAAAAH877/w=")</f>
        <v>#REF!</v>
      </c>
      <c r="IT91" t="e">
        <f>AND(Liste!#REF!,"AAAAAH877/0=")</f>
        <v>#REF!</v>
      </c>
      <c r="IU91" t="e">
        <f>AND(Liste!#REF!,"AAAAAH877/4=")</f>
        <v>#REF!</v>
      </c>
      <c r="IV91" t="e">
        <f>AND(Liste!#REF!,"AAAAAH877/8=")</f>
        <v>#REF!</v>
      </c>
    </row>
    <row r="92" spans="1:256" x14ac:dyDescent="0.2">
      <c r="A92" t="e">
        <f>AND(Liste!#REF!,"AAAAAH/sOwA=")</f>
        <v>#REF!</v>
      </c>
      <c r="B92" t="e">
        <f>AND(Liste!#REF!,"AAAAAH/sOwE=")</f>
        <v>#REF!</v>
      </c>
      <c r="C92" t="e">
        <f>AND(Liste!#REF!,"AAAAAH/sOwI=")</f>
        <v>#REF!</v>
      </c>
      <c r="D92" t="e">
        <f>AND(Liste!#REF!,"AAAAAH/sOwM=")</f>
        <v>#REF!</v>
      </c>
      <c r="E92" t="e">
        <f>AND(Liste!#REF!,"AAAAAH/sOwQ=")</f>
        <v>#REF!</v>
      </c>
      <c r="F92" t="e">
        <f>AND(Liste!#REF!,"AAAAAH/sOwU=")</f>
        <v>#REF!</v>
      </c>
      <c r="G92" t="e">
        <f>AND(Liste!#REF!,"AAAAAH/sOwY=")</f>
        <v>#REF!</v>
      </c>
      <c r="H92" t="e">
        <f>AND(Liste!#REF!,"AAAAAH/sOwc=")</f>
        <v>#REF!</v>
      </c>
      <c r="I92" t="e">
        <f>AND(Liste!#REF!,"AAAAAH/sOwg=")</f>
        <v>#REF!</v>
      </c>
      <c r="J92" t="e">
        <f>AND(Liste!#REF!,"AAAAAH/sOwk=")</f>
        <v>#REF!</v>
      </c>
      <c r="K92" t="e">
        <f>AND(Liste!#REF!,"AAAAAH/sOwo=")</f>
        <v>#REF!</v>
      </c>
      <c r="L92" t="e">
        <f>AND(Liste!#REF!,"AAAAAH/sOws=")</f>
        <v>#REF!</v>
      </c>
      <c r="M92" t="e">
        <f>AND(Liste!#REF!,"AAAAAH/sOww=")</f>
        <v>#REF!</v>
      </c>
      <c r="N92" t="e">
        <f>AND(Liste!#REF!,"AAAAAH/sOw0=")</f>
        <v>#REF!</v>
      </c>
      <c r="O92" t="e">
        <f>AND(Liste!#REF!,"AAAAAH/sOw4=")</f>
        <v>#REF!</v>
      </c>
      <c r="P92" t="e">
        <f>AND(Liste!#REF!,"AAAAAH/sOw8=")</f>
        <v>#REF!</v>
      </c>
      <c r="Q92" t="e">
        <f>IF(Liste!#REF!,"AAAAAH/sOxA=",0)</f>
        <v>#REF!</v>
      </c>
      <c r="R92" t="e">
        <f>AND(Liste!#REF!,"AAAAAH/sOxE=")</f>
        <v>#REF!</v>
      </c>
      <c r="S92" t="e">
        <f>AND(Liste!#REF!,"AAAAAH/sOxI=")</f>
        <v>#REF!</v>
      </c>
      <c r="T92" t="e">
        <f>AND(Liste!#REF!,"AAAAAH/sOxM=")</f>
        <v>#REF!</v>
      </c>
      <c r="U92" t="e">
        <f>AND(Liste!#REF!,"AAAAAH/sOxQ=")</f>
        <v>#REF!</v>
      </c>
      <c r="V92" t="e">
        <f>AND(Liste!#REF!,"AAAAAH/sOxU=")</f>
        <v>#REF!</v>
      </c>
      <c r="W92" t="e">
        <f>AND(Liste!#REF!,"AAAAAH/sOxY=")</f>
        <v>#REF!</v>
      </c>
      <c r="X92" t="e">
        <f>AND(Liste!#REF!,"AAAAAH/sOxc=")</f>
        <v>#REF!</v>
      </c>
      <c r="Y92" t="e">
        <f>AND(Liste!#REF!,"AAAAAH/sOxg=")</f>
        <v>#REF!</v>
      </c>
      <c r="Z92" t="e">
        <f>AND(Liste!#REF!,"AAAAAH/sOxk=")</f>
        <v>#REF!</v>
      </c>
      <c r="AA92" t="e">
        <f>AND(Liste!#REF!,"AAAAAH/sOxo=")</f>
        <v>#REF!</v>
      </c>
      <c r="AB92" t="e">
        <f>AND(Liste!#REF!,"AAAAAH/sOxs=")</f>
        <v>#REF!</v>
      </c>
      <c r="AC92" t="e">
        <f>AND(Liste!#REF!,"AAAAAH/sOxw=")</f>
        <v>#REF!</v>
      </c>
      <c r="AD92" t="e">
        <f>AND(Liste!#REF!,"AAAAAH/sOx0=")</f>
        <v>#REF!</v>
      </c>
      <c r="AE92" t="e">
        <f>AND(Liste!#REF!,"AAAAAH/sOx4=")</f>
        <v>#REF!</v>
      </c>
      <c r="AF92" t="e">
        <f>AND(Liste!#REF!,"AAAAAH/sOx8=")</f>
        <v>#REF!</v>
      </c>
      <c r="AG92" t="e">
        <f>AND(Liste!#REF!,"AAAAAH/sOyA=")</f>
        <v>#REF!</v>
      </c>
      <c r="AH92" t="e">
        <f>AND(Liste!#REF!,"AAAAAH/sOyE=")</f>
        <v>#REF!</v>
      </c>
      <c r="AI92" t="e">
        <f>AND(Liste!#REF!,"AAAAAH/sOyI=")</f>
        <v>#REF!</v>
      </c>
      <c r="AJ92" t="e">
        <f>AND(Liste!#REF!,"AAAAAH/sOyM=")</f>
        <v>#REF!</v>
      </c>
      <c r="AK92" t="e">
        <f>AND(Liste!#REF!,"AAAAAH/sOyQ=")</f>
        <v>#REF!</v>
      </c>
      <c r="AL92" t="e">
        <f>AND(Liste!#REF!,"AAAAAH/sOyU=")</f>
        <v>#REF!</v>
      </c>
      <c r="AM92" t="e">
        <f>AND(Liste!#REF!,"AAAAAH/sOyY=")</f>
        <v>#REF!</v>
      </c>
      <c r="AN92" t="e">
        <f>AND(Liste!#REF!,"AAAAAH/sOyc=")</f>
        <v>#REF!</v>
      </c>
      <c r="AO92" t="e">
        <f>AND(Liste!#REF!,"AAAAAH/sOyg=")</f>
        <v>#REF!</v>
      </c>
      <c r="AP92" t="e">
        <f>AND(Liste!#REF!,"AAAAAH/sOyk=")</f>
        <v>#REF!</v>
      </c>
      <c r="AQ92" t="e">
        <f>AND(Liste!#REF!,"AAAAAH/sOyo=")</f>
        <v>#REF!</v>
      </c>
      <c r="AR92" t="e">
        <f>AND(Liste!#REF!,"AAAAAH/sOys=")</f>
        <v>#REF!</v>
      </c>
      <c r="AS92" t="e">
        <f>AND(Liste!#REF!,"AAAAAH/sOyw=")</f>
        <v>#REF!</v>
      </c>
      <c r="AT92" t="e">
        <f>AND(Liste!#REF!,"AAAAAH/sOy0=")</f>
        <v>#REF!</v>
      </c>
      <c r="AU92" t="e">
        <f>AND(Liste!#REF!,"AAAAAH/sOy4=")</f>
        <v>#REF!</v>
      </c>
      <c r="AV92" t="e">
        <f>IF(Liste!#REF!,"AAAAAH/sOy8=",0)</f>
        <v>#REF!</v>
      </c>
      <c r="AW92" t="e">
        <f>AND(Liste!#REF!,"AAAAAH/sOzA=")</f>
        <v>#REF!</v>
      </c>
      <c r="AX92" t="e">
        <f>AND(Liste!#REF!,"AAAAAH/sOzE=")</f>
        <v>#REF!</v>
      </c>
      <c r="AY92" t="e">
        <f>AND(Liste!#REF!,"AAAAAH/sOzI=")</f>
        <v>#REF!</v>
      </c>
      <c r="AZ92" t="e">
        <f>AND(Liste!#REF!,"AAAAAH/sOzM=")</f>
        <v>#REF!</v>
      </c>
      <c r="BA92" t="e">
        <f>AND(Liste!#REF!,"AAAAAH/sOzQ=")</f>
        <v>#REF!</v>
      </c>
      <c r="BB92" t="e">
        <f>AND(Liste!#REF!,"AAAAAH/sOzU=")</f>
        <v>#REF!</v>
      </c>
      <c r="BC92" t="e">
        <f>AND(Liste!#REF!,"AAAAAH/sOzY=")</f>
        <v>#REF!</v>
      </c>
      <c r="BD92" t="e">
        <f>AND(Liste!#REF!,"AAAAAH/sOzc=")</f>
        <v>#REF!</v>
      </c>
      <c r="BE92" t="e">
        <f>AND(Liste!#REF!,"AAAAAH/sOzg=")</f>
        <v>#REF!</v>
      </c>
      <c r="BF92" t="e">
        <f>AND(Liste!#REF!,"AAAAAH/sOzk=")</f>
        <v>#REF!</v>
      </c>
      <c r="BG92" t="e">
        <f>AND(Liste!#REF!,"AAAAAH/sOzo=")</f>
        <v>#REF!</v>
      </c>
      <c r="BH92" t="e">
        <f>AND(Liste!#REF!,"AAAAAH/sOzs=")</f>
        <v>#REF!</v>
      </c>
      <c r="BI92" t="e">
        <f>AND(Liste!#REF!,"AAAAAH/sOzw=")</f>
        <v>#REF!</v>
      </c>
      <c r="BJ92" t="e">
        <f>AND(Liste!#REF!,"AAAAAH/sOz0=")</f>
        <v>#REF!</v>
      </c>
      <c r="BK92" t="e">
        <f>AND(Liste!#REF!,"AAAAAH/sOz4=")</f>
        <v>#REF!</v>
      </c>
      <c r="BL92" t="e">
        <f>AND(Liste!#REF!,"AAAAAH/sOz8=")</f>
        <v>#REF!</v>
      </c>
      <c r="BM92" t="e">
        <f>AND(Liste!#REF!,"AAAAAH/sO0A=")</f>
        <v>#REF!</v>
      </c>
      <c r="BN92" t="e">
        <f>AND(Liste!#REF!,"AAAAAH/sO0E=")</f>
        <v>#REF!</v>
      </c>
      <c r="BO92" t="e">
        <f>AND(Liste!#REF!,"AAAAAH/sO0I=")</f>
        <v>#REF!</v>
      </c>
      <c r="BP92" t="e">
        <f>AND(Liste!#REF!,"AAAAAH/sO0M=")</f>
        <v>#REF!</v>
      </c>
      <c r="BQ92" t="e">
        <f>AND(Liste!#REF!,"AAAAAH/sO0Q=")</f>
        <v>#REF!</v>
      </c>
      <c r="BR92" t="e">
        <f>AND(Liste!#REF!,"AAAAAH/sO0U=")</f>
        <v>#REF!</v>
      </c>
      <c r="BS92" t="e">
        <f>AND(Liste!#REF!,"AAAAAH/sO0Y=")</f>
        <v>#REF!</v>
      </c>
      <c r="BT92" t="e">
        <f>AND(Liste!#REF!,"AAAAAH/sO0c=")</f>
        <v>#REF!</v>
      </c>
      <c r="BU92" t="e">
        <f>AND(Liste!#REF!,"AAAAAH/sO0g=")</f>
        <v>#REF!</v>
      </c>
      <c r="BV92" t="e">
        <f>AND(Liste!#REF!,"AAAAAH/sO0k=")</f>
        <v>#REF!</v>
      </c>
      <c r="BW92" t="e">
        <f>AND(Liste!#REF!,"AAAAAH/sO0o=")</f>
        <v>#REF!</v>
      </c>
      <c r="BX92" t="e">
        <f>AND(Liste!#REF!,"AAAAAH/sO0s=")</f>
        <v>#REF!</v>
      </c>
      <c r="BY92" t="e">
        <f>AND(Liste!#REF!,"AAAAAH/sO0w=")</f>
        <v>#REF!</v>
      </c>
      <c r="BZ92" t="e">
        <f>AND(Liste!#REF!,"AAAAAH/sO00=")</f>
        <v>#REF!</v>
      </c>
      <c r="CA92" t="e">
        <f>IF(Liste!#REF!,"AAAAAH/sO04=",0)</f>
        <v>#REF!</v>
      </c>
      <c r="CB92" t="e">
        <f>AND(Liste!#REF!,"AAAAAH/sO08=")</f>
        <v>#REF!</v>
      </c>
      <c r="CC92" t="e">
        <f>AND(Liste!#REF!,"AAAAAH/sO1A=")</f>
        <v>#REF!</v>
      </c>
      <c r="CD92" t="e">
        <f>AND(Liste!#REF!,"AAAAAH/sO1E=")</f>
        <v>#REF!</v>
      </c>
      <c r="CE92" t="e">
        <f>AND(Liste!#REF!,"AAAAAH/sO1I=")</f>
        <v>#REF!</v>
      </c>
      <c r="CF92" t="e">
        <f>AND(Liste!#REF!,"AAAAAH/sO1M=")</f>
        <v>#REF!</v>
      </c>
      <c r="CG92" t="e">
        <f>AND(Liste!#REF!,"AAAAAH/sO1Q=")</f>
        <v>#REF!</v>
      </c>
      <c r="CH92" t="e">
        <f>AND(Liste!#REF!,"AAAAAH/sO1U=")</f>
        <v>#REF!</v>
      </c>
      <c r="CI92" t="e">
        <f>AND(Liste!#REF!,"AAAAAH/sO1Y=")</f>
        <v>#REF!</v>
      </c>
      <c r="CJ92" t="e">
        <f>AND(Liste!#REF!,"AAAAAH/sO1c=")</f>
        <v>#REF!</v>
      </c>
      <c r="CK92" t="e">
        <f>AND(Liste!#REF!,"AAAAAH/sO1g=")</f>
        <v>#REF!</v>
      </c>
      <c r="CL92" t="e">
        <f>AND(Liste!#REF!,"AAAAAH/sO1k=")</f>
        <v>#REF!</v>
      </c>
      <c r="CM92" t="e">
        <f>AND(Liste!#REF!,"AAAAAH/sO1o=")</f>
        <v>#REF!</v>
      </c>
      <c r="CN92" t="e">
        <f>AND(Liste!#REF!,"AAAAAH/sO1s=")</f>
        <v>#REF!</v>
      </c>
      <c r="CO92" t="e">
        <f>AND(Liste!#REF!,"AAAAAH/sO1w=")</f>
        <v>#REF!</v>
      </c>
      <c r="CP92" t="e">
        <f>AND(Liste!#REF!,"AAAAAH/sO10=")</f>
        <v>#REF!</v>
      </c>
      <c r="CQ92" t="e">
        <f>AND(Liste!#REF!,"AAAAAH/sO14=")</f>
        <v>#REF!</v>
      </c>
      <c r="CR92" t="e">
        <f>AND(Liste!#REF!,"AAAAAH/sO18=")</f>
        <v>#REF!</v>
      </c>
      <c r="CS92" t="e">
        <f>AND(Liste!#REF!,"AAAAAH/sO2A=")</f>
        <v>#REF!</v>
      </c>
      <c r="CT92" t="e">
        <f>AND(Liste!#REF!,"AAAAAH/sO2E=")</f>
        <v>#REF!</v>
      </c>
      <c r="CU92" t="e">
        <f>AND(Liste!#REF!,"AAAAAH/sO2I=")</f>
        <v>#REF!</v>
      </c>
      <c r="CV92" t="e">
        <f>AND(Liste!#REF!,"AAAAAH/sO2M=")</f>
        <v>#REF!</v>
      </c>
      <c r="CW92" t="e">
        <f>AND(Liste!#REF!,"AAAAAH/sO2Q=")</f>
        <v>#REF!</v>
      </c>
      <c r="CX92" t="e">
        <f>AND(Liste!#REF!,"AAAAAH/sO2U=")</f>
        <v>#REF!</v>
      </c>
      <c r="CY92" t="e">
        <f>AND(Liste!#REF!,"AAAAAH/sO2Y=")</f>
        <v>#REF!</v>
      </c>
      <c r="CZ92" t="e">
        <f>AND(Liste!#REF!,"AAAAAH/sO2c=")</f>
        <v>#REF!</v>
      </c>
      <c r="DA92" t="e">
        <f>AND(Liste!#REF!,"AAAAAH/sO2g=")</f>
        <v>#REF!</v>
      </c>
      <c r="DB92" t="e">
        <f>AND(Liste!#REF!,"AAAAAH/sO2k=")</f>
        <v>#REF!</v>
      </c>
      <c r="DC92" t="e">
        <f>AND(Liste!#REF!,"AAAAAH/sO2o=")</f>
        <v>#REF!</v>
      </c>
      <c r="DD92" t="e">
        <f>AND(Liste!#REF!,"AAAAAH/sO2s=")</f>
        <v>#REF!</v>
      </c>
      <c r="DE92" t="e">
        <f>AND(Liste!#REF!,"AAAAAH/sO2w=")</f>
        <v>#REF!</v>
      </c>
      <c r="DF92" t="e">
        <f>IF(Liste!#REF!,"AAAAAH/sO20=",0)</f>
        <v>#REF!</v>
      </c>
      <c r="DG92" t="e">
        <f>AND(Liste!#REF!,"AAAAAH/sO24=")</f>
        <v>#REF!</v>
      </c>
      <c r="DH92" t="e">
        <f>AND(Liste!#REF!,"AAAAAH/sO28=")</f>
        <v>#REF!</v>
      </c>
      <c r="DI92" t="e">
        <f>AND(Liste!#REF!,"AAAAAH/sO3A=")</f>
        <v>#REF!</v>
      </c>
      <c r="DJ92" t="e">
        <f>AND(Liste!#REF!,"AAAAAH/sO3E=")</f>
        <v>#REF!</v>
      </c>
      <c r="DK92" t="e">
        <f>AND(Liste!#REF!,"AAAAAH/sO3I=")</f>
        <v>#REF!</v>
      </c>
      <c r="DL92" t="e">
        <f>AND(Liste!#REF!,"AAAAAH/sO3M=")</f>
        <v>#REF!</v>
      </c>
      <c r="DM92" t="e">
        <f>AND(Liste!#REF!,"AAAAAH/sO3Q=")</f>
        <v>#REF!</v>
      </c>
      <c r="DN92" t="e">
        <f>AND(Liste!#REF!,"AAAAAH/sO3U=")</f>
        <v>#REF!</v>
      </c>
      <c r="DO92" t="e">
        <f>AND(Liste!#REF!,"AAAAAH/sO3Y=")</f>
        <v>#REF!</v>
      </c>
      <c r="DP92" t="e">
        <f>AND(Liste!#REF!,"AAAAAH/sO3c=")</f>
        <v>#REF!</v>
      </c>
      <c r="DQ92" t="e">
        <f>AND(Liste!#REF!,"AAAAAH/sO3g=")</f>
        <v>#REF!</v>
      </c>
      <c r="DR92" t="e">
        <f>AND(Liste!#REF!,"AAAAAH/sO3k=")</f>
        <v>#REF!</v>
      </c>
      <c r="DS92" t="e">
        <f>AND(Liste!#REF!,"AAAAAH/sO3o=")</f>
        <v>#REF!</v>
      </c>
      <c r="DT92" t="e">
        <f>AND(Liste!#REF!,"AAAAAH/sO3s=")</f>
        <v>#REF!</v>
      </c>
      <c r="DU92" t="e">
        <f>AND(Liste!#REF!,"AAAAAH/sO3w=")</f>
        <v>#REF!</v>
      </c>
      <c r="DV92" t="e">
        <f>AND(Liste!#REF!,"AAAAAH/sO30=")</f>
        <v>#REF!</v>
      </c>
      <c r="DW92" t="e">
        <f>AND(Liste!#REF!,"AAAAAH/sO34=")</f>
        <v>#REF!</v>
      </c>
      <c r="DX92" t="e">
        <f>AND(Liste!#REF!,"AAAAAH/sO38=")</f>
        <v>#REF!</v>
      </c>
      <c r="DY92" t="e">
        <f>AND(Liste!#REF!,"AAAAAH/sO4A=")</f>
        <v>#REF!</v>
      </c>
      <c r="DZ92" t="e">
        <f>AND(Liste!#REF!,"AAAAAH/sO4E=")</f>
        <v>#REF!</v>
      </c>
      <c r="EA92" t="e">
        <f>AND(Liste!#REF!,"AAAAAH/sO4I=")</f>
        <v>#REF!</v>
      </c>
      <c r="EB92" t="e">
        <f>AND(Liste!#REF!,"AAAAAH/sO4M=")</f>
        <v>#REF!</v>
      </c>
      <c r="EC92" t="e">
        <f>AND(Liste!#REF!,"AAAAAH/sO4Q=")</f>
        <v>#REF!</v>
      </c>
      <c r="ED92" t="e">
        <f>AND(Liste!#REF!,"AAAAAH/sO4U=")</f>
        <v>#REF!</v>
      </c>
      <c r="EE92" t="e">
        <f>AND(Liste!#REF!,"AAAAAH/sO4Y=")</f>
        <v>#REF!</v>
      </c>
      <c r="EF92" t="e">
        <f>AND(Liste!#REF!,"AAAAAH/sO4c=")</f>
        <v>#REF!</v>
      </c>
      <c r="EG92" t="e">
        <f>AND(Liste!#REF!,"AAAAAH/sO4g=")</f>
        <v>#REF!</v>
      </c>
      <c r="EH92" t="e">
        <f>AND(Liste!#REF!,"AAAAAH/sO4k=")</f>
        <v>#REF!</v>
      </c>
      <c r="EI92" t="e">
        <f>AND(Liste!#REF!,"AAAAAH/sO4o=")</f>
        <v>#REF!</v>
      </c>
      <c r="EJ92" t="e">
        <f>AND(Liste!#REF!,"AAAAAH/sO4s=")</f>
        <v>#REF!</v>
      </c>
      <c r="EK92" t="e">
        <f>IF(Liste!#REF!,"AAAAAH/sO4w=",0)</f>
        <v>#REF!</v>
      </c>
      <c r="EL92" t="e">
        <f>AND(Liste!#REF!,"AAAAAH/sO40=")</f>
        <v>#REF!</v>
      </c>
      <c r="EM92" t="e">
        <f>AND(Liste!#REF!,"AAAAAH/sO44=")</f>
        <v>#REF!</v>
      </c>
      <c r="EN92" t="e">
        <f>AND(Liste!#REF!,"AAAAAH/sO48=")</f>
        <v>#REF!</v>
      </c>
      <c r="EO92" t="e">
        <f>AND(Liste!#REF!,"AAAAAH/sO5A=")</f>
        <v>#REF!</v>
      </c>
      <c r="EP92" t="e">
        <f>AND(Liste!#REF!,"AAAAAH/sO5E=")</f>
        <v>#REF!</v>
      </c>
      <c r="EQ92" t="e">
        <f>AND(Liste!#REF!,"AAAAAH/sO5I=")</f>
        <v>#REF!</v>
      </c>
      <c r="ER92" t="e">
        <f>AND(Liste!#REF!,"AAAAAH/sO5M=")</f>
        <v>#REF!</v>
      </c>
      <c r="ES92" t="e">
        <f>AND(Liste!#REF!,"AAAAAH/sO5Q=")</f>
        <v>#REF!</v>
      </c>
      <c r="ET92" t="e">
        <f>AND(Liste!#REF!,"AAAAAH/sO5U=")</f>
        <v>#REF!</v>
      </c>
      <c r="EU92" t="e">
        <f>AND(Liste!#REF!,"AAAAAH/sO5Y=")</f>
        <v>#REF!</v>
      </c>
      <c r="EV92" t="e">
        <f>AND(Liste!#REF!,"AAAAAH/sO5c=")</f>
        <v>#REF!</v>
      </c>
      <c r="EW92" t="e">
        <f>AND(Liste!#REF!,"AAAAAH/sO5g=")</f>
        <v>#REF!</v>
      </c>
      <c r="EX92" t="e">
        <f>AND(Liste!#REF!,"AAAAAH/sO5k=")</f>
        <v>#REF!</v>
      </c>
      <c r="EY92" t="e">
        <f>AND(Liste!#REF!,"AAAAAH/sO5o=")</f>
        <v>#REF!</v>
      </c>
      <c r="EZ92" t="e">
        <f>AND(Liste!#REF!,"AAAAAH/sO5s=")</f>
        <v>#REF!</v>
      </c>
      <c r="FA92" t="e">
        <f>AND(Liste!#REF!,"AAAAAH/sO5w=")</f>
        <v>#REF!</v>
      </c>
      <c r="FB92" t="e">
        <f>AND(Liste!#REF!,"AAAAAH/sO50=")</f>
        <v>#REF!</v>
      </c>
      <c r="FC92" t="e">
        <f>AND(Liste!#REF!,"AAAAAH/sO54=")</f>
        <v>#REF!</v>
      </c>
      <c r="FD92" t="e">
        <f>AND(Liste!#REF!,"AAAAAH/sO58=")</f>
        <v>#REF!</v>
      </c>
      <c r="FE92" t="e">
        <f>AND(Liste!#REF!,"AAAAAH/sO6A=")</f>
        <v>#REF!</v>
      </c>
      <c r="FF92" t="e">
        <f>AND(Liste!#REF!,"AAAAAH/sO6E=")</f>
        <v>#REF!</v>
      </c>
      <c r="FG92" t="e">
        <f>AND(Liste!#REF!,"AAAAAH/sO6I=")</f>
        <v>#REF!</v>
      </c>
      <c r="FH92" t="e">
        <f>AND(Liste!#REF!,"AAAAAH/sO6M=")</f>
        <v>#REF!</v>
      </c>
      <c r="FI92" t="e">
        <f>AND(Liste!#REF!,"AAAAAH/sO6Q=")</f>
        <v>#REF!</v>
      </c>
      <c r="FJ92" t="e">
        <f>AND(Liste!#REF!,"AAAAAH/sO6U=")</f>
        <v>#REF!</v>
      </c>
      <c r="FK92" t="e">
        <f>AND(Liste!#REF!,"AAAAAH/sO6Y=")</f>
        <v>#REF!</v>
      </c>
      <c r="FL92" t="e">
        <f>AND(Liste!#REF!,"AAAAAH/sO6c=")</f>
        <v>#REF!</v>
      </c>
      <c r="FM92" t="e">
        <f>AND(Liste!#REF!,"AAAAAH/sO6g=")</f>
        <v>#REF!</v>
      </c>
      <c r="FN92" t="e">
        <f>AND(Liste!#REF!,"AAAAAH/sO6k=")</f>
        <v>#REF!</v>
      </c>
      <c r="FO92" t="e">
        <f>AND(Liste!#REF!,"AAAAAH/sO6o=")</f>
        <v>#REF!</v>
      </c>
      <c r="FP92" t="e">
        <f>IF(Liste!#REF!,"AAAAAH/sO6s=",0)</f>
        <v>#REF!</v>
      </c>
      <c r="FQ92" t="e">
        <f>AND(Liste!#REF!,"AAAAAH/sO6w=")</f>
        <v>#REF!</v>
      </c>
      <c r="FR92" t="e">
        <f>AND(Liste!#REF!,"AAAAAH/sO60=")</f>
        <v>#REF!</v>
      </c>
      <c r="FS92" t="e">
        <f>AND(Liste!#REF!,"AAAAAH/sO64=")</f>
        <v>#REF!</v>
      </c>
      <c r="FT92" t="e">
        <f>AND(Liste!#REF!,"AAAAAH/sO68=")</f>
        <v>#REF!</v>
      </c>
      <c r="FU92" t="e">
        <f>AND(Liste!#REF!,"AAAAAH/sO7A=")</f>
        <v>#REF!</v>
      </c>
      <c r="FV92" t="e">
        <f>AND(Liste!#REF!,"AAAAAH/sO7E=")</f>
        <v>#REF!</v>
      </c>
      <c r="FW92" t="e">
        <f>AND(Liste!#REF!,"AAAAAH/sO7I=")</f>
        <v>#REF!</v>
      </c>
      <c r="FX92" t="e">
        <f>AND(Liste!#REF!,"AAAAAH/sO7M=")</f>
        <v>#REF!</v>
      </c>
      <c r="FY92" t="e">
        <f>AND(Liste!#REF!,"AAAAAH/sO7Q=")</f>
        <v>#REF!</v>
      </c>
      <c r="FZ92" t="e">
        <f>AND(Liste!#REF!,"AAAAAH/sO7U=")</f>
        <v>#REF!</v>
      </c>
      <c r="GA92" t="e">
        <f>AND(Liste!#REF!,"AAAAAH/sO7Y=")</f>
        <v>#REF!</v>
      </c>
      <c r="GB92" t="e">
        <f>AND(Liste!#REF!,"AAAAAH/sO7c=")</f>
        <v>#REF!</v>
      </c>
      <c r="GC92" t="e">
        <f>AND(Liste!#REF!,"AAAAAH/sO7g=")</f>
        <v>#REF!</v>
      </c>
      <c r="GD92" t="e">
        <f>AND(Liste!#REF!,"AAAAAH/sO7k=")</f>
        <v>#REF!</v>
      </c>
      <c r="GE92" t="e">
        <f>AND(Liste!#REF!,"AAAAAH/sO7o=")</f>
        <v>#REF!</v>
      </c>
      <c r="GF92" t="e">
        <f>AND(Liste!#REF!,"AAAAAH/sO7s=")</f>
        <v>#REF!</v>
      </c>
      <c r="GG92" t="e">
        <f>AND(Liste!#REF!,"AAAAAH/sO7w=")</f>
        <v>#REF!</v>
      </c>
      <c r="GH92" t="e">
        <f>AND(Liste!#REF!,"AAAAAH/sO70=")</f>
        <v>#REF!</v>
      </c>
      <c r="GI92" t="e">
        <f>AND(Liste!#REF!,"AAAAAH/sO74=")</f>
        <v>#REF!</v>
      </c>
      <c r="GJ92" t="e">
        <f>AND(Liste!#REF!,"AAAAAH/sO78=")</f>
        <v>#REF!</v>
      </c>
      <c r="GK92" t="e">
        <f>AND(Liste!#REF!,"AAAAAH/sO8A=")</f>
        <v>#REF!</v>
      </c>
      <c r="GL92" t="e">
        <f>AND(Liste!#REF!,"AAAAAH/sO8E=")</f>
        <v>#REF!</v>
      </c>
      <c r="GM92" t="e">
        <f>AND(Liste!#REF!,"AAAAAH/sO8I=")</f>
        <v>#REF!</v>
      </c>
      <c r="GN92" t="e">
        <f>AND(Liste!#REF!,"AAAAAH/sO8M=")</f>
        <v>#REF!</v>
      </c>
      <c r="GO92" t="e">
        <f>AND(Liste!#REF!,"AAAAAH/sO8Q=")</f>
        <v>#REF!</v>
      </c>
      <c r="GP92" t="e">
        <f>AND(Liste!#REF!,"AAAAAH/sO8U=")</f>
        <v>#REF!</v>
      </c>
      <c r="GQ92" t="e">
        <f>AND(Liste!#REF!,"AAAAAH/sO8Y=")</f>
        <v>#REF!</v>
      </c>
      <c r="GR92" t="e">
        <f>AND(Liste!#REF!,"AAAAAH/sO8c=")</f>
        <v>#REF!</v>
      </c>
      <c r="GS92" t="e">
        <f>AND(Liste!#REF!,"AAAAAH/sO8g=")</f>
        <v>#REF!</v>
      </c>
      <c r="GT92" t="e">
        <f>AND(Liste!#REF!,"AAAAAH/sO8k=")</f>
        <v>#REF!</v>
      </c>
      <c r="GU92" t="e">
        <f>IF(Liste!#REF!,"AAAAAH/sO8o=",0)</f>
        <v>#REF!</v>
      </c>
      <c r="GV92" t="e">
        <f>AND(Liste!#REF!,"AAAAAH/sO8s=")</f>
        <v>#REF!</v>
      </c>
      <c r="GW92" t="e">
        <f>AND(Liste!#REF!,"AAAAAH/sO8w=")</f>
        <v>#REF!</v>
      </c>
      <c r="GX92" t="e">
        <f>AND(Liste!#REF!,"AAAAAH/sO80=")</f>
        <v>#REF!</v>
      </c>
      <c r="GY92" t="e">
        <f>AND(Liste!#REF!,"AAAAAH/sO84=")</f>
        <v>#REF!</v>
      </c>
      <c r="GZ92" t="e">
        <f>AND(Liste!#REF!,"AAAAAH/sO88=")</f>
        <v>#REF!</v>
      </c>
      <c r="HA92" t="e">
        <f>AND(Liste!#REF!,"AAAAAH/sO9A=")</f>
        <v>#REF!</v>
      </c>
      <c r="HB92" t="e">
        <f>AND(Liste!#REF!,"AAAAAH/sO9E=")</f>
        <v>#REF!</v>
      </c>
      <c r="HC92" t="e">
        <f>AND(Liste!#REF!,"AAAAAH/sO9I=")</f>
        <v>#REF!</v>
      </c>
      <c r="HD92" t="e">
        <f>AND(Liste!#REF!,"AAAAAH/sO9M=")</f>
        <v>#REF!</v>
      </c>
      <c r="HE92" t="e">
        <f>AND(Liste!#REF!,"AAAAAH/sO9Q=")</f>
        <v>#REF!</v>
      </c>
      <c r="HF92" t="e">
        <f>AND(Liste!#REF!,"AAAAAH/sO9U=")</f>
        <v>#REF!</v>
      </c>
      <c r="HG92" t="e">
        <f>AND(Liste!#REF!,"AAAAAH/sO9Y=")</f>
        <v>#REF!</v>
      </c>
      <c r="HH92" t="e">
        <f>AND(Liste!#REF!,"AAAAAH/sO9c=")</f>
        <v>#REF!</v>
      </c>
      <c r="HI92" t="e">
        <f>AND(Liste!#REF!,"AAAAAH/sO9g=")</f>
        <v>#REF!</v>
      </c>
      <c r="HJ92" t="e">
        <f>AND(Liste!#REF!,"AAAAAH/sO9k=")</f>
        <v>#REF!</v>
      </c>
      <c r="HK92" t="e">
        <f>AND(Liste!#REF!,"AAAAAH/sO9o=")</f>
        <v>#REF!</v>
      </c>
      <c r="HL92" t="e">
        <f>AND(Liste!#REF!,"AAAAAH/sO9s=")</f>
        <v>#REF!</v>
      </c>
      <c r="HM92" t="e">
        <f>AND(Liste!#REF!,"AAAAAH/sO9w=")</f>
        <v>#REF!</v>
      </c>
      <c r="HN92" t="e">
        <f>AND(Liste!#REF!,"AAAAAH/sO90=")</f>
        <v>#REF!</v>
      </c>
      <c r="HO92" t="e">
        <f>AND(Liste!#REF!,"AAAAAH/sO94=")</f>
        <v>#REF!</v>
      </c>
      <c r="HP92" t="e">
        <f>AND(Liste!#REF!,"AAAAAH/sO98=")</f>
        <v>#REF!</v>
      </c>
      <c r="HQ92" t="e">
        <f>AND(Liste!#REF!,"AAAAAH/sO+A=")</f>
        <v>#REF!</v>
      </c>
      <c r="HR92" t="e">
        <f>AND(Liste!#REF!,"AAAAAH/sO+E=")</f>
        <v>#REF!</v>
      </c>
      <c r="HS92" t="e">
        <f>AND(Liste!#REF!,"AAAAAH/sO+I=")</f>
        <v>#REF!</v>
      </c>
      <c r="HT92" t="e">
        <f>AND(Liste!#REF!,"AAAAAH/sO+M=")</f>
        <v>#REF!</v>
      </c>
      <c r="HU92" t="e">
        <f>AND(Liste!#REF!,"AAAAAH/sO+Q=")</f>
        <v>#REF!</v>
      </c>
      <c r="HV92" t="e">
        <f>AND(Liste!#REF!,"AAAAAH/sO+U=")</f>
        <v>#REF!</v>
      </c>
      <c r="HW92" t="e">
        <f>AND(Liste!#REF!,"AAAAAH/sO+Y=")</f>
        <v>#REF!</v>
      </c>
      <c r="HX92" t="e">
        <f>AND(Liste!#REF!,"AAAAAH/sO+c=")</f>
        <v>#REF!</v>
      </c>
      <c r="HY92" t="e">
        <f>AND(Liste!#REF!,"AAAAAH/sO+g=")</f>
        <v>#REF!</v>
      </c>
      <c r="HZ92" t="e">
        <f>IF(Liste!#REF!,"AAAAAH/sO+k=",0)</f>
        <v>#REF!</v>
      </c>
      <c r="IA92" t="e">
        <f>AND(Liste!#REF!,"AAAAAH/sO+o=")</f>
        <v>#REF!</v>
      </c>
      <c r="IB92" t="e">
        <f>AND(Liste!#REF!,"AAAAAH/sO+s=")</f>
        <v>#REF!</v>
      </c>
      <c r="IC92" t="e">
        <f>AND(Liste!#REF!,"AAAAAH/sO+w=")</f>
        <v>#REF!</v>
      </c>
      <c r="ID92" t="e">
        <f>AND(Liste!#REF!,"AAAAAH/sO+0=")</f>
        <v>#REF!</v>
      </c>
      <c r="IE92" t="e">
        <f>AND(Liste!#REF!,"AAAAAH/sO+4=")</f>
        <v>#REF!</v>
      </c>
      <c r="IF92" t="e">
        <f>AND(Liste!#REF!,"AAAAAH/sO+8=")</f>
        <v>#REF!</v>
      </c>
      <c r="IG92" t="e">
        <f>AND(Liste!#REF!,"AAAAAH/sO/A=")</f>
        <v>#REF!</v>
      </c>
      <c r="IH92" t="e">
        <f>AND(Liste!#REF!,"AAAAAH/sO/E=")</f>
        <v>#REF!</v>
      </c>
      <c r="II92" t="e">
        <f>AND(Liste!#REF!,"AAAAAH/sO/I=")</f>
        <v>#REF!</v>
      </c>
      <c r="IJ92" t="e">
        <f>AND(Liste!#REF!,"AAAAAH/sO/M=")</f>
        <v>#REF!</v>
      </c>
      <c r="IK92" t="e">
        <f>AND(Liste!#REF!,"AAAAAH/sO/Q=")</f>
        <v>#REF!</v>
      </c>
      <c r="IL92" t="e">
        <f>AND(Liste!#REF!,"AAAAAH/sO/U=")</f>
        <v>#REF!</v>
      </c>
      <c r="IM92" t="e">
        <f>AND(Liste!#REF!,"AAAAAH/sO/Y=")</f>
        <v>#REF!</v>
      </c>
      <c r="IN92" t="e">
        <f>AND(Liste!#REF!,"AAAAAH/sO/c=")</f>
        <v>#REF!</v>
      </c>
      <c r="IO92" t="e">
        <f>AND(Liste!#REF!,"AAAAAH/sO/g=")</f>
        <v>#REF!</v>
      </c>
      <c r="IP92" t="e">
        <f>AND(Liste!#REF!,"AAAAAH/sO/k=")</f>
        <v>#REF!</v>
      </c>
      <c r="IQ92" t="e">
        <f>AND(Liste!#REF!,"AAAAAH/sO/o=")</f>
        <v>#REF!</v>
      </c>
      <c r="IR92" t="e">
        <f>AND(Liste!#REF!,"AAAAAH/sO/s=")</f>
        <v>#REF!</v>
      </c>
      <c r="IS92" t="e">
        <f>AND(Liste!#REF!,"AAAAAH/sO/w=")</f>
        <v>#REF!</v>
      </c>
      <c r="IT92" t="e">
        <f>AND(Liste!#REF!,"AAAAAH/sO/0=")</f>
        <v>#REF!</v>
      </c>
      <c r="IU92" t="e">
        <f>AND(Liste!#REF!,"AAAAAH/sO/4=")</f>
        <v>#REF!</v>
      </c>
      <c r="IV92" t="e">
        <f>AND(Liste!#REF!,"AAAAAH/sO/8=")</f>
        <v>#REF!</v>
      </c>
    </row>
    <row r="93" spans="1:256" x14ac:dyDescent="0.2">
      <c r="A93" t="e">
        <f>AND(Liste!#REF!,"AAAAAHb3TwA=")</f>
        <v>#REF!</v>
      </c>
      <c r="B93" t="e">
        <f>AND(Liste!#REF!,"AAAAAHb3TwE=")</f>
        <v>#REF!</v>
      </c>
      <c r="C93" t="e">
        <f>AND(Liste!#REF!,"AAAAAHb3TwI=")</f>
        <v>#REF!</v>
      </c>
      <c r="D93" t="e">
        <f>AND(Liste!#REF!,"AAAAAHb3TwM=")</f>
        <v>#REF!</v>
      </c>
      <c r="E93" t="e">
        <f>AND(Liste!#REF!,"AAAAAHb3TwQ=")</f>
        <v>#REF!</v>
      </c>
      <c r="F93" t="e">
        <f>AND(Liste!#REF!,"AAAAAHb3TwU=")</f>
        <v>#REF!</v>
      </c>
      <c r="G93" t="e">
        <f>AND(Liste!#REF!,"AAAAAHb3TwY=")</f>
        <v>#REF!</v>
      </c>
      <c r="H93" t="e">
        <f>AND(Liste!#REF!,"AAAAAHb3Twc=")</f>
        <v>#REF!</v>
      </c>
      <c r="I93" t="e">
        <f>IF(Liste!#REF!,"AAAAAHb3Twg=",0)</f>
        <v>#REF!</v>
      </c>
      <c r="J93" t="e">
        <f>AND(Liste!#REF!,"AAAAAHb3Twk=")</f>
        <v>#REF!</v>
      </c>
      <c r="K93" t="e">
        <f>AND(Liste!#REF!,"AAAAAHb3Two=")</f>
        <v>#REF!</v>
      </c>
      <c r="L93" t="e">
        <f>AND(Liste!#REF!,"AAAAAHb3Tws=")</f>
        <v>#REF!</v>
      </c>
      <c r="M93" t="e">
        <f>AND(Liste!#REF!,"AAAAAHb3Tww=")</f>
        <v>#REF!</v>
      </c>
      <c r="N93" t="e">
        <f>AND(Liste!#REF!,"AAAAAHb3Tw0=")</f>
        <v>#REF!</v>
      </c>
      <c r="O93" t="e">
        <f>AND(Liste!#REF!,"AAAAAHb3Tw4=")</f>
        <v>#REF!</v>
      </c>
      <c r="P93" t="e">
        <f>AND(Liste!#REF!,"AAAAAHb3Tw8=")</f>
        <v>#REF!</v>
      </c>
      <c r="Q93" t="e">
        <f>AND(Liste!#REF!,"AAAAAHb3TxA=")</f>
        <v>#REF!</v>
      </c>
      <c r="R93" t="e">
        <f>AND(Liste!#REF!,"AAAAAHb3TxE=")</f>
        <v>#REF!</v>
      </c>
      <c r="S93" t="e">
        <f>AND(Liste!#REF!,"AAAAAHb3TxI=")</f>
        <v>#REF!</v>
      </c>
      <c r="T93" t="e">
        <f>AND(Liste!#REF!,"AAAAAHb3TxM=")</f>
        <v>#REF!</v>
      </c>
      <c r="U93" t="e">
        <f>AND(Liste!#REF!,"AAAAAHb3TxQ=")</f>
        <v>#REF!</v>
      </c>
      <c r="V93" t="e">
        <f>AND(Liste!#REF!,"AAAAAHb3TxU=")</f>
        <v>#REF!</v>
      </c>
      <c r="W93" t="e">
        <f>AND(Liste!#REF!,"AAAAAHb3TxY=")</f>
        <v>#REF!</v>
      </c>
      <c r="X93" t="e">
        <f>AND(Liste!#REF!,"AAAAAHb3Txc=")</f>
        <v>#REF!</v>
      </c>
      <c r="Y93" t="e">
        <f>AND(Liste!#REF!,"AAAAAHb3Txg=")</f>
        <v>#REF!</v>
      </c>
      <c r="Z93" t="e">
        <f>AND(Liste!#REF!,"AAAAAHb3Txk=")</f>
        <v>#REF!</v>
      </c>
      <c r="AA93" t="e">
        <f>AND(Liste!#REF!,"AAAAAHb3Txo=")</f>
        <v>#REF!</v>
      </c>
      <c r="AB93" t="e">
        <f>AND(Liste!#REF!,"AAAAAHb3Txs=")</f>
        <v>#REF!</v>
      </c>
      <c r="AC93" t="e">
        <f>AND(Liste!#REF!,"AAAAAHb3Txw=")</f>
        <v>#REF!</v>
      </c>
      <c r="AD93" t="e">
        <f>AND(Liste!#REF!,"AAAAAHb3Tx0=")</f>
        <v>#REF!</v>
      </c>
      <c r="AE93" t="e">
        <f>AND(Liste!#REF!,"AAAAAHb3Tx4=")</f>
        <v>#REF!</v>
      </c>
      <c r="AF93" t="e">
        <f>AND(Liste!#REF!,"AAAAAHb3Tx8=")</f>
        <v>#REF!</v>
      </c>
      <c r="AG93" t="e">
        <f>AND(Liste!#REF!,"AAAAAHb3TyA=")</f>
        <v>#REF!</v>
      </c>
      <c r="AH93" t="e">
        <f>AND(Liste!#REF!,"AAAAAHb3TyE=")</f>
        <v>#REF!</v>
      </c>
      <c r="AI93" t="e">
        <f>AND(Liste!#REF!,"AAAAAHb3TyI=")</f>
        <v>#REF!</v>
      </c>
      <c r="AJ93" t="e">
        <f>AND(Liste!#REF!,"AAAAAHb3TyM=")</f>
        <v>#REF!</v>
      </c>
      <c r="AK93" t="e">
        <f>AND(Liste!#REF!,"AAAAAHb3TyQ=")</f>
        <v>#REF!</v>
      </c>
      <c r="AL93" t="e">
        <f>AND(Liste!#REF!,"AAAAAHb3TyU=")</f>
        <v>#REF!</v>
      </c>
      <c r="AM93" t="e">
        <f>AND(Liste!#REF!,"AAAAAHb3TyY=")</f>
        <v>#REF!</v>
      </c>
      <c r="AN93" t="e">
        <f>IF(Liste!#REF!,"AAAAAHb3Tyc=",0)</f>
        <v>#REF!</v>
      </c>
      <c r="AO93" t="e">
        <f>AND(Liste!#REF!,"AAAAAHb3Tyg=")</f>
        <v>#REF!</v>
      </c>
      <c r="AP93" t="e">
        <f>AND(Liste!#REF!,"AAAAAHb3Tyk=")</f>
        <v>#REF!</v>
      </c>
      <c r="AQ93" t="e">
        <f>AND(Liste!#REF!,"AAAAAHb3Tyo=")</f>
        <v>#REF!</v>
      </c>
      <c r="AR93" t="e">
        <f>AND(Liste!#REF!,"AAAAAHb3Tys=")</f>
        <v>#REF!</v>
      </c>
      <c r="AS93" t="e">
        <f>AND(Liste!#REF!,"AAAAAHb3Tyw=")</f>
        <v>#REF!</v>
      </c>
      <c r="AT93" t="e">
        <f>AND(Liste!#REF!,"AAAAAHb3Ty0=")</f>
        <v>#REF!</v>
      </c>
      <c r="AU93" t="e">
        <f>AND(Liste!#REF!,"AAAAAHb3Ty4=")</f>
        <v>#REF!</v>
      </c>
      <c r="AV93" t="e">
        <f>AND(Liste!#REF!,"AAAAAHb3Ty8=")</f>
        <v>#REF!</v>
      </c>
      <c r="AW93" t="e">
        <f>AND(Liste!#REF!,"AAAAAHb3TzA=")</f>
        <v>#REF!</v>
      </c>
      <c r="AX93" t="e">
        <f>AND(Liste!#REF!,"AAAAAHb3TzE=")</f>
        <v>#REF!</v>
      </c>
      <c r="AY93" t="e">
        <f>AND(Liste!#REF!,"AAAAAHb3TzI=")</f>
        <v>#REF!</v>
      </c>
      <c r="AZ93" t="e">
        <f>AND(Liste!#REF!,"AAAAAHb3TzM=")</f>
        <v>#REF!</v>
      </c>
      <c r="BA93" t="e">
        <f>AND(Liste!#REF!,"AAAAAHb3TzQ=")</f>
        <v>#REF!</v>
      </c>
      <c r="BB93" t="e">
        <f>AND(Liste!#REF!,"AAAAAHb3TzU=")</f>
        <v>#REF!</v>
      </c>
      <c r="BC93" t="e">
        <f>AND(Liste!#REF!,"AAAAAHb3TzY=")</f>
        <v>#REF!</v>
      </c>
      <c r="BD93" t="e">
        <f>AND(Liste!#REF!,"AAAAAHb3Tzc=")</f>
        <v>#REF!</v>
      </c>
      <c r="BE93" t="e">
        <f>AND(Liste!#REF!,"AAAAAHb3Tzg=")</f>
        <v>#REF!</v>
      </c>
      <c r="BF93" t="e">
        <f>AND(Liste!#REF!,"AAAAAHb3Tzk=")</f>
        <v>#REF!</v>
      </c>
      <c r="BG93" t="e">
        <f>AND(Liste!#REF!,"AAAAAHb3Tzo=")</f>
        <v>#REF!</v>
      </c>
      <c r="BH93" t="e">
        <f>AND(Liste!#REF!,"AAAAAHb3Tzs=")</f>
        <v>#REF!</v>
      </c>
      <c r="BI93" t="e">
        <f>AND(Liste!#REF!,"AAAAAHb3Tzw=")</f>
        <v>#REF!</v>
      </c>
      <c r="BJ93" t="e">
        <f>AND(Liste!#REF!,"AAAAAHb3Tz0=")</f>
        <v>#REF!</v>
      </c>
      <c r="BK93" t="e">
        <f>AND(Liste!#REF!,"AAAAAHb3Tz4=")</f>
        <v>#REF!</v>
      </c>
      <c r="BL93" t="e">
        <f>AND(Liste!#REF!,"AAAAAHb3Tz8=")</f>
        <v>#REF!</v>
      </c>
      <c r="BM93" t="e">
        <f>AND(Liste!#REF!,"AAAAAHb3T0A=")</f>
        <v>#REF!</v>
      </c>
      <c r="BN93" t="e">
        <f>AND(Liste!#REF!,"AAAAAHb3T0E=")</f>
        <v>#REF!</v>
      </c>
      <c r="BO93" t="e">
        <f>AND(Liste!#REF!,"AAAAAHb3T0I=")</f>
        <v>#REF!</v>
      </c>
      <c r="BP93" t="e">
        <f>AND(Liste!#REF!,"AAAAAHb3T0M=")</f>
        <v>#REF!</v>
      </c>
      <c r="BQ93" t="e">
        <f>AND(Liste!#REF!,"AAAAAHb3T0Q=")</f>
        <v>#REF!</v>
      </c>
      <c r="BR93" t="e">
        <f>AND(Liste!#REF!,"AAAAAHb3T0U=")</f>
        <v>#REF!</v>
      </c>
      <c r="BS93" t="e">
        <f>IF(Liste!#REF!,"AAAAAHb3T0Y=",0)</f>
        <v>#REF!</v>
      </c>
      <c r="BT93" t="e">
        <f>AND(Liste!#REF!,"AAAAAHb3T0c=")</f>
        <v>#REF!</v>
      </c>
      <c r="BU93" t="e">
        <f>AND(Liste!#REF!,"AAAAAHb3T0g=")</f>
        <v>#REF!</v>
      </c>
      <c r="BV93" t="e">
        <f>AND(Liste!#REF!,"AAAAAHb3T0k=")</f>
        <v>#REF!</v>
      </c>
      <c r="BW93" t="e">
        <f>AND(Liste!#REF!,"AAAAAHb3T0o=")</f>
        <v>#REF!</v>
      </c>
      <c r="BX93" t="e">
        <f>AND(Liste!#REF!,"AAAAAHb3T0s=")</f>
        <v>#REF!</v>
      </c>
      <c r="BY93" t="e">
        <f>AND(Liste!#REF!,"AAAAAHb3T0w=")</f>
        <v>#REF!</v>
      </c>
      <c r="BZ93" t="e">
        <f>AND(Liste!#REF!,"AAAAAHb3T00=")</f>
        <v>#REF!</v>
      </c>
      <c r="CA93" t="e">
        <f>AND(Liste!#REF!,"AAAAAHb3T04=")</f>
        <v>#REF!</v>
      </c>
      <c r="CB93" t="e">
        <f>AND(Liste!#REF!,"AAAAAHb3T08=")</f>
        <v>#REF!</v>
      </c>
      <c r="CC93" t="e">
        <f>AND(Liste!#REF!,"AAAAAHb3T1A=")</f>
        <v>#REF!</v>
      </c>
      <c r="CD93" t="e">
        <f>AND(Liste!#REF!,"AAAAAHb3T1E=")</f>
        <v>#REF!</v>
      </c>
      <c r="CE93" t="e">
        <f>AND(Liste!#REF!,"AAAAAHb3T1I=")</f>
        <v>#REF!</v>
      </c>
      <c r="CF93" t="e">
        <f>AND(Liste!#REF!,"AAAAAHb3T1M=")</f>
        <v>#REF!</v>
      </c>
      <c r="CG93" t="e">
        <f>AND(Liste!#REF!,"AAAAAHb3T1Q=")</f>
        <v>#REF!</v>
      </c>
      <c r="CH93" t="e">
        <f>AND(Liste!#REF!,"AAAAAHb3T1U=")</f>
        <v>#REF!</v>
      </c>
      <c r="CI93" t="e">
        <f>AND(Liste!#REF!,"AAAAAHb3T1Y=")</f>
        <v>#REF!</v>
      </c>
      <c r="CJ93" t="e">
        <f>AND(Liste!#REF!,"AAAAAHb3T1c=")</f>
        <v>#REF!</v>
      </c>
      <c r="CK93" t="e">
        <f>AND(Liste!#REF!,"AAAAAHb3T1g=")</f>
        <v>#REF!</v>
      </c>
      <c r="CL93" t="e">
        <f>AND(Liste!#REF!,"AAAAAHb3T1k=")</f>
        <v>#REF!</v>
      </c>
      <c r="CM93" t="e">
        <f>AND(Liste!#REF!,"AAAAAHb3T1o=")</f>
        <v>#REF!</v>
      </c>
      <c r="CN93" t="e">
        <f>AND(Liste!#REF!,"AAAAAHb3T1s=")</f>
        <v>#REF!</v>
      </c>
      <c r="CO93" t="e">
        <f>AND(Liste!#REF!,"AAAAAHb3T1w=")</f>
        <v>#REF!</v>
      </c>
      <c r="CP93" t="e">
        <f>AND(Liste!#REF!,"AAAAAHb3T10=")</f>
        <v>#REF!</v>
      </c>
      <c r="CQ93" t="e">
        <f>AND(Liste!#REF!,"AAAAAHb3T14=")</f>
        <v>#REF!</v>
      </c>
      <c r="CR93" t="e">
        <f>AND(Liste!#REF!,"AAAAAHb3T18=")</f>
        <v>#REF!</v>
      </c>
      <c r="CS93" t="e">
        <f>AND(Liste!#REF!,"AAAAAHb3T2A=")</f>
        <v>#REF!</v>
      </c>
      <c r="CT93" t="e">
        <f>AND(Liste!#REF!,"AAAAAHb3T2E=")</f>
        <v>#REF!</v>
      </c>
      <c r="CU93" t="e">
        <f>AND(Liste!#REF!,"AAAAAHb3T2I=")</f>
        <v>#REF!</v>
      </c>
      <c r="CV93" t="e">
        <f>AND(Liste!#REF!,"AAAAAHb3T2M=")</f>
        <v>#REF!</v>
      </c>
      <c r="CW93" t="e">
        <f>AND(Liste!#REF!,"AAAAAHb3T2Q=")</f>
        <v>#REF!</v>
      </c>
      <c r="CX93" t="e">
        <f>IF(Liste!#REF!,"AAAAAHb3T2U=",0)</f>
        <v>#REF!</v>
      </c>
      <c r="CY93" t="e">
        <f>AND(Liste!#REF!,"AAAAAHb3T2Y=")</f>
        <v>#REF!</v>
      </c>
      <c r="CZ93" t="e">
        <f>AND(Liste!#REF!,"AAAAAHb3T2c=")</f>
        <v>#REF!</v>
      </c>
      <c r="DA93" t="e">
        <f>AND(Liste!#REF!,"AAAAAHb3T2g=")</f>
        <v>#REF!</v>
      </c>
      <c r="DB93" t="e">
        <f>AND(Liste!#REF!,"AAAAAHb3T2k=")</f>
        <v>#REF!</v>
      </c>
      <c r="DC93" t="e">
        <f>AND(Liste!#REF!,"AAAAAHb3T2o=")</f>
        <v>#REF!</v>
      </c>
      <c r="DD93" t="e">
        <f>AND(Liste!#REF!,"AAAAAHb3T2s=")</f>
        <v>#REF!</v>
      </c>
      <c r="DE93" t="e">
        <f>AND(Liste!#REF!,"AAAAAHb3T2w=")</f>
        <v>#REF!</v>
      </c>
      <c r="DF93" t="e">
        <f>AND(Liste!#REF!,"AAAAAHb3T20=")</f>
        <v>#REF!</v>
      </c>
      <c r="DG93" t="e">
        <f>AND(Liste!#REF!,"AAAAAHb3T24=")</f>
        <v>#REF!</v>
      </c>
      <c r="DH93" t="e">
        <f>AND(Liste!#REF!,"AAAAAHb3T28=")</f>
        <v>#REF!</v>
      </c>
      <c r="DI93" t="e">
        <f>AND(Liste!#REF!,"AAAAAHb3T3A=")</f>
        <v>#REF!</v>
      </c>
      <c r="DJ93" t="e">
        <f>AND(Liste!#REF!,"AAAAAHb3T3E=")</f>
        <v>#REF!</v>
      </c>
      <c r="DK93" t="e">
        <f>AND(Liste!#REF!,"AAAAAHb3T3I=")</f>
        <v>#REF!</v>
      </c>
      <c r="DL93" t="e">
        <f>AND(Liste!#REF!,"AAAAAHb3T3M=")</f>
        <v>#REF!</v>
      </c>
      <c r="DM93" t="e">
        <f>AND(Liste!#REF!,"AAAAAHb3T3Q=")</f>
        <v>#REF!</v>
      </c>
      <c r="DN93" t="e">
        <f>AND(Liste!#REF!,"AAAAAHb3T3U=")</f>
        <v>#REF!</v>
      </c>
      <c r="DO93" t="e">
        <f>AND(Liste!#REF!,"AAAAAHb3T3Y=")</f>
        <v>#REF!</v>
      </c>
      <c r="DP93" t="e">
        <f>AND(Liste!#REF!,"AAAAAHb3T3c=")</f>
        <v>#REF!</v>
      </c>
      <c r="DQ93" t="e">
        <f>AND(Liste!#REF!,"AAAAAHb3T3g=")</f>
        <v>#REF!</v>
      </c>
      <c r="DR93" t="e">
        <f>AND(Liste!#REF!,"AAAAAHb3T3k=")</f>
        <v>#REF!</v>
      </c>
      <c r="DS93" t="e">
        <f>AND(Liste!#REF!,"AAAAAHb3T3o=")</f>
        <v>#REF!</v>
      </c>
      <c r="DT93" t="e">
        <f>AND(Liste!#REF!,"AAAAAHb3T3s=")</f>
        <v>#REF!</v>
      </c>
      <c r="DU93" t="e">
        <f>AND(Liste!#REF!,"AAAAAHb3T3w=")</f>
        <v>#REF!</v>
      </c>
      <c r="DV93" t="e">
        <f>AND(Liste!#REF!,"AAAAAHb3T30=")</f>
        <v>#REF!</v>
      </c>
      <c r="DW93" t="e">
        <f>AND(Liste!#REF!,"AAAAAHb3T34=")</f>
        <v>#REF!</v>
      </c>
      <c r="DX93" t="e">
        <f>AND(Liste!#REF!,"AAAAAHb3T38=")</f>
        <v>#REF!</v>
      </c>
      <c r="DY93" t="e">
        <f>AND(Liste!#REF!,"AAAAAHb3T4A=")</f>
        <v>#REF!</v>
      </c>
      <c r="DZ93" t="e">
        <f>AND(Liste!#REF!,"AAAAAHb3T4E=")</f>
        <v>#REF!</v>
      </c>
      <c r="EA93" t="e">
        <f>AND(Liste!#REF!,"AAAAAHb3T4I=")</f>
        <v>#REF!</v>
      </c>
      <c r="EB93" t="e">
        <f>AND(Liste!#REF!,"AAAAAHb3T4M=")</f>
        <v>#REF!</v>
      </c>
      <c r="EC93" t="e">
        <f>IF(Liste!#REF!,"AAAAAHb3T4Q=",0)</f>
        <v>#REF!</v>
      </c>
      <c r="ED93" t="e">
        <f>AND(Liste!#REF!,"AAAAAHb3T4U=")</f>
        <v>#REF!</v>
      </c>
      <c r="EE93" t="e">
        <f>AND(Liste!#REF!,"AAAAAHb3T4Y=")</f>
        <v>#REF!</v>
      </c>
      <c r="EF93" t="e">
        <f>AND(Liste!#REF!,"AAAAAHb3T4c=")</f>
        <v>#REF!</v>
      </c>
      <c r="EG93" t="e">
        <f>AND(Liste!#REF!,"AAAAAHb3T4g=")</f>
        <v>#REF!</v>
      </c>
      <c r="EH93" t="e">
        <f>AND(Liste!#REF!,"AAAAAHb3T4k=")</f>
        <v>#REF!</v>
      </c>
      <c r="EI93" t="e">
        <f>AND(Liste!#REF!,"AAAAAHb3T4o=")</f>
        <v>#REF!</v>
      </c>
      <c r="EJ93" t="e">
        <f>AND(Liste!#REF!,"AAAAAHb3T4s=")</f>
        <v>#REF!</v>
      </c>
      <c r="EK93" t="e">
        <f>AND(Liste!#REF!,"AAAAAHb3T4w=")</f>
        <v>#REF!</v>
      </c>
      <c r="EL93" t="e">
        <f>AND(Liste!#REF!,"AAAAAHb3T40=")</f>
        <v>#REF!</v>
      </c>
      <c r="EM93" t="e">
        <f>AND(Liste!#REF!,"AAAAAHb3T44=")</f>
        <v>#REF!</v>
      </c>
      <c r="EN93" t="e">
        <f>AND(Liste!#REF!,"AAAAAHb3T48=")</f>
        <v>#REF!</v>
      </c>
      <c r="EO93" t="e">
        <f>AND(Liste!#REF!,"AAAAAHb3T5A=")</f>
        <v>#REF!</v>
      </c>
      <c r="EP93" t="e">
        <f>AND(Liste!#REF!,"AAAAAHb3T5E=")</f>
        <v>#REF!</v>
      </c>
      <c r="EQ93" t="e">
        <f>AND(Liste!#REF!,"AAAAAHb3T5I=")</f>
        <v>#REF!</v>
      </c>
      <c r="ER93" t="e">
        <f>AND(Liste!#REF!,"AAAAAHb3T5M=")</f>
        <v>#REF!</v>
      </c>
      <c r="ES93" t="e">
        <f>AND(Liste!#REF!,"AAAAAHb3T5Q=")</f>
        <v>#REF!</v>
      </c>
      <c r="ET93" t="e">
        <f>AND(Liste!#REF!,"AAAAAHb3T5U=")</f>
        <v>#REF!</v>
      </c>
      <c r="EU93" t="e">
        <f>AND(Liste!#REF!,"AAAAAHb3T5Y=")</f>
        <v>#REF!</v>
      </c>
      <c r="EV93" t="e">
        <f>AND(Liste!#REF!,"AAAAAHb3T5c=")</f>
        <v>#REF!</v>
      </c>
      <c r="EW93" t="e">
        <f>AND(Liste!#REF!,"AAAAAHb3T5g=")</f>
        <v>#REF!</v>
      </c>
      <c r="EX93" t="e">
        <f>AND(Liste!#REF!,"AAAAAHb3T5k=")</f>
        <v>#REF!</v>
      </c>
      <c r="EY93" t="e">
        <f>AND(Liste!#REF!,"AAAAAHb3T5o=")</f>
        <v>#REF!</v>
      </c>
      <c r="EZ93" t="e">
        <f>AND(Liste!#REF!,"AAAAAHb3T5s=")</f>
        <v>#REF!</v>
      </c>
      <c r="FA93" t="e">
        <f>AND(Liste!#REF!,"AAAAAHb3T5w=")</f>
        <v>#REF!</v>
      </c>
      <c r="FB93" t="e">
        <f>AND(Liste!#REF!,"AAAAAHb3T50=")</f>
        <v>#REF!</v>
      </c>
      <c r="FC93" t="e">
        <f>AND(Liste!#REF!,"AAAAAHb3T54=")</f>
        <v>#REF!</v>
      </c>
      <c r="FD93" t="e">
        <f>AND(Liste!#REF!,"AAAAAHb3T58=")</f>
        <v>#REF!</v>
      </c>
      <c r="FE93" t="e">
        <f>AND(Liste!#REF!,"AAAAAHb3T6A=")</f>
        <v>#REF!</v>
      </c>
      <c r="FF93" t="e">
        <f>AND(Liste!#REF!,"AAAAAHb3T6E=")</f>
        <v>#REF!</v>
      </c>
      <c r="FG93" t="e">
        <f>AND(Liste!#REF!,"AAAAAHb3T6I=")</f>
        <v>#REF!</v>
      </c>
      <c r="FH93" t="e">
        <f>IF(Liste!#REF!,"AAAAAHb3T6M=",0)</f>
        <v>#REF!</v>
      </c>
      <c r="FI93" t="e">
        <f>AND(Liste!#REF!,"AAAAAHb3T6Q=")</f>
        <v>#REF!</v>
      </c>
      <c r="FJ93" t="e">
        <f>AND(Liste!#REF!,"AAAAAHb3T6U=")</f>
        <v>#REF!</v>
      </c>
      <c r="FK93" t="e">
        <f>AND(Liste!#REF!,"AAAAAHb3T6Y=")</f>
        <v>#REF!</v>
      </c>
      <c r="FL93" t="e">
        <f>AND(Liste!#REF!,"AAAAAHb3T6c=")</f>
        <v>#REF!</v>
      </c>
      <c r="FM93" t="e">
        <f>AND(Liste!#REF!,"AAAAAHb3T6g=")</f>
        <v>#REF!</v>
      </c>
      <c r="FN93" t="e">
        <f>AND(Liste!#REF!,"AAAAAHb3T6k=")</f>
        <v>#REF!</v>
      </c>
      <c r="FO93" t="e">
        <f>AND(Liste!#REF!,"AAAAAHb3T6o=")</f>
        <v>#REF!</v>
      </c>
      <c r="FP93" t="e">
        <f>AND(Liste!#REF!,"AAAAAHb3T6s=")</f>
        <v>#REF!</v>
      </c>
      <c r="FQ93" t="e">
        <f>AND(Liste!#REF!,"AAAAAHb3T6w=")</f>
        <v>#REF!</v>
      </c>
      <c r="FR93" t="e">
        <f>AND(Liste!#REF!,"AAAAAHb3T60=")</f>
        <v>#REF!</v>
      </c>
      <c r="FS93" t="e">
        <f>AND(Liste!#REF!,"AAAAAHb3T64=")</f>
        <v>#REF!</v>
      </c>
      <c r="FT93" t="e">
        <f>AND(Liste!#REF!,"AAAAAHb3T68=")</f>
        <v>#REF!</v>
      </c>
      <c r="FU93" t="e">
        <f>AND(Liste!#REF!,"AAAAAHb3T7A=")</f>
        <v>#REF!</v>
      </c>
      <c r="FV93" t="e">
        <f>AND(Liste!#REF!,"AAAAAHb3T7E=")</f>
        <v>#REF!</v>
      </c>
      <c r="FW93" t="e">
        <f>AND(Liste!#REF!,"AAAAAHb3T7I=")</f>
        <v>#REF!</v>
      </c>
      <c r="FX93" t="e">
        <f>AND(Liste!#REF!,"AAAAAHb3T7M=")</f>
        <v>#REF!</v>
      </c>
      <c r="FY93" t="e">
        <f>AND(Liste!#REF!,"AAAAAHb3T7Q=")</f>
        <v>#REF!</v>
      </c>
      <c r="FZ93" t="e">
        <f>AND(Liste!#REF!,"AAAAAHb3T7U=")</f>
        <v>#REF!</v>
      </c>
      <c r="GA93" t="e">
        <f>AND(Liste!#REF!,"AAAAAHb3T7Y=")</f>
        <v>#REF!</v>
      </c>
      <c r="GB93" t="e">
        <f>AND(Liste!#REF!,"AAAAAHb3T7c=")</f>
        <v>#REF!</v>
      </c>
      <c r="GC93" t="e">
        <f>AND(Liste!#REF!,"AAAAAHb3T7g=")</f>
        <v>#REF!</v>
      </c>
      <c r="GD93" t="e">
        <f>AND(Liste!#REF!,"AAAAAHb3T7k=")</f>
        <v>#REF!</v>
      </c>
      <c r="GE93" t="e">
        <f>AND(Liste!#REF!,"AAAAAHb3T7o=")</f>
        <v>#REF!</v>
      </c>
      <c r="GF93" t="e">
        <f>AND(Liste!#REF!,"AAAAAHb3T7s=")</f>
        <v>#REF!</v>
      </c>
      <c r="GG93" t="e">
        <f>AND(Liste!#REF!,"AAAAAHb3T7w=")</f>
        <v>#REF!</v>
      </c>
      <c r="GH93" t="e">
        <f>AND(Liste!#REF!,"AAAAAHb3T70=")</f>
        <v>#REF!</v>
      </c>
      <c r="GI93" t="e">
        <f>AND(Liste!#REF!,"AAAAAHb3T74=")</f>
        <v>#REF!</v>
      </c>
      <c r="GJ93" t="e">
        <f>AND(Liste!#REF!,"AAAAAHb3T78=")</f>
        <v>#REF!</v>
      </c>
      <c r="GK93" t="e">
        <f>AND(Liste!#REF!,"AAAAAHb3T8A=")</f>
        <v>#REF!</v>
      </c>
      <c r="GL93" t="e">
        <f>AND(Liste!#REF!,"AAAAAHb3T8E=")</f>
        <v>#REF!</v>
      </c>
      <c r="GM93" t="e">
        <f>IF(Liste!#REF!,"AAAAAHb3T8I=",0)</f>
        <v>#REF!</v>
      </c>
      <c r="GN93" t="e">
        <f>AND(Liste!#REF!,"AAAAAHb3T8M=")</f>
        <v>#REF!</v>
      </c>
      <c r="GO93" t="e">
        <f>AND(Liste!#REF!,"AAAAAHb3T8Q=")</f>
        <v>#REF!</v>
      </c>
      <c r="GP93" t="e">
        <f>AND(Liste!#REF!,"AAAAAHb3T8U=")</f>
        <v>#REF!</v>
      </c>
      <c r="GQ93" t="e">
        <f>AND(Liste!#REF!,"AAAAAHb3T8Y=")</f>
        <v>#REF!</v>
      </c>
      <c r="GR93" t="e">
        <f>AND(Liste!#REF!,"AAAAAHb3T8c=")</f>
        <v>#REF!</v>
      </c>
      <c r="GS93" t="e">
        <f>AND(Liste!#REF!,"AAAAAHb3T8g=")</f>
        <v>#REF!</v>
      </c>
      <c r="GT93" t="e">
        <f>AND(Liste!#REF!,"AAAAAHb3T8k=")</f>
        <v>#REF!</v>
      </c>
      <c r="GU93" t="e">
        <f>AND(Liste!#REF!,"AAAAAHb3T8o=")</f>
        <v>#REF!</v>
      </c>
      <c r="GV93" t="e">
        <f>AND(Liste!#REF!,"AAAAAHb3T8s=")</f>
        <v>#REF!</v>
      </c>
      <c r="GW93" t="e">
        <f>AND(Liste!#REF!,"AAAAAHb3T8w=")</f>
        <v>#REF!</v>
      </c>
      <c r="GX93" t="e">
        <f>AND(Liste!#REF!,"AAAAAHb3T80=")</f>
        <v>#REF!</v>
      </c>
      <c r="GY93" t="e">
        <f>AND(Liste!#REF!,"AAAAAHb3T84=")</f>
        <v>#REF!</v>
      </c>
      <c r="GZ93" t="e">
        <f>AND(Liste!#REF!,"AAAAAHb3T88=")</f>
        <v>#REF!</v>
      </c>
      <c r="HA93" t="e">
        <f>AND(Liste!#REF!,"AAAAAHb3T9A=")</f>
        <v>#REF!</v>
      </c>
      <c r="HB93" t="e">
        <f>AND(Liste!#REF!,"AAAAAHb3T9E=")</f>
        <v>#REF!</v>
      </c>
      <c r="HC93" t="e">
        <f>AND(Liste!#REF!,"AAAAAHb3T9I=")</f>
        <v>#REF!</v>
      </c>
      <c r="HD93" t="e">
        <f>AND(Liste!#REF!,"AAAAAHb3T9M=")</f>
        <v>#REF!</v>
      </c>
      <c r="HE93" t="e">
        <f>AND(Liste!#REF!,"AAAAAHb3T9Q=")</f>
        <v>#REF!</v>
      </c>
      <c r="HF93" t="e">
        <f>AND(Liste!#REF!,"AAAAAHb3T9U=")</f>
        <v>#REF!</v>
      </c>
      <c r="HG93" t="e">
        <f>AND(Liste!#REF!,"AAAAAHb3T9Y=")</f>
        <v>#REF!</v>
      </c>
      <c r="HH93" t="e">
        <f>AND(Liste!#REF!,"AAAAAHb3T9c=")</f>
        <v>#REF!</v>
      </c>
      <c r="HI93" t="e">
        <f>AND(Liste!#REF!,"AAAAAHb3T9g=")</f>
        <v>#REF!</v>
      </c>
      <c r="HJ93" t="e">
        <f>AND(Liste!#REF!,"AAAAAHb3T9k=")</f>
        <v>#REF!</v>
      </c>
      <c r="HK93" t="e">
        <f>AND(Liste!#REF!,"AAAAAHb3T9o=")</f>
        <v>#REF!</v>
      </c>
      <c r="HL93" t="e">
        <f>AND(Liste!#REF!,"AAAAAHb3T9s=")</f>
        <v>#REF!</v>
      </c>
      <c r="HM93" t="e">
        <f>AND(Liste!#REF!,"AAAAAHb3T9w=")</f>
        <v>#REF!</v>
      </c>
      <c r="HN93" t="e">
        <f>AND(Liste!#REF!,"AAAAAHb3T90=")</f>
        <v>#REF!</v>
      </c>
      <c r="HO93" t="e">
        <f>AND(Liste!#REF!,"AAAAAHb3T94=")</f>
        <v>#REF!</v>
      </c>
      <c r="HP93" t="e">
        <f>AND(Liste!#REF!,"AAAAAHb3T98=")</f>
        <v>#REF!</v>
      </c>
      <c r="HQ93" t="e">
        <f>AND(Liste!#REF!,"AAAAAHb3T+A=")</f>
        <v>#REF!</v>
      </c>
      <c r="HR93" t="e">
        <f>IF(Liste!#REF!,"AAAAAHb3T+E=",0)</f>
        <v>#REF!</v>
      </c>
      <c r="HS93" t="e">
        <f>AND(Liste!#REF!,"AAAAAHb3T+I=")</f>
        <v>#REF!</v>
      </c>
      <c r="HT93" t="e">
        <f>AND(Liste!#REF!,"AAAAAHb3T+M=")</f>
        <v>#REF!</v>
      </c>
      <c r="HU93" t="e">
        <f>AND(Liste!#REF!,"AAAAAHb3T+Q=")</f>
        <v>#REF!</v>
      </c>
      <c r="HV93" t="e">
        <f>AND(Liste!#REF!,"AAAAAHb3T+U=")</f>
        <v>#REF!</v>
      </c>
      <c r="HW93" t="e">
        <f>AND(Liste!#REF!,"AAAAAHb3T+Y=")</f>
        <v>#REF!</v>
      </c>
      <c r="HX93" t="e">
        <f>AND(Liste!#REF!,"AAAAAHb3T+c=")</f>
        <v>#REF!</v>
      </c>
      <c r="HY93" t="e">
        <f>AND(Liste!#REF!,"AAAAAHb3T+g=")</f>
        <v>#REF!</v>
      </c>
      <c r="HZ93" t="e">
        <f>AND(Liste!#REF!,"AAAAAHb3T+k=")</f>
        <v>#REF!</v>
      </c>
      <c r="IA93" t="e">
        <f>AND(Liste!#REF!,"AAAAAHb3T+o=")</f>
        <v>#REF!</v>
      </c>
      <c r="IB93" t="e">
        <f>AND(Liste!#REF!,"AAAAAHb3T+s=")</f>
        <v>#REF!</v>
      </c>
      <c r="IC93" t="e">
        <f>AND(Liste!#REF!,"AAAAAHb3T+w=")</f>
        <v>#REF!</v>
      </c>
      <c r="ID93" t="e">
        <f>AND(Liste!#REF!,"AAAAAHb3T+0=")</f>
        <v>#REF!</v>
      </c>
      <c r="IE93" t="e">
        <f>AND(Liste!#REF!,"AAAAAHb3T+4=")</f>
        <v>#REF!</v>
      </c>
      <c r="IF93" t="e">
        <f>AND(Liste!#REF!,"AAAAAHb3T+8=")</f>
        <v>#REF!</v>
      </c>
      <c r="IG93" t="e">
        <f>AND(Liste!#REF!,"AAAAAHb3T/A=")</f>
        <v>#REF!</v>
      </c>
      <c r="IH93" t="e">
        <f>AND(Liste!#REF!,"AAAAAHb3T/E=")</f>
        <v>#REF!</v>
      </c>
      <c r="II93" t="e">
        <f>AND(Liste!#REF!,"AAAAAHb3T/I=")</f>
        <v>#REF!</v>
      </c>
      <c r="IJ93" t="e">
        <f>AND(Liste!#REF!,"AAAAAHb3T/M=")</f>
        <v>#REF!</v>
      </c>
      <c r="IK93" t="e">
        <f>AND(Liste!#REF!,"AAAAAHb3T/Q=")</f>
        <v>#REF!</v>
      </c>
      <c r="IL93" t="e">
        <f>AND(Liste!#REF!,"AAAAAHb3T/U=")</f>
        <v>#REF!</v>
      </c>
      <c r="IM93" t="e">
        <f>AND(Liste!#REF!,"AAAAAHb3T/Y=")</f>
        <v>#REF!</v>
      </c>
      <c r="IN93" t="e">
        <f>AND(Liste!#REF!,"AAAAAHb3T/c=")</f>
        <v>#REF!</v>
      </c>
      <c r="IO93" t="e">
        <f>AND(Liste!#REF!,"AAAAAHb3T/g=")</f>
        <v>#REF!</v>
      </c>
      <c r="IP93" t="e">
        <f>AND(Liste!#REF!,"AAAAAHb3T/k=")</f>
        <v>#REF!</v>
      </c>
      <c r="IQ93" t="e">
        <f>AND(Liste!#REF!,"AAAAAHb3T/o=")</f>
        <v>#REF!</v>
      </c>
      <c r="IR93" t="e">
        <f>AND(Liste!#REF!,"AAAAAHb3T/s=")</f>
        <v>#REF!</v>
      </c>
      <c r="IS93" t="e">
        <f>AND(Liste!#REF!,"AAAAAHb3T/w=")</f>
        <v>#REF!</v>
      </c>
      <c r="IT93" t="e">
        <f>AND(Liste!#REF!,"AAAAAHb3T/0=")</f>
        <v>#REF!</v>
      </c>
      <c r="IU93" t="e">
        <f>AND(Liste!#REF!,"AAAAAHb3T/4=")</f>
        <v>#REF!</v>
      </c>
      <c r="IV93" t="e">
        <f>AND(Liste!#REF!,"AAAAAHb3T/8=")</f>
        <v>#REF!</v>
      </c>
    </row>
    <row r="94" spans="1:256" x14ac:dyDescent="0.2">
      <c r="A94" t="e">
        <f>IF(Liste!#REF!,"AAAAAG9+3wA=",0)</f>
        <v>#REF!</v>
      </c>
      <c r="B94" t="e">
        <f>AND(Liste!#REF!,"AAAAAG9+3wE=")</f>
        <v>#REF!</v>
      </c>
      <c r="C94" t="e">
        <f>AND(Liste!#REF!,"AAAAAG9+3wI=")</f>
        <v>#REF!</v>
      </c>
      <c r="D94" t="e">
        <f>AND(Liste!#REF!,"AAAAAG9+3wM=")</f>
        <v>#REF!</v>
      </c>
      <c r="E94" t="e">
        <f>AND(Liste!#REF!,"AAAAAG9+3wQ=")</f>
        <v>#REF!</v>
      </c>
      <c r="F94" t="e">
        <f>AND(Liste!#REF!,"AAAAAG9+3wU=")</f>
        <v>#REF!</v>
      </c>
      <c r="G94" t="e">
        <f>AND(Liste!#REF!,"AAAAAG9+3wY=")</f>
        <v>#REF!</v>
      </c>
      <c r="H94" t="e">
        <f>AND(Liste!#REF!,"AAAAAG9+3wc=")</f>
        <v>#REF!</v>
      </c>
      <c r="I94" t="e">
        <f>AND(Liste!#REF!,"AAAAAG9+3wg=")</f>
        <v>#REF!</v>
      </c>
      <c r="J94" t="e">
        <f>AND(Liste!#REF!,"AAAAAG9+3wk=")</f>
        <v>#REF!</v>
      </c>
      <c r="K94" t="e">
        <f>AND(Liste!#REF!,"AAAAAG9+3wo=")</f>
        <v>#REF!</v>
      </c>
      <c r="L94" t="e">
        <f>AND(Liste!#REF!,"AAAAAG9+3ws=")</f>
        <v>#REF!</v>
      </c>
      <c r="M94" t="e">
        <f>AND(Liste!#REF!,"AAAAAG9+3ww=")</f>
        <v>#REF!</v>
      </c>
      <c r="N94" t="e">
        <f>AND(Liste!#REF!,"AAAAAG9+3w0=")</f>
        <v>#REF!</v>
      </c>
      <c r="O94" t="e">
        <f>AND(Liste!#REF!,"AAAAAG9+3w4=")</f>
        <v>#REF!</v>
      </c>
      <c r="P94" t="e">
        <f>AND(Liste!#REF!,"AAAAAG9+3w8=")</f>
        <v>#REF!</v>
      </c>
      <c r="Q94" t="e">
        <f>AND(Liste!#REF!,"AAAAAG9+3xA=")</f>
        <v>#REF!</v>
      </c>
      <c r="R94" t="e">
        <f>AND(Liste!#REF!,"AAAAAG9+3xE=")</f>
        <v>#REF!</v>
      </c>
      <c r="S94" t="e">
        <f>AND(Liste!#REF!,"AAAAAG9+3xI=")</f>
        <v>#REF!</v>
      </c>
      <c r="T94" t="e">
        <f>AND(Liste!#REF!,"AAAAAG9+3xM=")</f>
        <v>#REF!</v>
      </c>
      <c r="U94" t="e">
        <f>AND(Liste!#REF!,"AAAAAG9+3xQ=")</f>
        <v>#REF!</v>
      </c>
      <c r="V94" t="e">
        <f>AND(Liste!#REF!,"AAAAAG9+3xU=")</f>
        <v>#REF!</v>
      </c>
      <c r="W94" t="e">
        <f>AND(Liste!#REF!,"AAAAAG9+3xY=")</f>
        <v>#REF!</v>
      </c>
      <c r="X94" t="e">
        <f>AND(Liste!#REF!,"AAAAAG9+3xc=")</f>
        <v>#REF!</v>
      </c>
      <c r="Y94" t="e">
        <f>AND(Liste!#REF!,"AAAAAG9+3xg=")</f>
        <v>#REF!</v>
      </c>
      <c r="Z94" t="e">
        <f>AND(Liste!#REF!,"AAAAAG9+3xk=")</f>
        <v>#REF!</v>
      </c>
      <c r="AA94" t="e">
        <f>AND(Liste!#REF!,"AAAAAG9+3xo=")</f>
        <v>#REF!</v>
      </c>
      <c r="AB94" t="e">
        <f>AND(Liste!#REF!,"AAAAAG9+3xs=")</f>
        <v>#REF!</v>
      </c>
      <c r="AC94" t="e">
        <f>AND(Liste!#REF!,"AAAAAG9+3xw=")</f>
        <v>#REF!</v>
      </c>
      <c r="AD94" t="e">
        <f>AND(Liste!#REF!,"AAAAAG9+3x0=")</f>
        <v>#REF!</v>
      </c>
      <c r="AE94" t="e">
        <f>AND(Liste!#REF!,"AAAAAG9+3x4=")</f>
        <v>#REF!</v>
      </c>
      <c r="AF94" t="e">
        <f>IF(Liste!#REF!,"AAAAAG9+3x8=",0)</f>
        <v>#REF!</v>
      </c>
      <c r="AG94" t="e">
        <f>AND(Liste!#REF!,"AAAAAG9+3yA=")</f>
        <v>#REF!</v>
      </c>
      <c r="AH94" t="e">
        <f>AND(Liste!#REF!,"AAAAAG9+3yE=")</f>
        <v>#REF!</v>
      </c>
      <c r="AI94" t="e">
        <f>AND(Liste!#REF!,"AAAAAG9+3yI=")</f>
        <v>#REF!</v>
      </c>
      <c r="AJ94" t="e">
        <f>AND(Liste!#REF!,"AAAAAG9+3yM=")</f>
        <v>#REF!</v>
      </c>
      <c r="AK94" t="e">
        <f>AND(Liste!#REF!,"AAAAAG9+3yQ=")</f>
        <v>#REF!</v>
      </c>
      <c r="AL94" t="e">
        <f>AND(Liste!#REF!,"AAAAAG9+3yU=")</f>
        <v>#REF!</v>
      </c>
      <c r="AM94" t="e">
        <f>AND(Liste!#REF!,"AAAAAG9+3yY=")</f>
        <v>#REF!</v>
      </c>
      <c r="AN94" t="e">
        <f>AND(Liste!#REF!,"AAAAAG9+3yc=")</f>
        <v>#REF!</v>
      </c>
      <c r="AO94" t="e">
        <f>AND(Liste!#REF!,"AAAAAG9+3yg=")</f>
        <v>#REF!</v>
      </c>
      <c r="AP94" t="e">
        <f>AND(Liste!#REF!,"AAAAAG9+3yk=")</f>
        <v>#REF!</v>
      </c>
      <c r="AQ94" t="e">
        <f>AND(Liste!#REF!,"AAAAAG9+3yo=")</f>
        <v>#REF!</v>
      </c>
      <c r="AR94" t="e">
        <f>AND(Liste!#REF!,"AAAAAG9+3ys=")</f>
        <v>#REF!</v>
      </c>
      <c r="AS94" t="e">
        <f>AND(Liste!#REF!,"AAAAAG9+3yw=")</f>
        <v>#REF!</v>
      </c>
      <c r="AT94" t="e">
        <f>AND(Liste!#REF!,"AAAAAG9+3y0=")</f>
        <v>#REF!</v>
      </c>
      <c r="AU94" t="e">
        <f>AND(Liste!#REF!,"AAAAAG9+3y4=")</f>
        <v>#REF!</v>
      </c>
      <c r="AV94" t="e">
        <f>AND(Liste!#REF!,"AAAAAG9+3y8=")</f>
        <v>#REF!</v>
      </c>
      <c r="AW94" t="e">
        <f>AND(Liste!#REF!,"AAAAAG9+3zA=")</f>
        <v>#REF!</v>
      </c>
      <c r="AX94" t="e">
        <f>AND(Liste!#REF!,"AAAAAG9+3zE=")</f>
        <v>#REF!</v>
      </c>
      <c r="AY94" t="e">
        <f>AND(Liste!#REF!,"AAAAAG9+3zI=")</f>
        <v>#REF!</v>
      </c>
      <c r="AZ94" t="e">
        <f>AND(Liste!#REF!,"AAAAAG9+3zM=")</f>
        <v>#REF!</v>
      </c>
      <c r="BA94" t="e">
        <f>AND(Liste!#REF!,"AAAAAG9+3zQ=")</f>
        <v>#REF!</v>
      </c>
      <c r="BB94" t="e">
        <f>AND(Liste!#REF!,"AAAAAG9+3zU=")</f>
        <v>#REF!</v>
      </c>
      <c r="BC94" t="e">
        <f>AND(Liste!#REF!,"AAAAAG9+3zY=")</f>
        <v>#REF!</v>
      </c>
      <c r="BD94" t="e">
        <f>AND(Liste!#REF!,"AAAAAG9+3zc=")</f>
        <v>#REF!</v>
      </c>
      <c r="BE94" t="e">
        <f>AND(Liste!#REF!,"AAAAAG9+3zg=")</f>
        <v>#REF!</v>
      </c>
      <c r="BF94" t="e">
        <f>AND(Liste!#REF!,"AAAAAG9+3zk=")</f>
        <v>#REF!</v>
      </c>
      <c r="BG94" t="e">
        <f>AND(Liste!#REF!,"AAAAAG9+3zo=")</f>
        <v>#REF!</v>
      </c>
      <c r="BH94" t="e">
        <f>AND(Liste!#REF!,"AAAAAG9+3zs=")</f>
        <v>#REF!</v>
      </c>
      <c r="BI94" t="e">
        <f>AND(Liste!#REF!,"AAAAAG9+3zw=")</f>
        <v>#REF!</v>
      </c>
      <c r="BJ94" t="e">
        <f>AND(Liste!#REF!,"AAAAAG9+3z0=")</f>
        <v>#REF!</v>
      </c>
      <c r="BK94" t="e">
        <f>IF(Liste!#REF!,"AAAAAG9+3z4=",0)</f>
        <v>#REF!</v>
      </c>
      <c r="BL94" t="e">
        <f>AND(Liste!#REF!,"AAAAAG9+3z8=")</f>
        <v>#REF!</v>
      </c>
      <c r="BM94" t="e">
        <f>AND(Liste!#REF!,"AAAAAG9+30A=")</f>
        <v>#REF!</v>
      </c>
      <c r="BN94" t="e">
        <f>AND(Liste!#REF!,"AAAAAG9+30E=")</f>
        <v>#REF!</v>
      </c>
      <c r="BO94" t="e">
        <f>AND(Liste!#REF!,"AAAAAG9+30I=")</f>
        <v>#REF!</v>
      </c>
      <c r="BP94" t="e">
        <f>AND(Liste!#REF!,"AAAAAG9+30M=")</f>
        <v>#REF!</v>
      </c>
      <c r="BQ94" t="e">
        <f>AND(Liste!#REF!,"AAAAAG9+30Q=")</f>
        <v>#REF!</v>
      </c>
      <c r="BR94" t="e">
        <f>AND(Liste!#REF!,"AAAAAG9+30U=")</f>
        <v>#REF!</v>
      </c>
      <c r="BS94" t="e">
        <f>AND(Liste!#REF!,"AAAAAG9+30Y=")</f>
        <v>#REF!</v>
      </c>
      <c r="BT94" t="e">
        <f>AND(Liste!#REF!,"AAAAAG9+30c=")</f>
        <v>#REF!</v>
      </c>
      <c r="BU94" t="e">
        <f>AND(Liste!#REF!,"AAAAAG9+30g=")</f>
        <v>#REF!</v>
      </c>
      <c r="BV94" t="e">
        <f>AND(Liste!#REF!,"AAAAAG9+30k=")</f>
        <v>#REF!</v>
      </c>
      <c r="BW94" t="e">
        <f>AND(Liste!#REF!,"AAAAAG9+30o=")</f>
        <v>#REF!</v>
      </c>
      <c r="BX94" t="e">
        <f>AND(Liste!#REF!,"AAAAAG9+30s=")</f>
        <v>#REF!</v>
      </c>
      <c r="BY94" t="e">
        <f>AND(Liste!#REF!,"AAAAAG9+30w=")</f>
        <v>#REF!</v>
      </c>
      <c r="BZ94" t="e">
        <f>AND(Liste!#REF!,"AAAAAG9+300=")</f>
        <v>#REF!</v>
      </c>
      <c r="CA94" t="e">
        <f>AND(Liste!#REF!,"AAAAAG9+304=")</f>
        <v>#REF!</v>
      </c>
      <c r="CB94" t="e">
        <f>AND(Liste!#REF!,"AAAAAG9+308=")</f>
        <v>#REF!</v>
      </c>
      <c r="CC94" t="e">
        <f>AND(Liste!#REF!,"AAAAAG9+31A=")</f>
        <v>#REF!</v>
      </c>
      <c r="CD94" t="e">
        <f>AND(Liste!#REF!,"AAAAAG9+31E=")</f>
        <v>#REF!</v>
      </c>
      <c r="CE94" t="e">
        <f>AND(Liste!#REF!,"AAAAAG9+31I=")</f>
        <v>#REF!</v>
      </c>
      <c r="CF94" t="e">
        <f>AND(Liste!#REF!,"AAAAAG9+31M=")</f>
        <v>#REF!</v>
      </c>
      <c r="CG94" t="e">
        <f>AND(Liste!#REF!,"AAAAAG9+31Q=")</f>
        <v>#REF!</v>
      </c>
      <c r="CH94" t="e">
        <f>AND(Liste!#REF!,"AAAAAG9+31U=")</f>
        <v>#REF!</v>
      </c>
      <c r="CI94" t="e">
        <f>AND(Liste!#REF!,"AAAAAG9+31Y=")</f>
        <v>#REF!</v>
      </c>
      <c r="CJ94" t="e">
        <f>AND(Liste!#REF!,"AAAAAG9+31c=")</f>
        <v>#REF!</v>
      </c>
      <c r="CK94" t="e">
        <f>AND(Liste!#REF!,"AAAAAG9+31g=")</f>
        <v>#REF!</v>
      </c>
      <c r="CL94" t="e">
        <f>AND(Liste!#REF!,"AAAAAG9+31k=")</f>
        <v>#REF!</v>
      </c>
      <c r="CM94" t="e">
        <f>AND(Liste!#REF!,"AAAAAG9+31o=")</f>
        <v>#REF!</v>
      </c>
      <c r="CN94" t="e">
        <f>AND(Liste!#REF!,"AAAAAG9+31s=")</f>
        <v>#REF!</v>
      </c>
      <c r="CO94" t="e">
        <f>AND(Liste!#REF!,"AAAAAG9+31w=")</f>
        <v>#REF!</v>
      </c>
      <c r="CP94" t="e">
        <f>IF(Liste!#REF!,"AAAAAG9+310=",0)</f>
        <v>#REF!</v>
      </c>
      <c r="CQ94" t="e">
        <f>AND(Liste!#REF!,"AAAAAG9+314=")</f>
        <v>#REF!</v>
      </c>
      <c r="CR94" t="e">
        <f>AND(Liste!#REF!,"AAAAAG9+318=")</f>
        <v>#REF!</v>
      </c>
      <c r="CS94" t="e">
        <f>AND(Liste!#REF!,"AAAAAG9+32A=")</f>
        <v>#REF!</v>
      </c>
      <c r="CT94" t="e">
        <f>AND(Liste!#REF!,"AAAAAG9+32E=")</f>
        <v>#REF!</v>
      </c>
      <c r="CU94" t="e">
        <f>AND(Liste!#REF!,"AAAAAG9+32I=")</f>
        <v>#REF!</v>
      </c>
      <c r="CV94" t="e">
        <f>AND(Liste!#REF!,"AAAAAG9+32M=")</f>
        <v>#REF!</v>
      </c>
      <c r="CW94" t="e">
        <f>AND(Liste!#REF!,"AAAAAG9+32Q=")</f>
        <v>#REF!</v>
      </c>
      <c r="CX94" t="e">
        <f>AND(Liste!#REF!,"AAAAAG9+32U=")</f>
        <v>#REF!</v>
      </c>
      <c r="CY94" t="e">
        <f>AND(Liste!#REF!,"AAAAAG9+32Y=")</f>
        <v>#REF!</v>
      </c>
      <c r="CZ94" t="e">
        <f>AND(Liste!#REF!,"AAAAAG9+32c=")</f>
        <v>#REF!</v>
      </c>
      <c r="DA94" t="e">
        <f>AND(Liste!#REF!,"AAAAAG9+32g=")</f>
        <v>#REF!</v>
      </c>
      <c r="DB94" t="e">
        <f>AND(Liste!#REF!,"AAAAAG9+32k=")</f>
        <v>#REF!</v>
      </c>
      <c r="DC94" t="e">
        <f>AND(Liste!#REF!,"AAAAAG9+32o=")</f>
        <v>#REF!</v>
      </c>
      <c r="DD94" t="e">
        <f>AND(Liste!#REF!,"AAAAAG9+32s=")</f>
        <v>#REF!</v>
      </c>
      <c r="DE94" t="e">
        <f>AND(Liste!#REF!,"AAAAAG9+32w=")</f>
        <v>#REF!</v>
      </c>
      <c r="DF94" t="e">
        <f>AND(Liste!#REF!,"AAAAAG9+320=")</f>
        <v>#REF!</v>
      </c>
      <c r="DG94" t="e">
        <f>AND(Liste!#REF!,"AAAAAG9+324=")</f>
        <v>#REF!</v>
      </c>
      <c r="DH94" t="e">
        <f>AND(Liste!#REF!,"AAAAAG9+328=")</f>
        <v>#REF!</v>
      </c>
      <c r="DI94" t="e">
        <f>AND(Liste!#REF!,"AAAAAG9+33A=")</f>
        <v>#REF!</v>
      </c>
      <c r="DJ94" t="e">
        <f>AND(Liste!#REF!,"AAAAAG9+33E=")</f>
        <v>#REF!</v>
      </c>
      <c r="DK94" t="e">
        <f>AND(Liste!#REF!,"AAAAAG9+33I=")</f>
        <v>#REF!</v>
      </c>
      <c r="DL94" t="e">
        <f>AND(Liste!#REF!,"AAAAAG9+33M=")</f>
        <v>#REF!</v>
      </c>
      <c r="DM94" t="e">
        <f>AND(Liste!#REF!,"AAAAAG9+33Q=")</f>
        <v>#REF!</v>
      </c>
      <c r="DN94" t="e">
        <f>AND(Liste!#REF!,"AAAAAG9+33U=")</f>
        <v>#REF!</v>
      </c>
      <c r="DO94" t="e">
        <f>AND(Liste!#REF!,"AAAAAG9+33Y=")</f>
        <v>#REF!</v>
      </c>
      <c r="DP94" t="e">
        <f>AND(Liste!#REF!,"AAAAAG9+33c=")</f>
        <v>#REF!</v>
      </c>
      <c r="DQ94" t="e">
        <f>AND(Liste!#REF!,"AAAAAG9+33g=")</f>
        <v>#REF!</v>
      </c>
      <c r="DR94" t="e">
        <f>AND(Liste!#REF!,"AAAAAG9+33k=")</f>
        <v>#REF!</v>
      </c>
      <c r="DS94" t="e">
        <f>AND(Liste!#REF!,"AAAAAG9+33o=")</f>
        <v>#REF!</v>
      </c>
      <c r="DT94" t="e">
        <f>AND(Liste!#REF!,"AAAAAG9+33s=")</f>
        <v>#REF!</v>
      </c>
      <c r="DU94" t="e">
        <f>IF(Liste!#REF!,"AAAAAG9+33w=",0)</f>
        <v>#REF!</v>
      </c>
      <c r="DV94" t="e">
        <f>AND(Liste!#REF!,"AAAAAG9+330=")</f>
        <v>#REF!</v>
      </c>
      <c r="DW94" t="e">
        <f>AND(Liste!#REF!,"AAAAAG9+334=")</f>
        <v>#REF!</v>
      </c>
      <c r="DX94" t="e">
        <f>AND(Liste!#REF!,"AAAAAG9+338=")</f>
        <v>#REF!</v>
      </c>
      <c r="DY94" t="e">
        <f>AND(Liste!#REF!,"AAAAAG9+34A=")</f>
        <v>#REF!</v>
      </c>
      <c r="DZ94" t="e">
        <f>AND(Liste!#REF!,"AAAAAG9+34E=")</f>
        <v>#REF!</v>
      </c>
      <c r="EA94" t="e">
        <f>AND(Liste!#REF!,"AAAAAG9+34I=")</f>
        <v>#REF!</v>
      </c>
      <c r="EB94" t="e">
        <f>AND(Liste!#REF!,"AAAAAG9+34M=")</f>
        <v>#REF!</v>
      </c>
      <c r="EC94" t="e">
        <f>AND(Liste!#REF!,"AAAAAG9+34Q=")</f>
        <v>#REF!</v>
      </c>
      <c r="ED94" t="e">
        <f>AND(Liste!#REF!,"AAAAAG9+34U=")</f>
        <v>#REF!</v>
      </c>
      <c r="EE94" t="e">
        <f>AND(Liste!#REF!,"AAAAAG9+34Y=")</f>
        <v>#REF!</v>
      </c>
      <c r="EF94" t="e">
        <f>AND(Liste!#REF!,"AAAAAG9+34c=")</f>
        <v>#REF!</v>
      </c>
      <c r="EG94" t="e">
        <f>AND(Liste!#REF!,"AAAAAG9+34g=")</f>
        <v>#REF!</v>
      </c>
      <c r="EH94" t="e">
        <f>AND(Liste!#REF!,"AAAAAG9+34k=")</f>
        <v>#REF!</v>
      </c>
      <c r="EI94" t="e">
        <f>AND(Liste!#REF!,"AAAAAG9+34o=")</f>
        <v>#REF!</v>
      </c>
      <c r="EJ94" t="e">
        <f>AND(Liste!#REF!,"AAAAAG9+34s=")</f>
        <v>#REF!</v>
      </c>
      <c r="EK94" t="e">
        <f>AND(Liste!#REF!,"AAAAAG9+34w=")</f>
        <v>#REF!</v>
      </c>
      <c r="EL94" t="e">
        <f>AND(Liste!#REF!,"AAAAAG9+340=")</f>
        <v>#REF!</v>
      </c>
      <c r="EM94" t="e">
        <f>AND(Liste!#REF!,"AAAAAG9+344=")</f>
        <v>#REF!</v>
      </c>
      <c r="EN94" t="e">
        <f>AND(Liste!#REF!,"AAAAAG9+348=")</f>
        <v>#REF!</v>
      </c>
      <c r="EO94" t="e">
        <f>AND(Liste!#REF!,"AAAAAG9+35A=")</f>
        <v>#REF!</v>
      </c>
      <c r="EP94" t="e">
        <f>AND(Liste!#REF!,"AAAAAG9+35E=")</f>
        <v>#REF!</v>
      </c>
      <c r="EQ94" t="e">
        <f>AND(Liste!#REF!,"AAAAAG9+35I=")</f>
        <v>#REF!</v>
      </c>
      <c r="ER94" t="e">
        <f>AND(Liste!#REF!,"AAAAAG9+35M=")</f>
        <v>#REF!</v>
      </c>
      <c r="ES94" t="e">
        <f>AND(Liste!#REF!,"AAAAAG9+35Q=")</f>
        <v>#REF!</v>
      </c>
      <c r="ET94" t="e">
        <f>AND(Liste!#REF!,"AAAAAG9+35U=")</f>
        <v>#REF!</v>
      </c>
      <c r="EU94" t="e">
        <f>AND(Liste!#REF!,"AAAAAG9+35Y=")</f>
        <v>#REF!</v>
      </c>
      <c r="EV94" t="e">
        <f>AND(Liste!#REF!,"AAAAAG9+35c=")</f>
        <v>#REF!</v>
      </c>
      <c r="EW94" t="e">
        <f>AND(Liste!#REF!,"AAAAAG9+35g=")</f>
        <v>#REF!</v>
      </c>
      <c r="EX94" t="e">
        <f>AND(Liste!#REF!,"AAAAAG9+35k=")</f>
        <v>#REF!</v>
      </c>
      <c r="EY94" t="e">
        <f>AND(Liste!#REF!,"AAAAAG9+35o=")</f>
        <v>#REF!</v>
      </c>
      <c r="EZ94" t="e">
        <f>IF(Liste!#REF!,"AAAAAG9+35s=",0)</f>
        <v>#REF!</v>
      </c>
      <c r="FA94" t="e">
        <f>AND(Liste!#REF!,"AAAAAG9+35w=")</f>
        <v>#REF!</v>
      </c>
      <c r="FB94" t="e">
        <f>AND(Liste!#REF!,"AAAAAG9+350=")</f>
        <v>#REF!</v>
      </c>
      <c r="FC94" t="e">
        <f>AND(Liste!#REF!,"AAAAAG9+354=")</f>
        <v>#REF!</v>
      </c>
      <c r="FD94" t="e">
        <f>AND(Liste!#REF!,"AAAAAG9+358=")</f>
        <v>#REF!</v>
      </c>
      <c r="FE94" t="e">
        <f>AND(Liste!#REF!,"AAAAAG9+36A=")</f>
        <v>#REF!</v>
      </c>
      <c r="FF94" t="e">
        <f>AND(Liste!#REF!,"AAAAAG9+36E=")</f>
        <v>#REF!</v>
      </c>
      <c r="FG94" t="e">
        <f>AND(Liste!#REF!,"AAAAAG9+36I=")</f>
        <v>#REF!</v>
      </c>
      <c r="FH94" t="e">
        <f>AND(Liste!#REF!,"AAAAAG9+36M=")</f>
        <v>#REF!</v>
      </c>
      <c r="FI94" t="e">
        <f>AND(Liste!#REF!,"AAAAAG9+36Q=")</f>
        <v>#REF!</v>
      </c>
      <c r="FJ94" t="e">
        <f>AND(Liste!#REF!,"AAAAAG9+36U=")</f>
        <v>#REF!</v>
      </c>
      <c r="FK94" t="e">
        <f>AND(Liste!#REF!,"AAAAAG9+36Y=")</f>
        <v>#REF!</v>
      </c>
      <c r="FL94" t="e">
        <f>AND(Liste!#REF!,"AAAAAG9+36c=")</f>
        <v>#REF!</v>
      </c>
      <c r="FM94" t="e">
        <f>AND(Liste!#REF!,"AAAAAG9+36g=")</f>
        <v>#REF!</v>
      </c>
      <c r="FN94" t="e">
        <f>AND(Liste!#REF!,"AAAAAG9+36k=")</f>
        <v>#REF!</v>
      </c>
      <c r="FO94" t="e">
        <f>AND(Liste!#REF!,"AAAAAG9+36o=")</f>
        <v>#REF!</v>
      </c>
      <c r="FP94" t="e">
        <f>AND(Liste!#REF!,"AAAAAG9+36s=")</f>
        <v>#REF!</v>
      </c>
      <c r="FQ94" t="e">
        <f>AND(Liste!#REF!,"AAAAAG9+36w=")</f>
        <v>#REF!</v>
      </c>
      <c r="FR94" t="e">
        <f>AND(Liste!#REF!,"AAAAAG9+360=")</f>
        <v>#REF!</v>
      </c>
      <c r="FS94" t="e">
        <f>AND(Liste!#REF!,"AAAAAG9+364=")</f>
        <v>#REF!</v>
      </c>
      <c r="FT94" t="e">
        <f>AND(Liste!#REF!,"AAAAAG9+368=")</f>
        <v>#REF!</v>
      </c>
      <c r="FU94" t="e">
        <f>AND(Liste!#REF!,"AAAAAG9+37A=")</f>
        <v>#REF!</v>
      </c>
      <c r="FV94" t="e">
        <f>AND(Liste!#REF!,"AAAAAG9+37E=")</f>
        <v>#REF!</v>
      </c>
      <c r="FW94" t="e">
        <f>AND(Liste!#REF!,"AAAAAG9+37I=")</f>
        <v>#REF!</v>
      </c>
      <c r="FX94" t="e">
        <f>AND(Liste!#REF!,"AAAAAG9+37M=")</f>
        <v>#REF!</v>
      </c>
      <c r="FY94" t="e">
        <f>AND(Liste!#REF!,"AAAAAG9+37Q=")</f>
        <v>#REF!</v>
      </c>
      <c r="FZ94" t="e">
        <f>AND(Liste!#REF!,"AAAAAG9+37U=")</f>
        <v>#REF!</v>
      </c>
      <c r="GA94" t="e">
        <f>AND(Liste!#REF!,"AAAAAG9+37Y=")</f>
        <v>#REF!</v>
      </c>
      <c r="GB94" t="e">
        <f>AND(Liste!#REF!,"AAAAAG9+37c=")</f>
        <v>#REF!</v>
      </c>
      <c r="GC94" t="e">
        <f>AND(Liste!#REF!,"AAAAAG9+37g=")</f>
        <v>#REF!</v>
      </c>
      <c r="GD94" t="e">
        <f>AND(Liste!#REF!,"AAAAAG9+37k=")</f>
        <v>#REF!</v>
      </c>
      <c r="GE94" t="e">
        <f>IF(Liste!#REF!,"AAAAAG9+37o=",0)</f>
        <v>#REF!</v>
      </c>
      <c r="GF94" t="e">
        <f>AND(Liste!#REF!,"AAAAAG9+37s=")</f>
        <v>#REF!</v>
      </c>
      <c r="GG94" t="e">
        <f>AND(Liste!#REF!,"AAAAAG9+37w=")</f>
        <v>#REF!</v>
      </c>
      <c r="GH94" t="e">
        <f>AND(Liste!#REF!,"AAAAAG9+370=")</f>
        <v>#REF!</v>
      </c>
      <c r="GI94" t="e">
        <f>AND(Liste!#REF!,"AAAAAG9+374=")</f>
        <v>#REF!</v>
      </c>
      <c r="GJ94" t="e">
        <f>AND(Liste!#REF!,"AAAAAG9+378=")</f>
        <v>#REF!</v>
      </c>
      <c r="GK94" t="e">
        <f>AND(Liste!#REF!,"AAAAAG9+38A=")</f>
        <v>#REF!</v>
      </c>
      <c r="GL94" t="e">
        <f>AND(Liste!#REF!,"AAAAAG9+38E=")</f>
        <v>#REF!</v>
      </c>
      <c r="GM94" t="e">
        <f>AND(Liste!#REF!,"AAAAAG9+38I=")</f>
        <v>#REF!</v>
      </c>
      <c r="GN94" t="e">
        <f>AND(Liste!#REF!,"AAAAAG9+38M=")</f>
        <v>#REF!</v>
      </c>
      <c r="GO94" t="e">
        <f>AND(Liste!#REF!,"AAAAAG9+38Q=")</f>
        <v>#REF!</v>
      </c>
      <c r="GP94" t="e">
        <f>AND(Liste!#REF!,"AAAAAG9+38U=")</f>
        <v>#REF!</v>
      </c>
      <c r="GQ94" t="e">
        <f>AND(Liste!#REF!,"AAAAAG9+38Y=")</f>
        <v>#REF!</v>
      </c>
      <c r="GR94" t="e">
        <f>AND(Liste!#REF!,"AAAAAG9+38c=")</f>
        <v>#REF!</v>
      </c>
      <c r="GS94" t="e">
        <f>AND(Liste!#REF!,"AAAAAG9+38g=")</f>
        <v>#REF!</v>
      </c>
      <c r="GT94" t="e">
        <f>AND(Liste!#REF!,"AAAAAG9+38k=")</f>
        <v>#REF!</v>
      </c>
      <c r="GU94" t="e">
        <f>AND(Liste!#REF!,"AAAAAG9+38o=")</f>
        <v>#REF!</v>
      </c>
      <c r="GV94" t="e">
        <f>AND(Liste!#REF!,"AAAAAG9+38s=")</f>
        <v>#REF!</v>
      </c>
      <c r="GW94" t="e">
        <f>AND(Liste!#REF!,"AAAAAG9+38w=")</f>
        <v>#REF!</v>
      </c>
      <c r="GX94" t="e">
        <f>AND(Liste!#REF!,"AAAAAG9+380=")</f>
        <v>#REF!</v>
      </c>
      <c r="GY94" t="e">
        <f>AND(Liste!#REF!,"AAAAAG9+384=")</f>
        <v>#REF!</v>
      </c>
      <c r="GZ94" t="e">
        <f>AND(Liste!#REF!,"AAAAAG9+388=")</f>
        <v>#REF!</v>
      </c>
      <c r="HA94" t="e">
        <f>AND(Liste!#REF!,"AAAAAG9+39A=")</f>
        <v>#REF!</v>
      </c>
      <c r="HB94" t="e">
        <f>AND(Liste!#REF!,"AAAAAG9+39E=")</f>
        <v>#REF!</v>
      </c>
      <c r="HC94" t="e">
        <f>AND(Liste!#REF!,"AAAAAG9+39I=")</f>
        <v>#REF!</v>
      </c>
      <c r="HD94" t="e">
        <f>AND(Liste!#REF!,"AAAAAG9+39M=")</f>
        <v>#REF!</v>
      </c>
      <c r="HE94" t="e">
        <f>AND(Liste!#REF!,"AAAAAG9+39Q=")</f>
        <v>#REF!</v>
      </c>
      <c r="HF94" t="e">
        <f>AND(Liste!#REF!,"AAAAAG9+39U=")</f>
        <v>#REF!</v>
      </c>
      <c r="HG94" t="e">
        <f>AND(Liste!#REF!,"AAAAAG9+39Y=")</f>
        <v>#REF!</v>
      </c>
      <c r="HH94" t="e">
        <f>AND(Liste!#REF!,"AAAAAG9+39c=")</f>
        <v>#REF!</v>
      </c>
      <c r="HI94" t="e">
        <f>AND(Liste!#REF!,"AAAAAG9+39g=")</f>
        <v>#REF!</v>
      </c>
      <c r="HJ94" t="e">
        <f>IF(Liste!#REF!,"AAAAAG9+39k=",0)</f>
        <v>#REF!</v>
      </c>
      <c r="HK94" t="e">
        <f>AND(Liste!#REF!,"AAAAAG9+39o=")</f>
        <v>#REF!</v>
      </c>
      <c r="HL94" t="e">
        <f>AND(Liste!#REF!,"AAAAAG9+39s=")</f>
        <v>#REF!</v>
      </c>
      <c r="HM94" t="e">
        <f>AND(Liste!#REF!,"AAAAAG9+39w=")</f>
        <v>#REF!</v>
      </c>
      <c r="HN94" t="e">
        <f>AND(Liste!#REF!,"AAAAAG9+390=")</f>
        <v>#REF!</v>
      </c>
      <c r="HO94" t="e">
        <f>AND(Liste!#REF!,"AAAAAG9+394=")</f>
        <v>#REF!</v>
      </c>
      <c r="HP94" t="e">
        <f>AND(Liste!#REF!,"AAAAAG9+398=")</f>
        <v>#REF!</v>
      </c>
      <c r="HQ94" t="e">
        <f>AND(Liste!#REF!,"AAAAAG9+3+A=")</f>
        <v>#REF!</v>
      </c>
      <c r="HR94" t="e">
        <f>AND(Liste!#REF!,"AAAAAG9+3+E=")</f>
        <v>#REF!</v>
      </c>
      <c r="HS94" t="e">
        <f>AND(Liste!#REF!,"AAAAAG9+3+I=")</f>
        <v>#REF!</v>
      </c>
      <c r="HT94" t="e">
        <f>AND(Liste!#REF!,"AAAAAG9+3+M=")</f>
        <v>#REF!</v>
      </c>
      <c r="HU94" t="e">
        <f>AND(Liste!#REF!,"AAAAAG9+3+Q=")</f>
        <v>#REF!</v>
      </c>
      <c r="HV94" t="e">
        <f>AND(Liste!#REF!,"AAAAAG9+3+U=")</f>
        <v>#REF!</v>
      </c>
      <c r="HW94" t="e">
        <f>AND(Liste!#REF!,"AAAAAG9+3+Y=")</f>
        <v>#REF!</v>
      </c>
      <c r="HX94" t="e">
        <f>AND(Liste!#REF!,"AAAAAG9+3+c=")</f>
        <v>#REF!</v>
      </c>
      <c r="HY94" t="e">
        <f>AND(Liste!#REF!,"AAAAAG9+3+g=")</f>
        <v>#REF!</v>
      </c>
      <c r="HZ94" t="e">
        <f>AND(Liste!#REF!,"AAAAAG9+3+k=")</f>
        <v>#REF!</v>
      </c>
      <c r="IA94" t="e">
        <f>AND(Liste!#REF!,"AAAAAG9+3+o=")</f>
        <v>#REF!</v>
      </c>
      <c r="IB94" t="e">
        <f>AND(Liste!#REF!,"AAAAAG9+3+s=")</f>
        <v>#REF!</v>
      </c>
      <c r="IC94" t="e">
        <f>AND(Liste!#REF!,"AAAAAG9+3+w=")</f>
        <v>#REF!</v>
      </c>
      <c r="ID94" t="e">
        <f>AND(Liste!#REF!,"AAAAAG9+3+0=")</f>
        <v>#REF!</v>
      </c>
      <c r="IE94" t="e">
        <f>AND(Liste!#REF!,"AAAAAG9+3+4=")</f>
        <v>#REF!</v>
      </c>
      <c r="IF94" t="e">
        <f>AND(Liste!#REF!,"AAAAAG9+3+8=")</f>
        <v>#REF!</v>
      </c>
      <c r="IG94" t="e">
        <f>AND(Liste!#REF!,"AAAAAG9+3/A=")</f>
        <v>#REF!</v>
      </c>
      <c r="IH94" t="e">
        <f>AND(Liste!#REF!,"AAAAAG9+3/E=")</f>
        <v>#REF!</v>
      </c>
      <c r="II94" t="e">
        <f>AND(Liste!#REF!,"AAAAAG9+3/I=")</f>
        <v>#REF!</v>
      </c>
      <c r="IJ94" t="e">
        <f>AND(Liste!#REF!,"AAAAAG9+3/M=")</f>
        <v>#REF!</v>
      </c>
      <c r="IK94" t="e">
        <f>AND(Liste!#REF!,"AAAAAG9+3/Q=")</f>
        <v>#REF!</v>
      </c>
      <c r="IL94" t="e">
        <f>AND(Liste!#REF!,"AAAAAG9+3/U=")</f>
        <v>#REF!</v>
      </c>
      <c r="IM94" t="e">
        <f>AND(Liste!#REF!,"AAAAAG9+3/Y=")</f>
        <v>#REF!</v>
      </c>
      <c r="IN94" t="e">
        <f>AND(Liste!#REF!,"AAAAAG9+3/c=")</f>
        <v>#REF!</v>
      </c>
      <c r="IO94" t="e">
        <f>IF(Liste!#REF!,"AAAAAG9+3/g=",0)</f>
        <v>#REF!</v>
      </c>
      <c r="IP94" t="e">
        <f>AND(Liste!#REF!,"AAAAAG9+3/k=")</f>
        <v>#REF!</v>
      </c>
      <c r="IQ94" t="e">
        <f>AND(Liste!#REF!,"AAAAAG9+3/o=")</f>
        <v>#REF!</v>
      </c>
      <c r="IR94" t="e">
        <f>AND(Liste!#REF!,"AAAAAG9+3/s=")</f>
        <v>#REF!</v>
      </c>
      <c r="IS94" t="e">
        <f>AND(Liste!#REF!,"AAAAAG9+3/w=")</f>
        <v>#REF!</v>
      </c>
      <c r="IT94" t="e">
        <f>AND(Liste!#REF!,"AAAAAG9+3/0=")</f>
        <v>#REF!</v>
      </c>
      <c r="IU94" t="e">
        <f>AND(Liste!#REF!,"AAAAAG9+3/4=")</f>
        <v>#REF!</v>
      </c>
      <c r="IV94" t="e">
        <f>AND(Liste!#REF!,"AAAAAG9+3/8=")</f>
        <v>#REF!</v>
      </c>
    </row>
    <row r="95" spans="1:256" x14ac:dyDescent="0.2">
      <c r="A95" t="e">
        <f>AND(Liste!#REF!,"AAAAAD/n/gA=")</f>
        <v>#REF!</v>
      </c>
      <c r="B95" t="e">
        <f>AND(Liste!#REF!,"AAAAAD/n/gE=")</f>
        <v>#REF!</v>
      </c>
      <c r="C95" t="e">
        <f>AND(Liste!#REF!,"AAAAAD/n/gI=")</f>
        <v>#REF!</v>
      </c>
      <c r="D95" t="e">
        <f>AND(Liste!#REF!,"AAAAAD/n/gM=")</f>
        <v>#REF!</v>
      </c>
      <c r="E95" t="e">
        <f>AND(Liste!#REF!,"AAAAAD/n/gQ=")</f>
        <v>#REF!</v>
      </c>
      <c r="F95" t="e">
        <f>AND(Liste!#REF!,"AAAAAD/n/gU=")</f>
        <v>#REF!</v>
      </c>
      <c r="G95" t="e">
        <f>AND(Liste!#REF!,"AAAAAD/n/gY=")</f>
        <v>#REF!</v>
      </c>
      <c r="H95" t="e">
        <f>AND(Liste!#REF!,"AAAAAD/n/gc=")</f>
        <v>#REF!</v>
      </c>
      <c r="I95" t="e">
        <f>AND(Liste!#REF!,"AAAAAD/n/gg=")</f>
        <v>#REF!</v>
      </c>
      <c r="J95" t="e">
        <f>AND(Liste!#REF!,"AAAAAD/n/gk=")</f>
        <v>#REF!</v>
      </c>
      <c r="K95" t="e">
        <f>AND(Liste!#REF!,"AAAAAD/n/go=")</f>
        <v>#REF!</v>
      </c>
      <c r="L95" t="e">
        <f>AND(Liste!#REF!,"AAAAAD/n/gs=")</f>
        <v>#REF!</v>
      </c>
      <c r="M95" t="e">
        <f>AND(Liste!#REF!,"AAAAAD/n/gw=")</f>
        <v>#REF!</v>
      </c>
      <c r="N95" t="e">
        <f>AND(Liste!#REF!,"AAAAAD/n/g0=")</f>
        <v>#REF!</v>
      </c>
      <c r="O95" t="e">
        <f>AND(Liste!#REF!,"AAAAAD/n/g4=")</f>
        <v>#REF!</v>
      </c>
      <c r="P95" t="e">
        <f>AND(Liste!#REF!,"AAAAAD/n/g8=")</f>
        <v>#REF!</v>
      </c>
      <c r="Q95" t="e">
        <f>AND(Liste!#REF!,"AAAAAD/n/hA=")</f>
        <v>#REF!</v>
      </c>
      <c r="R95" t="e">
        <f>AND(Liste!#REF!,"AAAAAD/n/hE=")</f>
        <v>#REF!</v>
      </c>
      <c r="S95" t="e">
        <f>AND(Liste!#REF!,"AAAAAD/n/hI=")</f>
        <v>#REF!</v>
      </c>
      <c r="T95" t="e">
        <f>AND(Liste!#REF!,"AAAAAD/n/hM=")</f>
        <v>#REF!</v>
      </c>
      <c r="U95" t="e">
        <f>AND(Liste!#REF!,"AAAAAD/n/hQ=")</f>
        <v>#REF!</v>
      </c>
      <c r="V95" t="e">
        <f>AND(Liste!#REF!,"AAAAAD/n/hU=")</f>
        <v>#REF!</v>
      </c>
      <c r="W95" t="e">
        <f>AND(Liste!#REF!,"AAAAAD/n/hY=")</f>
        <v>#REF!</v>
      </c>
      <c r="X95" t="e">
        <f>IF(Liste!#REF!,"AAAAAD/n/hc=",0)</f>
        <v>#REF!</v>
      </c>
      <c r="Y95" t="e">
        <f>AND(Liste!#REF!,"AAAAAD/n/hg=")</f>
        <v>#REF!</v>
      </c>
      <c r="Z95" t="e">
        <f>AND(Liste!#REF!,"AAAAAD/n/hk=")</f>
        <v>#REF!</v>
      </c>
      <c r="AA95" t="e">
        <f>AND(Liste!#REF!,"AAAAAD/n/ho=")</f>
        <v>#REF!</v>
      </c>
      <c r="AB95" t="e">
        <f>AND(Liste!#REF!,"AAAAAD/n/hs=")</f>
        <v>#REF!</v>
      </c>
      <c r="AC95" t="e">
        <f>AND(Liste!#REF!,"AAAAAD/n/hw=")</f>
        <v>#REF!</v>
      </c>
      <c r="AD95" t="e">
        <f>AND(Liste!#REF!,"AAAAAD/n/h0=")</f>
        <v>#REF!</v>
      </c>
      <c r="AE95" t="e">
        <f>AND(Liste!#REF!,"AAAAAD/n/h4=")</f>
        <v>#REF!</v>
      </c>
      <c r="AF95" t="e">
        <f>AND(Liste!#REF!,"AAAAAD/n/h8=")</f>
        <v>#REF!</v>
      </c>
      <c r="AG95" t="e">
        <f>AND(Liste!#REF!,"AAAAAD/n/iA=")</f>
        <v>#REF!</v>
      </c>
      <c r="AH95" t="e">
        <f>AND(Liste!#REF!,"AAAAAD/n/iE=")</f>
        <v>#REF!</v>
      </c>
      <c r="AI95" t="e">
        <f>AND(Liste!#REF!,"AAAAAD/n/iI=")</f>
        <v>#REF!</v>
      </c>
      <c r="AJ95" t="e">
        <f>AND(Liste!#REF!,"AAAAAD/n/iM=")</f>
        <v>#REF!</v>
      </c>
      <c r="AK95" t="e">
        <f>AND(Liste!#REF!,"AAAAAD/n/iQ=")</f>
        <v>#REF!</v>
      </c>
      <c r="AL95" t="e">
        <f>AND(Liste!#REF!,"AAAAAD/n/iU=")</f>
        <v>#REF!</v>
      </c>
      <c r="AM95" t="e">
        <f>AND(Liste!#REF!,"AAAAAD/n/iY=")</f>
        <v>#REF!</v>
      </c>
      <c r="AN95" t="e">
        <f>AND(Liste!#REF!,"AAAAAD/n/ic=")</f>
        <v>#REF!</v>
      </c>
      <c r="AO95" t="e">
        <f>AND(Liste!#REF!,"AAAAAD/n/ig=")</f>
        <v>#REF!</v>
      </c>
      <c r="AP95" t="e">
        <f>AND(Liste!#REF!,"AAAAAD/n/ik=")</f>
        <v>#REF!</v>
      </c>
      <c r="AQ95" t="e">
        <f>AND(Liste!#REF!,"AAAAAD/n/io=")</f>
        <v>#REF!</v>
      </c>
      <c r="AR95" t="e">
        <f>AND(Liste!#REF!,"AAAAAD/n/is=")</f>
        <v>#REF!</v>
      </c>
      <c r="AS95" t="e">
        <f>AND(Liste!#REF!,"AAAAAD/n/iw=")</f>
        <v>#REF!</v>
      </c>
      <c r="AT95" t="e">
        <f>AND(Liste!#REF!,"AAAAAD/n/i0=")</f>
        <v>#REF!</v>
      </c>
      <c r="AU95" t="e">
        <f>AND(Liste!#REF!,"AAAAAD/n/i4=")</f>
        <v>#REF!</v>
      </c>
      <c r="AV95" t="e">
        <f>AND(Liste!#REF!,"AAAAAD/n/i8=")</f>
        <v>#REF!</v>
      </c>
      <c r="AW95" t="e">
        <f>AND(Liste!#REF!,"AAAAAD/n/jA=")</f>
        <v>#REF!</v>
      </c>
      <c r="AX95" t="e">
        <f>AND(Liste!#REF!,"AAAAAD/n/jE=")</f>
        <v>#REF!</v>
      </c>
      <c r="AY95" t="e">
        <f>AND(Liste!#REF!,"AAAAAD/n/jI=")</f>
        <v>#REF!</v>
      </c>
      <c r="AZ95" t="e">
        <f>AND(Liste!#REF!,"AAAAAD/n/jM=")</f>
        <v>#REF!</v>
      </c>
      <c r="BA95" t="e">
        <f>AND(Liste!#REF!,"AAAAAD/n/jQ=")</f>
        <v>#REF!</v>
      </c>
      <c r="BB95" t="e">
        <f>AND(Liste!#REF!,"AAAAAD/n/jU=")</f>
        <v>#REF!</v>
      </c>
      <c r="BC95" t="e">
        <f>IF(Liste!#REF!,"AAAAAD/n/jY=",0)</f>
        <v>#REF!</v>
      </c>
      <c r="BD95" t="e">
        <f>AND(Liste!#REF!,"AAAAAD/n/jc=")</f>
        <v>#REF!</v>
      </c>
      <c r="BE95" t="e">
        <f>AND(Liste!#REF!,"AAAAAD/n/jg=")</f>
        <v>#REF!</v>
      </c>
      <c r="BF95" t="e">
        <f>AND(Liste!#REF!,"AAAAAD/n/jk=")</f>
        <v>#REF!</v>
      </c>
      <c r="BG95" t="e">
        <f>AND(Liste!#REF!,"AAAAAD/n/jo=")</f>
        <v>#REF!</v>
      </c>
      <c r="BH95" t="e">
        <f>AND(Liste!#REF!,"AAAAAD/n/js=")</f>
        <v>#REF!</v>
      </c>
      <c r="BI95" t="e">
        <f>AND(Liste!#REF!,"AAAAAD/n/jw=")</f>
        <v>#REF!</v>
      </c>
      <c r="BJ95" t="e">
        <f>AND(Liste!#REF!,"AAAAAD/n/j0=")</f>
        <v>#REF!</v>
      </c>
      <c r="BK95" t="e">
        <f>AND(Liste!#REF!,"AAAAAD/n/j4=")</f>
        <v>#REF!</v>
      </c>
      <c r="BL95" t="e">
        <f>AND(Liste!#REF!,"AAAAAD/n/j8=")</f>
        <v>#REF!</v>
      </c>
      <c r="BM95" t="e">
        <f>AND(Liste!#REF!,"AAAAAD/n/kA=")</f>
        <v>#REF!</v>
      </c>
      <c r="BN95" t="e">
        <f>AND(Liste!#REF!,"AAAAAD/n/kE=")</f>
        <v>#REF!</v>
      </c>
      <c r="BO95" t="e">
        <f>AND(Liste!#REF!,"AAAAAD/n/kI=")</f>
        <v>#REF!</v>
      </c>
      <c r="BP95" t="e">
        <f>AND(Liste!#REF!,"AAAAAD/n/kM=")</f>
        <v>#REF!</v>
      </c>
      <c r="BQ95" t="e">
        <f>AND(Liste!#REF!,"AAAAAD/n/kQ=")</f>
        <v>#REF!</v>
      </c>
      <c r="BR95" t="e">
        <f>AND(Liste!#REF!,"AAAAAD/n/kU=")</f>
        <v>#REF!</v>
      </c>
      <c r="BS95" t="e">
        <f>AND(Liste!#REF!,"AAAAAD/n/kY=")</f>
        <v>#REF!</v>
      </c>
      <c r="BT95" t="e">
        <f>AND(Liste!#REF!,"AAAAAD/n/kc=")</f>
        <v>#REF!</v>
      </c>
      <c r="BU95" t="e">
        <f>AND(Liste!#REF!,"AAAAAD/n/kg=")</f>
        <v>#REF!</v>
      </c>
      <c r="BV95" t="e">
        <f>AND(Liste!#REF!,"AAAAAD/n/kk=")</f>
        <v>#REF!</v>
      </c>
      <c r="BW95" t="e">
        <f>AND(Liste!#REF!,"AAAAAD/n/ko=")</f>
        <v>#REF!</v>
      </c>
      <c r="BX95" t="e">
        <f>AND(Liste!#REF!,"AAAAAD/n/ks=")</f>
        <v>#REF!</v>
      </c>
      <c r="BY95" t="e">
        <f>AND(Liste!#REF!,"AAAAAD/n/kw=")</f>
        <v>#REF!</v>
      </c>
      <c r="BZ95" t="e">
        <f>AND(Liste!#REF!,"AAAAAD/n/k0=")</f>
        <v>#REF!</v>
      </c>
      <c r="CA95" t="e">
        <f>AND(Liste!#REF!,"AAAAAD/n/k4=")</f>
        <v>#REF!</v>
      </c>
      <c r="CB95" t="e">
        <f>AND(Liste!#REF!,"AAAAAD/n/k8=")</f>
        <v>#REF!</v>
      </c>
      <c r="CC95" t="e">
        <f>AND(Liste!#REF!,"AAAAAD/n/lA=")</f>
        <v>#REF!</v>
      </c>
      <c r="CD95" t="e">
        <f>AND(Liste!#REF!,"AAAAAD/n/lE=")</f>
        <v>#REF!</v>
      </c>
      <c r="CE95" t="e">
        <f>AND(Liste!#REF!,"AAAAAD/n/lI=")</f>
        <v>#REF!</v>
      </c>
      <c r="CF95" t="e">
        <f>AND(Liste!#REF!,"AAAAAD/n/lM=")</f>
        <v>#REF!</v>
      </c>
      <c r="CG95" t="e">
        <f>AND(Liste!#REF!,"AAAAAD/n/lQ=")</f>
        <v>#REF!</v>
      </c>
      <c r="CH95" t="e">
        <f>IF(Liste!#REF!,"AAAAAD/n/lU=",0)</f>
        <v>#REF!</v>
      </c>
      <c r="CI95" t="e">
        <f>AND(Liste!#REF!,"AAAAAD/n/lY=")</f>
        <v>#REF!</v>
      </c>
      <c r="CJ95" t="e">
        <f>AND(Liste!#REF!,"AAAAAD/n/lc=")</f>
        <v>#REF!</v>
      </c>
      <c r="CK95" t="e">
        <f>AND(Liste!#REF!,"AAAAAD/n/lg=")</f>
        <v>#REF!</v>
      </c>
      <c r="CL95" t="e">
        <f>AND(Liste!#REF!,"AAAAAD/n/lk=")</f>
        <v>#REF!</v>
      </c>
      <c r="CM95" t="e">
        <f>AND(Liste!#REF!,"AAAAAD/n/lo=")</f>
        <v>#REF!</v>
      </c>
      <c r="CN95" t="e">
        <f>AND(Liste!#REF!,"AAAAAD/n/ls=")</f>
        <v>#REF!</v>
      </c>
      <c r="CO95" t="e">
        <f>AND(Liste!#REF!,"AAAAAD/n/lw=")</f>
        <v>#REF!</v>
      </c>
      <c r="CP95" t="e">
        <f>AND(Liste!#REF!,"AAAAAD/n/l0=")</f>
        <v>#REF!</v>
      </c>
      <c r="CQ95" t="e">
        <f>AND(Liste!#REF!,"AAAAAD/n/l4=")</f>
        <v>#REF!</v>
      </c>
      <c r="CR95" t="e">
        <f>AND(Liste!#REF!,"AAAAAD/n/l8=")</f>
        <v>#REF!</v>
      </c>
      <c r="CS95" t="e">
        <f>AND(Liste!#REF!,"AAAAAD/n/mA=")</f>
        <v>#REF!</v>
      </c>
      <c r="CT95" t="e">
        <f>AND(Liste!#REF!,"AAAAAD/n/mE=")</f>
        <v>#REF!</v>
      </c>
      <c r="CU95" t="e">
        <f>AND(Liste!#REF!,"AAAAAD/n/mI=")</f>
        <v>#REF!</v>
      </c>
      <c r="CV95" t="e">
        <f>AND(Liste!#REF!,"AAAAAD/n/mM=")</f>
        <v>#REF!</v>
      </c>
      <c r="CW95" t="e">
        <f>AND(Liste!#REF!,"AAAAAD/n/mQ=")</f>
        <v>#REF!</v>
      </c>
      <c r="CX95" t="e">
        <f>AND(Liste!#REF!,"AAAAAD/n/mU=")</f>
        <v>#REF!</v>
      </c>
      <c r="CY95" t="e">
        <f>AND(Liste!#REF!,"AAAAAD/n/mY=")</f>
        <v>#REF!</v>
      </c>
      <c r="CZ95" t="e">
        <f>AND(Liste!#REF!,"AAAAAD/n/mc=")</f>
        <v>#REF!</v>
      </c>
      <c r="DA95" t="e">
        <f>AND(Liste!#REF!,"AAAAAD/n/mg=")</f>
        <v>#REF!</v>
      </c>
      <c r="DB95" t="e">
        <f>AND(Liste!#REF!,"AAAAAD/n/mk=")</f>
        <v>#REF!</v>
      </c>
      <c r="DC95" t="e">
        <f>AND(Liste!#REF!,"AAAAAD/n/mo=")</f>
        <v>#REF!</v>
      </c>
      <c r="DD95" t="e">
        <f>AND(Liste!#REF!,"AAAAAD/n/ms=")</f>
        <v>#REF!</v>
      </c>
      <c r="DE95" t="e">
        <f>AND(Liste!#REF!,"AAAAAD/n/mw=")</f>
        <v>#REF!</v>
      </c>
      <c r="DF95" t="e">
        <f>AND(Liste!#REF!,"AAAAAD/n/m0=")</f>
        <v>#REF!</v>
      </c>
      <c r="DG95" t="e">
        <f>AND(Liste!#REF!,"AAAAAD/n/m4=")</f>
        <v>#REF!</v>
      </c>
      <c r="DH95" t="e">
        <f>AND(Liste!#REF!,"AAAAAD/n/m8=")</f>
        <v>#REF!</v>
      </c>
      <c r="DI95" t="e">
        <f>AND(Liste!#REF!,"AAAAAD/n/nA=")</f>
        <v>#REF!</v>
      </c>
      <c r="DJ95" t="e">
        <f>AND(Liste!#REF!,"AAAAAD/n/nE=")</f>
        <v>#REF!</v>
      </c>
      <c r="DK95" t="e">
        <f>AND(Liste!#REF!,"AAAAAD/n/nI=")</f>
        <v>#REF!</v>
      </c>
      <c r="DL95" t="e">
        <f>AND(Liste!#REF!,"AAAAAD/n/nM=")</f>
        <v>#REF!</v>
      </c>
      <c r="DM95" t="e">
        <f>IF(Liste!#REF!,"AAAAAD/n/nQ=",0)</f>
        <v>#REF!</v>
      </c>
      <c r="DN95" t="e">
        <f>AND(Liste!#REF!,"AAAAAD/n/nU=")</f>
        <v>#REF!</v>
      </c>
      <c r="DO95" t="e">
        <f>AND(Liste!#REF!,"AAAAAD/n/nY=")</f>
        <v>#REF!</v>
      </c>
      <c r="DP95" t="e">
        <f>AND(Liste!#REF!,"AAAAAD/n/nc=")</f>
        <v>#REF!</v>
      </c>
      <c r="DQ95" t="e">
        <f>AND(Liste!#REF!,"AAAAAD/n/ng=")</f>
        <v>#REF!</v>
      </c>
      <c r="DR95" t="e">
        <f>AND(Liste!#REF!,"AAAAAD/n/nk=")</f>
        <v>#REF!</v>
      </c>
      <c r="DS95" t="e">
        <f>AND(Liste!#REF!,"AAAAAD/n/no=")</f>
        <v>#REF!</v>
      </c>
      <c r="DT95" t="e">
        <f>AND(Liste!#REF!,"AAAAAD/n/ns=")</f>
        <v>#REF!</v>
      </c>
      <c r="DU95" t="e">
        <f>AND(Liste!#REF!,"AAAAAD/n/nw=")</f>
        <v>#REF!</v>
      </c>
      <c r="DV95" t="e">
        <f>AND(Liste!#REF!,"AAAAAD/n/n0=")</f>
        <v>#REF!</v>
      </c>
      <c r="DW95" t="e">
        <f>AND(Liste!#REF!,"AAAAAD/n/n4=")</f>
        <v>#REF!</v>
      </c>
      <c r="DX95" t="e">
        <f>AND(Liste!#REF!,"AAAAAD/n/n8=")</f>
        <v>#REF!</v>
      </c>
      <c r="DY95" t="e">
        <f>AND(Liste!#REF!,"AAAAAD/n/oA=")</f>
        <v>#REF!</v>
      </c>
      <c r="DZ95" t="e">
        <f>AND(Liste!#REF!,"AAAAAD/n/oE=")</f>
        <v>#REF!</v>
      </c>
      <c r="EA95" t="e">
        <f>AND(Liste!#REF!,"AAAAAD/n/oI=")</f>
        <v>#REF!</v>
      </c>
      <c r="EB95" t="e">
        <f>AND(Liste!#REF!,"AAAAAD/n/oM=")</f>
        <v>#REF!</v>
      </c>
      <c r="EC95" t="e">
        <f>AND(Liste!#REF!,"AAAAAD/n/oQ=")</f>
        <v>#REF!</v>
      </c>
      <c r="ED95" t="e">
        <f>AND(Liste!#REF!,"AAAAAD/n/oU=")</f>
        <v>#REF!</v>
      </c>
      <c r="EE95" t="e">
        <f>AND(Liste!#REF!,"AAAAAD/n/oY=")</f>
        <v>#REF!</v>
      </c>
      <c r="EF95" t="e">
        <f>AND(Liste!#REF!,"AAAAAD/n/oc=")</f>
        <v>#REF!</v>
      </c>
      <c r="EG95" t="e">
        <f>AND(Liste!#REF!,"AAAAAD/n/og=")</f>
        <v>#REF!</v>
      </c>
      <c r="EH95" t="e">
        <f>AND(Liste!#REF!,"AAAAAD/n/ok=")</f>
        <v>#REF!</v>
      </c>
      <c r="EI95" t="e">
        <f>AND(Liste!#REF!,"AAAAAD/n/oo=")</f>
        <v>#REF!</v>
      </c>
      <c r="EJ95" t="e">
        <f>AND(Liste!#REF!,"AAAAAD/n/os=")</f>
        <v>#REF!</v>
      </c>
      <c r="EK95" t="e">
        <f>AND(Liste!#REF!,"AAAAAD/n/ow=")</f>
        <v>#REF!</v>
      </c>
      <c r="EL95" t="e">
        <f>AND(Liste!#REF!,"AAAAAD/n/o0=")</f>
        <v>#REF!</v>
      </c>
      <c r="EM95" t="e">
        <f>AND(Liste!#REF!,"AAAAAD/n/o4=")</f>
        <v>#REF!</v>
      </c>
      <c r="EN95" t="e">
        <f>AND(Liste!#REF!,"AAAAAD/n/o8=")</f>
        <v>#REF!</v>
      </c>
      <c r="EO95" t="e">
        <f>AND(Liste!#REF!,"AAAAAD/n/pA=")</f>
        <v>#REF!</v>
      </c>
      <c r="EP95" t="e">
        <f>AND(Liste!#REF!,"AAAAAD/n/pE=")</f>
        <v>#REF!</v>
      </c>
      <c r="EQ95" t="e">
        <f>AND(Liste!#REF!,"AAAAAD/n/pI=")</f>
        <v>#REF!</v>
      </c>
      <c r="ER95" t="e">
        <f>IF(Liste!#REF!,"AAAAAD/n/pM=",0)</f>
        <v>#REF!</v>
      </c>
      <c r="ES95" t="e">
        <f>AND(Liste!#REF!,"AAAAAD/n/pQ=")</f>
        <v>#REF!</v>
      </c>
      <c r="ET95" t="e">
        <f>AND(Liste!#REF!,"AAAAAD/n/pU=")</f>
        <v>#REF!</v>
      </c>
      <c r="EU95" t="e">
        <f>AND(Liste!#REF!,"AAAAAD/n/pY=")</f>
        <v>#REF!</v>
      </c>
      <c r="EV95" t="e">
        <f>AND(Liste!#REF!,"AAAAAD/n/pc=")</f>
        <v>#REF!</v>
      </c>
      <c r="EW95" t="e">
        <f>AND(Liste!#REF!,"AAAAAD/n/pg=")</f>
        <v>#REF!</v>
      </c>
      <c r="EX95" t="e">
        <f>AND(Liste!#REF!,"AAAAAD/n/pk=")</f>
        <v>#REF!</v>
      </c>
      <c r="EY95" t="e">
        <f>AND(Liste!#REF!,"AAAAAD/n/po=")</f>
        <v>#REF!</v>
      </c>
      <c r="EZ95" t="e">
        <f>AND(Liste!#REF!,"AAAAAD/n/ps=")</f>
        <v>#REF!</v>
      </c>
      <c r="FA95" t="e">
        <f>AND(Liste!#REF!,"AAAAAD/n/pw=")</f>
        <v>#REF!</v>
      </c>
      <c r="FB95" t="e">
        <f>AND(Liste!#REF!,"AAAAAD/n/p0=")</f>
        <v>#REF!</v>
      </c>
      <c r="FC95" t="e">
        <f>AND(Liste!#REF!,"AAAAAD/n/p4=")</f>
        <v>#REF!</v>
      </c>
      <c r="FD95" t="e">
        <f>AND(Liste!#REF!,"AAAAAD/n/p8=")</f>
        <v>#REF!</v>
      </c>
      <c r="FE95" t="e">
        <f>AND(Liste!#REF!,"AAAAAD/n/qA=")</f>
        <v>#REF!</v>
      </c>
      <c r="FF95" t="e">
        <f>AND(Liste!#REF!,"AAAAAD/n/qE=")</f>
        <v>#REF!</v>
      </c>
      <c r="FG95" t="e">
        <f>AND(Liste!#REF!,"AAAAAD/n/qI=")</f>
        <v>#REF!</v>
      </c>
      <c r="FH95" t="e">
        <f>AND(Liste!#REF!,"AAAAAD/n/qM=")</f>
        <v>#REF!</v>
      </c>
      <c r="FI95" t="e">
        <f>AND(Liste!#REF!,"AAAAAD/n/qQ=")</f>
        <v>#REF!</v>
      </c>
      <c r="FJ95" t="e">
        <f>AND(Liste!#REF!,"AAAAAD/n/qU=")</f>
        <v>#REF!</v>
      </c>
      <c r="FK95" t="e">
        <f>AND(Liste!#REF!,"AAAAAD/n/qY=")</f>
        <v>#REF!</v>
      </c>
      <c r="FL95" t="e">
        <f>AND(Liste!#REF!,"AAAAAD/n/qc=")</f>
        <v>#REF!</v>
      </c>
      <c r="FM95" t="e">
        <f>AND(Liste!#REF!,"AAAAAD/n/qg=")</f>
        <v>#REF!</v>
      </c>
      <c r="FN95" t="e">
        <f>AND(Liste!#REF!,"AAAAAD/n/qk=")</f>
        <v>#REF!</v>
      </c>
      <c r="FO95" t="e">
        <f>AND(Liste!#REF!,"AAAAAD/n/qo=")</f>
        <v>#REF!</v>
      </c>
      <c r="FP95" t="e">
        <f>AND(Liste!#REF!,"AAAAAD/n/qs=")</f>
        <v>#REF!</v>
      </c>
      <c r="FQ95" t="e">
        <f>AND(Liste!#REF!,"AAAAAD/n/qw=")</f>
        <v>#REF!</v>
      </c>
      <c r="FR95" t="e">
        <f>AND(Liste!#REF!,"AAAAAD/n/q0=")</f>
        <v>#REF!</v>
      </c>
      <c r="FS95" t="e">
        <f>AND(Liste!#REF!,"AAAAAD/n/q4=")</f>
        <v>#REF!</v>
      </c>
      <c r="FT95" t="e">
        <f>AND(Liste!#REF!,"AAAAAD/n/q8=")</f>
        <v>#REF!</v>
      </c>
      <c r="FU95" t="e">
        <f>AND(Liste!#REF!,"AAAAAD/n/rA=")</f>
        <v>#REF!</v>
      </c>
      <c r="FV95" t="e">
        <f>AND(Liste!#REF!,"AAAAAD/n/rE=")</f>
        <v>#REF!</v>
      </c>
      <c r="FW95" t="e">
        <f>IF(Liste!#REF!,"AAAAAD/n/rI=",0)</f>
        <v>#REF!</v>
      </c>
      <c r="FX95" t="e">
        <f>AND(Liste!#REF!,"AAAAAD/n/rM=")</f>
        <v>#REF!</v>
      </c>
      <c r="FY95" t="e">
        <f>AND(Liste!#REF!,"AAAAAD/n/rQ=")</f>
        <v>#REF!</v>
      </c>
      <c r="FZ95" t="e">
        <f>AND(Liste!#REF!,"AAAAAD/n/rU=")</f>
        <v>#REF!</v>
      </c>
      <c r="GA95" t="e">
        <f>AND(Liste!#REF!,"AAAAAD/n/rY=")</f>
        <v>#REF!</v>
      </c>
      <c r="GB95" t="e">
        <f>AND(Liste!#REF!,"AAAAAD/n/rc=")</f>
        <v>#REF!</v>
      </c>
      <c r="GC95" t="e">
        <f>AND(Liste!#REF!,"AAAAAD/n/rg=")</f>
        <v>#REF!</v>
      </c>
      <c r="GD95" t="e">
        <f>AND(Liste!#REF!,"AAAAAD/n/rk=")</f>
        <v>#REF!</v>
      </c>
      <c r="GE95" t="e">
        <f>AND(Liste!#REF!,"AAAAAD/n/ro=")</f>
        <v>#REF!</v>
      </c>
      <c r="GF95" t="e">
        <f>AND(Liste!#REF!,"AAAAAD/n/rs=")</f>
        <v>#REF!</v>
      </c>
      <c r="GG95" t="e">
        <f>AND(Liste!#REF!,"AAAAAD/n/rw=")</f>
        <v>#REF!</v>
      </c>
      <c r="GH95" t="e">
        <f>AND(Liste!#REF!,"AAAAAD/n/r0=")</f>
        <v>#REF!</v>
      </c>
      <c r="GI95" t="e">
        <f>AND(Liste!#REF!,"AAAAAD/n/r4=")</f>
        <v>#REF!</v>
      </c>
      <c r="GJ95" t="e">
        <f>AND(Liste!#REF!,"AAAAAD/n/r8=")</f>
        <v>#REF!</v>
      </c>
      <c r="GK95" t="e">
        <f>AND(Liste!#REF!,"AAAAAD/n/sA=")</f>
        <v>#REF!</v>
      </c>
      <c r="GL95" t="e">
        <f>AND(Liste!#REF!,"AAAAAD/n/sE=")</f>
        <v>#REF!</v>
      </c>
      <c r="GM95" t="e">
        <f>AND(Liste!#REF!,"AAAAAD/n/sI=")</f>
        <v>#REF!</v>
      </c>
      <c r="GN95" t="e">
        <f>AND(Liste!#REF!,"AAAAAD/n/sM=")</f>
        <v>#REF!</v>
      </c>
      <c r="GO95" t="e">
        <f>AND(Liste!#REF!,"AAAAAD/n/sQ=")</f>
        <v>#REF!</v>
      </c>
      <c r="GP95" t="e">
        <f>AND(Liste!#REF!,"AAAAAD/n/sU=")</f>
        <v>#REF!</v>
      </c>
      <c r="GQ95" t="e">
        <f>AND(Liste!#REF!,"AAAAAD/n/sY=")</f>
        <v>#REF!</v>
      </c>
      <c r="GR95" t="e">
        <f>AND(Liste!#REF!,"AAAAAD/n/sc=")</f>
        <v>#REF!</v>
      </c>
      <c r="GS95" t="e">
        <f>AND(Liste!#REF!,"AAAAAD/n/sg=")</f>
        <v>#REF!</v>
      </c>
      <c r="GT95" t="e">
        <f>AND(Liste!#REF!,"AAAAAD/n/sk=")</f>
        <v>#REF!</v>
      </c>
      <c r="GU95" t="e">
        <f>AND(Liste!#REF!,"AAAAAD/n/so=")</f>
        <v>#REF!</v>
      </c>
      <c r="GV95" t="e">
        <f>AND(Liste!#REF!,"AAAAAD/n/ss=")</f>
        <v>#REF!</v>
      </c>
      <c r="GW95" t="e">
        <f>AND(Liste!#REF!,"AAAAAD/n/sw=")</f>
        <v>#REF!</v>
      </c>
      <c r="GX95" t="e">
        <f>AND(Liste!#REF!,"AAAAAD/n/s0=")</f>
        <v>#REF!</v>
      </c>
      <c r="GY95" t="e">
        <f>AND(Liste!#REF!,"AAAAAD/n/s4=")</f>
        <v>#REF!</v>
      </c>
      <c r="GZ95" t="e">
        <f>AND(Liste!#REF!,"AAAAAD/n/s8=")</f>
        <v>#REF!</v>
      </c>
      <c r="HA95" t="e">
        <f>AND(Liste!#REF!,"AAAAAD/n/tA=")</f>
        <v>#REF!</v>
      </c>
      <c r="HB95" t="e">
        <f>IF(Liste!#REF!,"AAAAAD/n/tE=",0)</f>
        <v>#REF!</v>
      </c>
      <c r="HC95" t="e">
        <f>AND(Liste!#REF!,"AAAAAD/n/tI=")</f>
        <v>#REF!</v>
      </c>
      <c r="HD95" t="e">
        <f>AND(Liste!#REF!,"AAAAAD/n/tM=")</f>
        <v>#REF!</v>
      </c>
      <c r="HE95" t="e">
        <f>AND(Liste!#REF!,"AAAAAD/n/tQ=")</f>
        <v>#REF!</v>
      </c>
      <c r="HF95" t="e">
        <f>AND(Liste!#REF!,"AAAAAD/n/tU=")</f>
        <v>#REF!</v>
      </c>
      <c r="HG95" t="e">
        <f>AND(Liste!#REF!,"AAAAAD/n/tY=")</f>
        <v>#REF!</v>
      </c>
      <c r="HH95" t="e">
        <f>AND(Liste!#REF!,"AAAAAD/n/tc=")</f>
        <v>#REF!</v>
      </c>
      <c r="HI95" t="e">
        <f>AND(Liste!#REF!,"AAAAAD/n/tg=")</f>
        <v>#REF!</v>
      </c>
      <c r="HJ95" t="e">
        <f>AND(Liste!#REF!,"AAAAAD/n/tk=")</f>
        <v>#REF!</v>
      </c>
      <c r="HK95" t="e">
        <f>AND(Liste!#REF!,"AAAAAD/n/to=")</f>
        <v>#REF!</v>
      </c>
      <c r="HL95" t="e">
        <f>AND(Liste!#REF!,"AAAAAD/n/ts=")</f>
        <v>#REF!</v>
      </c>
      <c r="HM95" t="e">
        <f>AND(Liste!#REF!,"AAAAAD/n/tw=")</f>
        <v>#REF!</v>
      </c>
      <c r="HN95" t="e">
        <f>AND(Liste!#REF!,"AAAAAD/n/t0=")</f>
        <v>#REF!</v>
      </c>
      <c r="HO95" t="e">
        <f>AND(Liste!#REF!,"AAAAAD/n/t4=")</f>
        <v>#REF!</v>
      </c>
      <c r="HP95" t="e">
        <f>AND(Liste!#REF!,"AAAAAD/n/t8=")</f>
        <v>#REF!</v>
      </c>
      <c r="HQ95" t="e">
        <f>AND(Liste!#REF!,"AAAAAD/n/uA=")</f>
        <v>#REF!</v>
      </c>
      <c r="HR95" t="e">
        <f>AND(Liste!#REF!,"AAAAAD/n/uE=")</f>
        <v>#REF!</v>
      </c>
      <c r="HS95" t="e">
        <f>AND(Liste!#REF!,"AAAAAD/n/uI=")</f>
        <v>#REF!</v>
      </c>
      <c r="HT95" t="e">
        <f>AND(Liste!#REF!,"AAAAAD/n/uM=")</f>
        <v>#REF!</v>
      </c>
      <c r="HU95" t="e">
        <f>AND(Liste!#REF!,"AAAAAD/n/uQ=")</f>
        <v>#REF!</v>
      </c>
      <c r="HV95" t="e">
        <f>AND(Liste!#REF!,"AAAAAD/n/uU=")</f>
        <v>#REF!</v>
      </c>
      <c r="HW95" t="e">
        <f>AND(Liste!#REF!,"AAAAAD/n/uY=")</f>
        <v>#REF!</v>
      </c>
      <c r="HX95" t="e">
        <f>AND(Liste!#REF!,"AAAAAD/n/uc=")</f>
        <v>#REF!</v>
      </c>
      <c r="HY95" t="e">
        <f>AND(Liste!#REF!,"AAAAAD/n/ug=")</f>
        <v>#REF!</v>
      </c>
      <c r="HZ95" t="e">
        <f>AND(Liste!#REF!,"AAAAAD/n/uk=")</f>
        <v>#REF!</v>
      </c>
      <c r="IA95" t="e">
        <f>AND(Liste!#REF!,"AAAAAD/n/uo=")</f>
        <v>#REF!</v>
      </c>
      <c r="IB95" t="e">
        <f>AND(Liste!#REF!,"AAAAAD/n/us=")</f>
        <v>#REF!</v>
      </c>
      <c r="IC95" t="e">
        <f>AND(Liste!#REF!,"AAAAAD/n/uw=")</f>
        <v>#REF!</v>
      </c>
      <c r="ID95" t="e">
        <f>AND(Liste!#REF!,"AAAAAD/n/u0=")</f>
        <v>#REF!</v>
      </c>
      <c r="IE95" t="e">
        <f>AND(Liste!#REF!,"AAAAAD/n/u4=")</f>
        <v>#REF!</v>
      </c>
      <c r="IF95" t="e">
        <f>AND(Liste!#REF!,"AAAAAD/n/u8=")</f>
        <v>#REF!</v>
      </c>
      <c r="IG95" t="e">
        <f>IF(Liste!#REF!,"AAAAAD/n/vA=",0)</f>
        <v>#REF!</v>
      </c>
      <c r="IH95" t="e">
        <f>AND(Liste!#REF!,"AAAAAD/n/vE=")</f>
        <v>#REF!</v>
      </c>
      <c r="II95" t="e">
        <f>AND(Liste!#REF!,"AAAAAD/n/vI=")</f>
        <v>#REF!</v>
      </c>
      <c r="IJ95" t="e">
        <f>AND(Liste!#REF!,"AAAAAD/n/vM=")</f>
        <v>#REF!</v>
      </c>
      <c r="IK95" t="e">
        <f>AND(Liste!#REF!,"AAAAAD/n/vQ=")</f>
        <v>#REF!</v>
      </c>
      <c r="IL95" t="e">
        <f>AND(Liste!#REF!,"AAAAAD/n/vU=")</f>
        <v>#REF!</v>
      </c>
      <c r="IM95" t="e">
        <f>AND(Liste!#REF!,"AAAAAD/n/vY=")</f>
        <v>#REF!</v>
      </c>
      <c r="IN95" t="e">
        <f>AND(Liste!#REF!,"AAAAAD/n/vc=")</f>
        <v>#REF!</v>
      </c>
      <c r="IO95" t="e">
        <f>AND(Liste!#REF!,"AAAAAD/n/vg=")</f>
        <v>#REF!</v>
      </c>
      <c r="IP95" t="e">
        <f>AND(Liste!#REF!,"AAAAAD/n/vk=")</f>
        <v>#REF!</v>
      </c>
      <c r="IQ95" t="e">
        <f>AND(Liste!#REF!,"AAAAAD/n/vo=")</f>
        <v>#REF!</v>
      </c>
      <c r="IR95" t="e">
        <f>AND(Liste!#REF!,"AAAAAD/n/vs=")</f>
        <v>#REF!</v>
      </c>
      <c r="IS95" t="e">
        <f>AND(Liste!#REF!,"AAAAAD/n/vw=")</f>
        <v>#REF!</v>
      </c>
      <c r="IT95" t="e">
        <f>AND(Liste!#REF!,"AAAAAD/n/v0=")</f>
        <v>#REF!</v>
      </c>
      <c r="IU95" t="e">
        <f>AND(Liste!#REF!,"AAAAAD/n/v4=")</f>
        <v>#REF!</v>
      </c>
      <c r="IV95" t="e">
        <f>AND(Liste!#REF!,"AAAAAD/n/v8=")</f>
        <v>#REF!</v>
      </c>
    </row>
    <row r="96" spans="1:256" x14ac:dyDescent="0.2">
      <c r="A96" t="e">
        <f>AND(Liste!#REF!,"AAAAAGTb3wA=")</f>
        <v>#REF!</v>
      </c>
      <c r="B96" t="e">
        <f>AND(Liste!#REF!,"AAAAAGTb3wE=")</f>
        <v>#REF!</v>
      </c>
      <c r="C96" t="e">
        <f>AND(Liste!#REF!,"AAAAAGTb3wI=")</f>
        <v>#REF!</v>
      </c>
      <c r="D96" t="e">
        <f>AND(Liste!#REF!,"AAAAAGTb3wM=")</f>
        <v>#REF!</v>
      </c>
      <c r="E96" t="e">
        <f>AND(Liste!#REF!,"AAAAAGTb3wQ=")</f>
        <v>#REF!</v>
      </c>
      <c r="F96" t="e">
        <f>AND(Liste!#REF!,"AAAAAGTb3wU=")</f>
        <v>#REF!</v>
      </c>
      <c r="G96" t="e">
        <f>AND(Liste!#REF!,"AAAAAGTb3wY=")</f>
        <v>#REF!</v>
      </c>
      <c r="H96" t="e">
        <f>AND(Liste!#REF!,"AAAAAGTb3wc=")</f>
        <v>#REF!</v>
      </c>
      <c r="I96" t="e">
        <f>AND(Liste!#REF!,"AAAAAGTb3wg=")</f>
        <v>#REF!</v>
      </c>
      <c r="J96" t="e">
        <f>AND(Liste!#REF!,"AAAAAGTb3wk=")</f>
        <v>#REF!</v>
      </c>
      <c r="K96" t="e">
        <f>AND(Liste!#REF!,"AAAAAGTb3wo=")</f>
        <v>#REF!</v>
      </c>
      <c r="L96" t="e">
        <f>AND(Liste!#REF!,"AAAAAGTb3ws=")</f>
        <v>#REF!</v>
      </c>
      <c r="M96" t="e">
        <f>AND(Liste!#REF!,"AAAAAGTb3ww=")</f>
        <v>#REF!</v>
      </c>
      <c r="N96" t="e">
        <f>AND(Liste!#REF!,"AAAAAGTb3w0=")</f>
        <v>#REF!</v>
      </c>
      <c r="O96" t="e">
        <f>AND(Liste!#REF!,"AAAAAGTb3w4=")</f>
        <v>#REF!</v>
      </c>
      <c r="P96" t="e">
        <f>IF(Liste!#REF!,"AAAAAGTb3w8=",0)</f>
        <v>#REF!</v>
      </c>
      <c r="Q96" t="e">
        <f>AND(Liste!#REF!,"AAAAAGTb3xA=")</f>
        <v>#REF!</v>
      </c>
      <c r="R96" t="e">
        <f>AND(Liste!#REF!,"AAAAAGTb3xE=")</f>
        <v>#REF!</v>
      </c>
      <c r="S96" t="e">
        <f>AND(Liste!#REF!,"AAAAAGTb3xI=")</f>
        <v>#REF!</v>
      </c>
      <c r="T96" t="e">
        <f>AND(Liste!#REF!,"AAAAAGTb3xM=")</f>
        <v>#REF!</v>
      </c>
      <c r="U96" t="e">
        <f>AND(Liste!#REF!,"AAAAAGTb3xQ=")</f>
        <v>#REF!</v>
      </c>
      <c r="V96" t="e">
        <f>AND(Liste!#REF!,"AAAAAGTb3xU=")</f>
        <v>#REF!</v>
      </c>
      <c r="W96" t="e">
        <f>AND(Liste!#REF!,"AAAAAGTb3xY=")</f>
        <v>#REF!</v>
      </c>
      <c r="X96" t="e">
        <f>AND(Liste!#REF!,"AAAAAGTb3xc=")</f>
        <v>#REF!</v>
      </c>
      <c r="Y96" t="e">
        <f>AND(Liste!#REF!,"AAAAAGTb3xg=")</f>
        <v>#REF!</v>
      </c>
      <c r="Z96" t="e">
        <f>AND(Liste!#REF!,"AAAAAGTb3xk=")</f>
        <v>#REF!</v>
      </c>
      <c r="AA96" t="e">
        <f>AND(Liste!#REF!,"AAAAAGTb3xo=")</f>
        <v>#REF!</v>
      </c>
      <c r="AB96" t="e">
        <f>AND(Liste!#REF!,"AAAAAGTb3xs=")</f>
        <v>#REF!</v>
      </c>
      <c r="AC96" t="e">
        <f>AND(Liste!#REF!,"AAAAAGTb3xw=")</f>
        <v>#REF!</v>
      </c>
      <c r="AD96" t="e">
        <f>AND(Liste!#REF!,"AAAAAGTb3x0=")</f>
        <v>#REF!</v>
      </c>
      <c r="AE96" t="e">
        <f>AND(Liste!#REF!,"AAAAAGTb3x4=")</f>
        <v>#REF!</v>
      </c>
      <c r="AF96" t="e">
        <f>AND(Liste!#REF!,"AAAAAGTb3x8=")</f>
        <v>#REF!</v>
      </c>
      <c r="AG96" t="e">
        <f>AND(Liste!#REF!,"AAAAAGTb3yA=")</f>
        <v>#REF!</v>
      </c>
      <c r="AH96" t="e">
        <f>AND(Liste!#REF!,"AAAAAGTb3yE=")</f>
        <v>#REF!</v>
      </c>
      <c r="AI96" t="e">
        <f>AND(Liste!#REF!,"AAAAAGTb3yI=")</f>
        <v>#REF!</v>
      </c>
      <c r="AJ96" t="e">
        <f>AND(Liste!#REF!,"AAAAAGTb3yM=")</f>
        <v>#REF!</v>
      </c>
      <c r="AK96" t="e">
        <f>AND(Liste!#REF!,"AAAAAGTb3yQ=")</f>
        <v>#REF!</v>
      </c>
      <c r="AL96" t="e">
        <f>AND(Liste!#REF!,"AAAAAGTb3yU=")</f>
        <v>#REF!</v>
      </c>
      <c r="AM96" t="e">
        <f>AND(Liste!#REF!,"AAAAAGTb3yY=")</f>
        <v>#REF!</v>
      </c>
      <c r="AN96" t="e">
        <f>AND(Liste!#REF!,"AAAAAGTb3yc=")</f>
        <v>#REF!</v>
      </c>
      <c r="AO96" t="e">
        <f>AND(Liste!#REF!,"AAAAAGTb3yg=")</f>
        <v>#REF!</v>
      </c>
      <c r="AP96" t="e">
        <f>AND(Liste!#REF!,"AAAAAGTb3yk=")</f>
        <v>#REF!</v>
      </c>
      <c r="AQ96" t="e">
        <f>AND(Liste!#REF!,"AAAAAGTb3yo=")</f>
        <v>#REF!</v>
      </c>
      <c r="AR96" t="e">
        <f>AND(Liste!#REF!,"AAAAAGTb3ys=")</f>
        <v>#REF!</v>
      </c>
      <c r="AS96" t="e">
        <f>AND(Liste!#REF!,"AAAAAGTb3yw=")</f>
        <v>#REF!</v>
      </c>
      <c r="AT96" t="e">
        <f>AND(Liste!#REF!,"AAAAAGTb3y0=")</f>
        <v>#REF!</v>
      </c>
      <c r="AU96" t="e">
        <f>IF(Liste!#REF!,"AAAAAGTb3y4=",0)</f>
        <v>#REF!</v>
      </c>
      <c r="AV96" t="e">
        <f>AND(Liste!#REF!,"AAAAAGTb3y8=")</f>
        <v>#REF!</v>
      </c>
      <c r="AW96" t="e">
        <f>AND(Liste!#REF!,"AAAAAGTb3zA=")</f>
        <v>#REF!</v>
      </c>
      <c r="AX96" t="e">
        <f>AND(Liste!#REF!,"AAAAAGTb3zE=")</f>
        <v>#REF!</v>
      </c>
      <c r="AY96" t="e">
        <f>AND(Liste!#REF!,"AAAAAGTb3zI=")</f>
        <v>#REF!</v>
      </c>
      <c r="AZ96" t="e">
        <f>AND(Liste!#REF!,"AAAAAGTb3zM=")</f>
        <v>#REF!</v>
      </c>
      <c r="BA96" t="e">
        <f>AND(Liste!#REF!,"AAAAAGTb3zQ=")</f>
        <v>#REF!</v>
      </c>
      <c r="BB96" t="e">
        <f>AND(Liste!#REF!,"AAAAAGTb3zU=")</f>
        <v>#REF!</v>
      </c>
      <c r="BC96" t="e">
        <f>AND(Liste!#REF!,"AAAAAGTb3zY=")</f>
        <v>#REF!</v>
      </c>
      <c r="BD96" t="e">
        <f>AND(Liste!#REF!,"AAAAAGTb3zc=")</f>
        <v>#REF!</v>
      </c>
      <c r="BE96" t="e">
        <f>AND(Liste!#REF!,"AAAAAGTb3zg=")</f>
        <v>#REF!</v>
      </c>
      <c r="BF96" t="e">
        <f>AND(Liste!#REF!,"AAAAAGTb3zk=")</f>
        <v>#REF!</v>
      </c>
      <c r="BG96" t="e">
        <f>AND(Liste!#REF!,"AAAAAGTb3zo=")</f>
        <v>#REF!</v>
      </c>
      <c r="BH96" t="e">
        <f>AND(Liste!#REF!,"AAAAAGTb3zs=")</f>
        <v>#REF!</v>
      </c>
      <c r="BI96" t="e">
        <f>AND(Liste!#REF!,"AAAAAGTb3zw=")</f>
        <v>#REF!</v>
      </c>
      <c r="BJ96" t="e">
        <f>AND(Liste!#REF!,"AAAAAGTb3z0=")</f>
        <v>#REF!</v>
      </c>
      <c r="BK96" t="e">
        <f>AND(Liste!#REF!,"AAAAAGTb3z4=")</f>
        <v>#REF!</v>
      </c>
      <c r="BL96" t="e">
        <f>AND(Liste!#REF!,"AAAAAGTb3z8=")</f>
        <v>#REF!</v>
      </c>
      <c r="BM96" t="e">
        <f>AND(Liste!#REF!,"AAAAAGTb30A=")</f>
        <v>#REF!</v>
      </c>
      <c r="BN96" t="e">
        <f>AND(Liste!#REF!,"AAAAAGTb30E=")</f>
        <v>#REF!</v>
      </c>
      <c r="BO96" t="e">
        <f>AND(Liste!#REF!,"AAAAAGTb30I=")</f>
        <v>#REF!</v>
      </c>
      <c r="BP96" t="e">
        <f>AND(Liste!#REF!,"AAAAAGTb30M=")</f>
        <v>#REF!</v>
      </c>
      <c r="BQ96" t="e">
        <f>AND(Liste!#REF!,"AAAAAGTb30Q=")</f>
        <v>#REF!</v>
      </c>
      <c r="BR96" t="e">
        <f>AND(Liste!#REF!,"AAAAAGTb30U=")</f>
        <v>#REF!</v>
      </c>
      <c r="BS96" t="e">
        <f>AND(Liste!#REF!,"AAAAAGTb30Y=")</f>
        <v>#REF!</v>
      </c>
      <c r="BT96" t="e">
        <f>AND(Liste!#REF!,"AAAAAGTb30c=")</f>
        <v>#REF!</v>
      </c>
      <c r="BU96" t="e">
        <f>AND(Liste!#REF!,"AAAAAGTb30g=")</f>
        <v>#REF!</v>
      </c>
      <c r="BV96" t="e">
        <f>AND(Liste!#REF!,"AAAAAGTb30k=")</f>
        <v>#REF!</v>
      </c>
      <c r="BW96" t="e">
        <f>AND(Liste!#REF!,"AAAAAGTb30o=")</f>
        <v>#REF!</v>
      </c>
      <c r="BX96" t="e">
        <f>AND(Liste!#REF!,"AAAAAGTb30s=")</f>
        <v>#REF!</v>
      </c>
      <c r="BY96" t="e">
        <f>AND(Liste!#REF!,"AAAAAGTb30w=")</f>
        <v>#REF!</v>
      </c>
      <c r="BZ96" t="e">
        <f>IF(Liste!#REF!,"AAAAAGTb300=",0)</f>
        <v>#REF!</v>
      </c>
      <c r="CA96" t="e">
        <f>AND(Liste!#REF!,"AAAAAGTb304=")</f>
        <v>#REF!</v>
      </c>
      <c r="CB96" t="e">
        <f>AND(Liste!#REF!,"AAAAAGTb308=")</f>
        <v>#REF!</v>
      </c>
      <c r="CC96" t="e">
        <f>AND(Liste!#REF!,"AAAAAGTb31A=")</f>
        <v>#REF!</v>
      </c>
      <c r="CD96" t="e">
        <f>AND(Liste!#REF!,"AAAAAGTb31E=")</f>
        <v>#REF!</v>
      </c>
      <c r="CE96" t="e">
        <f>AND(Liste!#REF!,"AAAAAGTb31I=")</f>
        <v>#REF!</v>
      </c>
      <c r="CF96" t="e">
        <f>AND(Liste!#REF!,"AAAAAGTb31M=")</f>
        <v>#REF!</v>
      </c>
      <c r="CG96" t="e">
        <f>AND(Liste!#REF!,"AAAAAGTb31Q=")</f>
        <v>#REF!</v>
      </c>
      <c r="CH96" t="e">
        <f>AND(Liste!#REF!,"AAAAAGTb31U=")</f>
        <v>#REF!</v>
      </c>
      <c r="CI96" t="e">
        <f>AND(Liste!#REF!,"AAAAAGTb31Y=")</f>
        <v>#REF!</v>
      </c>
      <c r="CJ96" t="e">
        <f>AND(Liste!#REF!,"AAAAAGTb31c=")</f>
        <v>#REF!</v>
      </c>
      <c r="CK96" t="e">
        <f>AND(Liste!#REF!,"AAAAAGTb31g=")</f>
        <v>#REF!</v>
      </c>
      <c r="CL96" t="e">
        <f>AND(Liste!#REF!,"AAAAAGTb31k=")</f>
        <v>#REF!</v>
      </c>
      <c r="CM96" t="e">
        <f>AND(Liste!#REF!,"AAAAAGTb31o=")</f>
        <v>#REF!</v>
      </c>
      <c r="CN96" t="e">
        <f>AND(Liste!#REF!,"AAAAAGTb31s=")</f>
        <v>#REF!</v>
      </c>
      <c r="CO96" t="e">
        <f>AND(Liste!#REF!,"AAAAAGTb31w=")</f>
        <v>#REF!</v>
      </c>
      <c r="CP96" t="e">
        <f>AND(Liste!#REF!,"AAAAAGTb310=")</f>
        <v>#REF!</v>
      </c>
      <c r="CQ96" t="e">
        <f>AND(Liste!#REF!,"AAAAAGTb314=")</f>
        <v>#REF!</v>
      </c>
      <c r="CR96" t="e">
        <f>AND(Liste!#REF!,"AAAAAGTb318=")</f>
        <v>#REF!</v>
      </c>
      <c r="CS96" t="e">
        <f>AND(Liste!#REF!,"AAAAAGTb32A=")</f>
        <v>#REF!</v>
      </c>
      <c r="CT96" t="e">
        <f>AND(Liste!#REF!,"AAAAAGTb32E=")</f>
        <v>#REF!</v>
      </c>
      <c r="CU96" t="e">
        <f>AND(Liste!#REF!,"AAAAAGTb32I=")</f>
        <v>#REF!</v>
      </c>
      <c r="CV96" t="e">
        <f>AND(Liste!#REF!,"AAAAAGTb32M=")</f>
        <v>#REF!</v>
      </c>
      <c r="CW96" t="e">
        <f>AND(Liste!#REF!,"AAAAAGTb32Q=")</f>
        <v>#REF!</v>
      </c>
      <c r="CX96" t="e">
        <f>AND(Liste!#REF!,"AAAAAGTb32U=")</f>
        <v>#REF!</v>
      </c>
      <c r="CY96" t="e">
        <f>AND(Liste!#REF!,"AAAAAGTb32Y=")</f>
        <v>#REF!</v>
      </c>
      <c r="CZ96" t="e">
        <f>AND(Liste!#REF!,"AAAAAGTb32c=")</f>
        <v>#REF!</v>
      </c>
      <c r="DA96" t="e">
        <f>AND(Liste!#REF!,"AAAAAGTb32g=")</f>
        <v>#REF!</v>
      </c>
      <c r="DB96" t="e">
        <f>AND(Liste!#REF!,"AAAAAGTb32k=")</f>
        <v>#REF!</v>
      </c>
      <c r="DC96" t="e">
        <f>AND(Liste!#REF!,"AAAAAGTb32o=")</f>
        <v>#REF!</v>
      </c>
      <c r="DD96" t="e">
        <f>AND(Liste!#REF!,"AAAAAGTb32s=")</f>
        <v>#REF!</v>
      </c>
      <c r="DE96" t="e">
        <f>IF(Liste!#REF!,"AAAAAGTb32w=",0)</f>
        <v>#REF!</v>
      </c>
      <c r="DF96" t="e">
        <f>AND(Liste!#REF!,"AAAAAGTb320=")</f>
        <v>#REF!</v>
      </c>
      <c r="DG96" t="e">
        <f>AND(Liste!#REF!,"AAAAAGTb324=")</f>
        <v>#REF!</v>
      </c>
      <c r="DH96" t="e">
        <f>AND(Liste!#REF!,"AAAAAGTb328=")</f>
        <v>#REF!</v>
      </c>
      <c r="DI96" t="e">
        <f>AND(Liste!#REF!,"AAAAAGTb33A=")</f>
        <v>#REF!</v>
      </c>
      <c r="DJ96" t="e">
        <f>AND(Liste!#REF!,"AAAAAGTb33E=")</f>
        <v>#REF!</v>
      </c>
      <c r="DK96" t="e">
        <f>AND(Liste!#REF!,"AAAAAGTb33I=")</f>
        <v>#REF!</v>
      </c>
      <c r="DL96" t="e">
        <f>AND(Liste!#REF!,"AAAAAGTb33M=")</f>
        <v>#REF!</v>
      </c>
      <c r="DM96" t="e">
        <f>AND(Liste!#REF!,"AAAAAGTb33Q=")</f>
        <v>#REF!</v>
      </c>
      <c r="DN96" t="e">
        <f>AND(Liste!#REF!,"AAAAAGTb33U=")</f>
        <v>#REF!</v>
      </c>
      <c r="DO96" t="e">
        <f>AND(Liste!#REF!,"AAAAAGTb33Y=")</f>
        <v>#REF!</v>
      </c>
      <c r="DP96" t="e">
        <f>AND(Liste!#REF!,"AAAAAGTb33c=")</f>
        <v>#REF!</v>
      </c>
      <c r="DQ96" t="e">
        <f>AND(Liste!#REF!,"AAAAAGTb33g=")</f>
        <v>#REF!</v>
      </c>
      <c r="DR96" t="e">
        <f>AND(Liste!#REF!,"AAAAAGTb33k=")</f>
        <v>#REF!</v>
      </c>
      <c r="DS96" t="e">
        <f>AND(Liste!#REF!,"AAAAAGTb33o=")</f>
        <v>#REF!</v>
      </c>
      <c r="DT96" t="e">
        <f>AND(Liste!#REF!,"AAAAAGTb33s=")</f>
        <v>#REF!</v>
      </c>
      <c r="DU96" t="e">
        <f>AND(Liste!#REF!,"AAAAAGTb33w=")</f>
        <v>#REF!</v>
      </c>
      <c r="DV96" t="e">
        <f>AND(Liste!#REF!,"AAAAAGTb330=")</f>
        <v>#REF!</v>
      </c>
      <c r="DW96" t="e">
        <f>AND(Liste!#REF!,"AAAAAGTb334=")</f>
        <v>#REF!</v>
      </c>
      <c r="DX96" t="e">
        <f>AND(Liste!#REF!,"AAAAAGTb338=")</f>
        <v>#REF!</v>
      </c>
      <c r="DY96" t="e">
        <f>AND(Liste!#REF!,"AAAAAGTb34A=")</f>
        <v>#REF!</v>
      </c>
      <c r="DZ96" t="e">
        <f>AND(Liste!#REF!,"AAAAAGTb34E=")</f>
        <v>#REF!</v>
      </c>
      <c r="EA96" t="e">
        <f>AND(Liste!#REF!,"AAAAAGTb34I=")</f>
        <v>#REF!</v>
      </c>
      <c r="EB96" t="e">
        <f>AND(Liste!#REF!,"AAAAAGTb34M=")</f>
        <v>#REF!</v>
      </c>
      <c r="EC96" t="e">
        <f>AND(Liste!#REF!,"AAAAAGTb34Q=")</f>
        <v>#REF!</v>
      </c>
      <c r="ED96" t="e">
        <f>AND(Liste!#REF!,"AAAAAGTb34U=")</f>
        <v>#REF!</v>
      </c>
      <c r="EE96" t="e">
        <f>AND(Liste!#REF!,"AAAAAGTb34Y=")</f>
        <v>#REF!</v>
      </c>
      <c r="EF96" t="e">
        <f>AND(Liste!#REF!,"AAAAAGTb34c=")</f>
        <v>#REF!</v>
      </c>
      <c r="EG96" t="e">
        <f>AND(Liste!#REF!,"AAAAAGTb34g=")</f>
        <v>#REF!</v>
      </c>
      <c r="EH96" t="e">
        <f>AND(Liste!#REF!,"AAAAAGTb34k=")</f>
        <v>#REF!</v>
      </c>
      <c r="EI96" t="e">
        <f>AND(Liste!#REF!,"AAAAAGTb34o=")</f>
        <v>#REF!</v>
      </c>
      <c r="EJ96" t="e">
        <f>IF(Liste!#REF!,"AAAAAGTb34s=",0)</f>
        <v>#REF!</v>
      </c>
      <c r="EK96" t="e">
        <f>AND(Liste!#REF!,"AAAAAGTb34w=")</f>
        <v>#REF!</v>
      </c>
      <c r="EL96" t="e">
        <f>AND(Liste!#REF!,"AAAAAGTb340=")</f>
        <v>#REF!</v>
      </c>
      <c r="EM96" t="e">
        <f>AND(Liste!#REF!,"AAAAAGTb344=")</f>
        <v>#REF!</v>
      </c>
      <c r="EN96" t="e">
        <f>AND(Liste!#REF!,"AAAAAGTb348=")</f>
        <v>#REF!</v>
      </c>
      <c r="EO96" t="e">
        <f>AND(Liste!#REF!,"AAAAAGTb35A=")</f>
        <v>#REF!</v>
      </c>
      <c r="EP96" t="e">
        <f>AND(Liste!#REF!,"AAAAAGTb35E=")</f>
        <v>#REF!</v>
      </c>
      <c r="EQ96" t="e">
        <f>AND(Liste!#REF!,"AAAAAGTb35I=")</f>
        <v>#REF!</v>
      </c>
      <c r="ER96" t="e">
        <f>AND(Liste!#REF!,"AAAAAGTb35M=")</f>
        <v>#REF!</v>
      </c>
      <c r="ES96" t="e">
        <f>AND(Liste!#REF!,"AAAAAGTb35Q=")</f>
        <v>#REF!</v>
      </c>
      <c r="ET96" t="e">
        <f>AND(Liste!#REF!,"AAAAAGTb35U=")</f>
        <v>#REF!</v>
      </c>
      <c r="EU96" t="e">
        <f>AND(Liste!#REF!,"AAAAAGTb35Y=")</f>
        <v>#REF!</v>
      </c>
      <c r="EV96" t="e">
        <f>AND(Liste!#REF!,"AAAAAGTb35c=")</f>
        <v>#REF!</v>
      </c>
      <c r="EW96" t="e">
        <f>AND(Liste!#REF!,"AAAAAGTb35g=")</f>
        <v>#REF!</v>
      </c>
      <c r="EX96" t="e">
        <f>AND(Liste!#REF!,"AAAAAGTb35k=")</f>
        <v>#REF!</v>
      </c>
      <c r="EY96" t="e">
        <f>AND(Liste!#REF!,"AAAAAGTb35o=")</f>
        <v>#REF!</v>
      </c>
      <c r="EZ96" t="e">
        <f>AND(Liste!#REF!,"AAAAAGTb35s=")</f>
        <v>#REF!</v>
      </c>
      <c r="FA96" t="e">
        <f>AND(Liste!#REF!,"AAAAAGTb35w=")</f>
        <v>#REF!</v>
      </c>
      <c r="FB96" t="e">
        <f>AND(Liste!#REF!,"AAAAAGTb350=")</f>
        <v>#REF!</v>
      </c>
      <c r="FC96" t="e">
        <f>AND(Liste!#REF!,"AAAAAGTb354=")</f>
        <v>#REF!</v>
      </c>
      <c r="FD96" t="e">
        <f>AND(Liste!#REF!,"AAAAAGTb358=")</f>
        <v>#REF!</v>
      </c>
      <c r="FE96" t="e">
        <f>AND(Liste!#REF!,"AAAAAGTb36A=")</f>
        <v>#REF!</v>
      </c>
      <c r="FF96" t="e">
        <f>AND(Liste!#REF!,"AAAAAGTb36E=")</f>
        <v>#REF!</v>
      </c>
      <c r="FG96" t="e">
        <f>AND(Liste!#REF!,"AAAAAGTb36I=")</f>
        <v>#REF!</v>
      </c>
      <c r="FH96" t="e">
        <f>AND(Liste!#REF!,"AAAAAGTb36M=")</f>
        <v>#REF!</v>
      </c>
      <c r="FI96" t="e">
        <f>AND(Liste!#REF!,"AAAAAGTb36Q=")</f>
        <v>#REF!</v>
      </c>
      <c r="FJ96" t="e">
        <f>AND(Liste!#REF!,"AAAAAGTb36U=")</f>
        <v>#REF!</v>
      </c>
      <c r="FK96" t="e">
        <f>AND(Liste!#REF!,"AAAAAGTb36Y=")</f>
        <v>#REF!</v>
      </c>
      <c r="FL96" t="e">
        <f>AND(Liste!#REF!,"AAAAAGTb36c=")</f>
        <v>#REF!</v>
      </c>
      <c r="FM96" t="e">
        <f>AND(Liste!#REF!,"AAAAAGTb36g=")</f>
        <v>#REF!</v>
      </c>
      <c r="FN96" t="e">
        <f>AND(Liste!#REF!,"AAAAAGTb36k=")</f>
        <v>#REF!</v>
      </c>
      <c r="FO96" t="e">
        <f>IF(Liste!#REF!,"AAAAAGTb36o=",0)</f>
        <v>#REF!</v>
      </c>
      <c r="FP96" t="e">
        <f>AND(Liste!#REF!,"AAAAAGTb36s=")</f>
        <v>#REF!</v>
      </c>
      <c r="FQ96" t="e">
        <f>AND(Liste!#REF!,"AAAAAGTb36w=")</f>
        <v>#REF!</v>
      </c>
      <c r="FR96" t="e">
        <f>AND(Liste!#REF!,"AAAAAGTb360=")</f>
        <v>#REF!</v>
      </c>
      <c r="FS96" t="e">
        <f>AND(Liste!#REF!,"AAAAAGTb364=")</f>
        <v>#REF!</v>
      </c>
      <c r="FT96" t="e">
        <f>AND(Liste!#REF!,"AAAAAGTb368=")</f>
        <v>#REF!</v>
      </c>
      <c r="FU96" t="e">
        <f>AND(Liste!#REF!,"AAAAAGTb37A=")</f>
        <v>#REF!</v>
      </c>
      <c r="FV96" t="e">
        <f>AND(Liste!#REF!,"AAAAAGTb37E=")</f>
        <v>#REF!</v>
      </c>
      <c r="FW96" t="e">
        <f>AND(Liste!#REF!,"AAAAAGTb37I=")</f>
        <v>#REF!</v>
      </c>
      <c r="FX96" t="e">
        <f>AND(Liste!#REF!,"AAAAAGTb37M=")</f>
        <v>#REF!</v>
      </c>
      <c r="FY96" t="e">
        <f>AND(Liste!#REF!,"AAAAAGTb37Q=")</f>
        <v>#REF!</v>
      </c>
      <c r="FZ96" t="e">
        <f>AND(Liste!#REF!,"AAAAAGTb37U=")</f>
        <v>#REF!</v>
      </c>
      <c r="GA96" t="e">
        <f>AND(Liste!#REF!,"AAAAAGTb37Y=")</f>
        <v>#REF!</v>
      </c>
      <c r="GB96" t="e">
        <f>AND(Liste!#REF!,"AAAAAGTb37c=")</f>
        <v>#REF!</v>
      </c>
      <c r="GC96" t="e">
        <f>AND(Liste!#REF!,"AAAAAGTb37g=")</f>
        <v>#REF!</v>
      </c>
      <c r="GD96" t="e">
        <f>AND(Liste!#REF!,"AAAAAGTb37k=")</f>
        <v>#REF!</v>
      </c>
      <c r="GE96" t="e">
        <f>AND(Liste!#REF!,"AAAAAGTb37o=")</f>
        <v>#REF!</v>
      </c>
      <c r="GF96" t="e">
        <f>AND(Liste!#REF!,"AAAAAGTb37s=")</f>
        <v>#REF!</v>
      </c>
      <c r="GG96" t="e">
        <f>AND(Liste!#REF!,"AAAAAGTb37w=")</f>
        <v>#REF!</v>
      </c>
      <c r="GH96" t="e">
        <f>AND(Liste!#REF!,"AAAAAGTb370=")</f>
        <v>#REF!</v>
      </c>
      <c r="GI96" t="e">
        <f>AND(Liste!#REF!,"AAAAAGTb374=")</f>
        <v>#REF!</v>
      </c>
      <c r="GJ96" t="e">
        <f>AND(Liste!#REF!,"AAAAAGTb378=")</f>
        <v>#REF!</v>
      </c>
      <c r="GK96" t="e">
        <f>AND(Liste!#REF!,"AAAAAGTb38A=")</f>
        <v>#REF!</v>
      </c>
      <c r="GL96" t="e">
        <f>AND(Liste!#REF!,"AAAAAGTb38E=")</f>
        <v>#REF!</v>
      </c>
      <c r="GM96" t="e">
        <f>AND(Liste!#REF!,"AAAAAGTb38I=")</f>
        <v>#REF!</v>
      </c>
      <c r="GN96" t="e">
        <f>AND(Liste!#REF!,"AAAAAGTb38M=")</f>
        <v>#REF!</v>
      </c>
      <c r="GO96" t="e">
        <f>AND(Liste!#REF!,"AAAAAGTb38Q=")</f>
        <v>#REF!</v>
      </c>
      <c r="GP96" t="e">
        <f>AND(Liste!#REF!,"AAAAAGTb38U=")</f>
        <v>#REF!</v>
      </c>
      <c r="GQ96" t="e">
        <f>AND(Liste!#REF!,"AAAAAGTb38Y=")</f>
        <v>#REF!</v>
      </c>
      <c r="GR96" t="e">
        <f>AND(Liste!#REF!,"AAAAAGTb38c=")</f>
        <v>#REF!</v>
      </c>
      <c r="GS96" t="e">
        <f>AND(Liste!#REF!,"AAAAAGTb38g=")</f>
        <v>#REF!</v>
      </c>
      <c r="GT96" t="e">
        <f>IF(Liste!#REF!,"AAAAAGTb38k=",0)</f>
        <v>#REF!</v>
      </c>
      <c r="GU96" t="e">
        <f>AND(Liste!#REF!,"AAAAAGTb38o=")</f>
        <v>#REF!</v>
      </c>
      <c r="GV96" t="e">
        <f>AND(Liste!#REF!,"AAAAAGTb38s=")</f>
        <v>#REF!</v>
      </c>
      <c r="GW96" t="e">
        <f>AND(Liste!#REF!,"AAAAAGTb38w=")</f>
        <v>#REF!</v>
      </c>
      <c r="GX96" t="e">
        <f>AND(Liste!#REF!,"AAAAAGTb380=")</f>
        <v>#REF!</v>
      </c>
      <c r="GY96" t="e">
        <f>AND(Liste!#REF!,"AAAAAGTb384=")</f>
        <v>#REF!</v>
      </c>
      <c r="GZ96" t="e">
        <f>AND(Liste!#REF!,"AAAAAGTb388=")</f>
        <v>#REF!</v>
      </c>
      <c r="HA96" t="e">
        <f>AND(Liste!#REF!,"AAAAAGTb39A=")</f>
        <v>#REF!</v>
      </c>
      <c r="HB96" t="e">
        <f>AND(Liste!#REF!,"AAAAAGTb39E=")</f>
        <v>#REF!</v>
      </c>
      <c r="HC96" t="e">
        <f>AND(Liste!#REF!,"AAAAAGTb39I=")</f>
        <v>#REF!</v>
      </c>
      <c r="HD96" t="e">
        <f>AND(Liste!#REF!,"AAAAAGTb39M=")</f>
        <v>#REF!</v>
      </c>
      <c r="HE96" t="e">
        <f>AND(Liste!#REF!,"AAAAAGTb39Q=")</f>
        <v>#REF!</v>
      </c>
      <c r="HF96" t="e">
        <f>AND(Liste!#REF!,"AAAAAGTb39U=")</f>
        <v>#REF!</v>
      </c>
      <c r="HG96" t="e">
        <f>AND(Liste!#REF!,"AAAAAGTb39Y=")</f>
        <v>#REF!</v>
      </c>
      <c r="HH96" t="e">
        <f>AND(Liste!#REF!,"AAAAAGTb39c=")</f>
        <v>#REF!</v>
      </c>
      <c r="HI96" t="e">
        <f>AND(Liste!#REF!,"AAAAAGTb39g=")</f>
        <v>#REF!</v>
      </c>
      <c r="HJ96" t="e">
        <f>AND(Liste!#REF!,"AAAAAGTb39k=")</f>
        <v>#REF!</v>
      </c>
      <c r="HK96" t="e">
        <f>AND(Liste!#REF!,"AAAAAGTb39o=")</f>
        <v>#REF!</v>
      </c>
      <c r="HL96" t="e">
        <f>AND(Liste!#REF!,"AAAAAGTb39s=")</f>
        <v>#REF!</v>
      </c>
      <c r="HM96" t="e">
        <f>AND(Liste!#REF!,"AAAAAGTb39w=")</f>
        <v>#REF!</v>
      </c>
      <c r="HN96" t="e">
        <f>AND(Liste!#REF!,"AAAAAGTb390=")</f>
        <v>#REF!</v>
      </c>
      <c r="HO96" t="e">
        <f>AND(Liste!#REF!,"AAAAAGTb394=")</f>
        <v>#REF!</v>
      </c>
      <c r="HP96" t="e">
        <f>AND(Liste!#REF!,"AAAAAGTb398=")</f>
        <v>#REF!</v>
      </c>
      <c r="HQ96" t="e">
        <f>AND(Liste!#REF!,"AAAAAGTb3+A=")</f>
        <v>#REF!</v>
      </c>
      <c r="HR96" t="e">
        <f>AND(Liste!#REF!,"AAAAAGTb3+E=")</f>
        <v>#REF!</v>
      </c>
      <c r="HS96" t="e">
        <f>AND(Liste!#REF!,"AAAAAGTb3+I=")</f>
        <v>#REF!</v>
      </c>
      <c r="HT96" t="e">
        <f>AND(Liste!#REF!,"AAAAAGTb3+M=")</f>
        <v>#REF!</v>
      </c>
      <c r="HU96" t="e">
        <f>AND(Liste!#REF!,"AAAAAGTb3+Q=")</f>
        <v>#REF!</v>
      </c>
      <c r="HV96" t="e">
        <f>AND(Liste!#REF!,"AAAAAGTb3+U=")</f>
        <v>#REF!</v>
      </c>
      <c r="HW96" t="e">
        <f>AND(Liste!#REF!,"AAAAAGTb3+Y=")</f>
        <v>#REF!</v>
      </c>
      <c r="HX96" t="e">
        <f>AND(Liste!#REF!,"AAAAAGTb3+c=")</f>
        <v>#REF!</v>
      </c>
      <c r="HY96" t="e">
        <f>IF(Liste!#REF!,"AAAAAGTb3+g=",0)</f>
        <v>#REF!</v>
      </c>
      <c r="HZ96" t="e">
        <f>AND(Liste!#REF!,"AAAAAGTb3+k=")</f>
        <v>#REF!</v>
      </c>
      <c r="IA96" t="e">
        <f>AND(Liste!#REF!,"AAAAAGTb3+o=")</f>
        <v>#REF!</v>
      </c>
      <c r="IB96" t="e">
        <f>AND(Liste!#REF!,"AAAAAGTb3+s=")</f>
        <v>#REF!</v>
      </c>
      <c r="IC96" t="e">
        <f>AND(Liste!#REF!,"AAAAAGTb3+w=")</f>
        <v>#REF!</v>
      </c>
      <c r="ID96" t="e">
        <f>AND(Liste!#REF!,"AAAAAGTb3+0=")</f>
        <v>#REF!</v>
      </c>
      <c r="IE96" t="e">
        <f>AND(Liste!#REF!,"AAAAAGTb3+4=")</f>
        <v>#REF!</v>
      </c>
      <c r="IF96" t="e">
        <f>AND(Liste!#REF!,"AAAAAGTb3+8=")</f>
        <v>#REF!</v>
      </c>
      <c r="IG96" t="e">
        <f>AND(Liste!#REF!,"AAAAAGTb3/A=")</f>
        <v>#REF!</v>
      </c>
      <c r="IH96" t="e">
        <f>AND(Liste!#REF!,"AAAAAGTb3/E=")</f>
        <v>#REF!</v>
      </c>
      <c r="II96" t="e">
        <f>AND(Liste!#REF!,"AAAAAGTb3/I=")</f>
        <v>#REF!</v>
      </c>
      <c r="IJ96" t="e">
        <f>AND(Liste!#REF!,"AAAAAGTb3/M=")</f>
        <v>#REF!</v>
      </c>
      <c r="IK96" t="e">
        <f>AND(Liste!#REF!,"AAAAAGTb3/Q=")</f>
        <v>#REF!</v>
      </c>
      <c r="IL96" t="e">
        <f>AND(Liste!#REF!,"AAAAAGTb3/U=")</f>
        <v>#REF!</v>
      </c>
      <c r="IM96" t="e">
        <f>AND(Liste!#REF!,"AAAAAGTb3/Y=")</f>
        <v>#REF!</v>
      </c>
      <c r="IN96" t="e">
        <f>AND(Liste!#REF!,"AAAAAGTb3/c=")</f>
        <v>#REF!</v>
      </c>
      <c r="IO96" t="e">
        <f>AND(Liste!#REF!,"AAAAAGTb3/g=")</f>
        <v>#REF!</v>
      </c>
      <c r="IP96" t="e">
        <f>AND(Liste!#REF!,"AAAAAGTb3/k=")</f>
        <v>#REF!</v>
      </c>
      <c r="IQ96" t="e">
        <f>AND(Liste!#REF!,"AAAAAGTb3/o=")</f>
        <v>#REF!</v>
      </c>
      <c r="IR96" t="e">
        <f>AND(Liste!#REF!,"AAAAAGTb3/s=")</f>
        <v>#REF!</v>
      </c>
      <c r="IS96" t="e">
        <f>AND(Liste!#REF!,"AAAAAGTb3/w=")</f>
        <v>#REF!</v>
      </c>
      <c r="IT96" t="e">
        <f>AND(Liste!#REF!,"AAAAAGTb3/0=")</f>
        <v>#REF!</v>
      </c>
      <c r="IU96" t="e">
        <f>AND(Liste!#REF!,"AAAAAGTb3/4=")</f>
        <v>#REF!</v>
      </c>
      <c r="IV96" t="e">
        <f>AND(Liste!#REF!,"AAAAAGTb3/8=")</f>
        <v>#REF!</v>
      </c>
    </row>
    <row r="97" spans="1:256" x14ac:dyDescent="0.2">
      <c r="A97" t="e">
        <f>AND(Liste!#REF!,"AAAAAH52LwA=")</f>
        <v>#REF!</v>
      </c>
      <c r="B97" t="e">
        <f>AND(Liste!#REF!,"AAAAAH52LwE=")</f>
        <v>#REF!</v>
      </c>
      <c r="C97" t="e">
        <f>AND(Liste!#REF!,"AAAAAH52LwI=")</f>
        <v>#REF!</v>
      </c>
      <c r="D97" t="e">
        <f>AND(Liste!#REF!,"AAAAAH52LwM=")</f>
        <v>#REF!</v>
      </c>
      <c r="E97" t="e">
        <f>AND(Liste!#REF!,"AAAAAH52LwQ=")</f>
        <v>#REF!</v>
      </c>
      <c r="F97" t="e">
        <f>AND(Liste!#REF!,"AAAAAH52LwU=")</f>
        <v>#REF!</v>
      </c>
      <c r="G97" t="e">
        <f>AND(Liste!#REF!,"AAAAAH52LwY=")</f>
        <v>#REF!</v>
      </c>
      <c r="H97" t="e">
        <f>IF(Liste!#REF!,"AAAAAH52Lwc=",0)</f>
        <v>#REF!</v>
      </c>
      <c r="I97" t="e">
        <f>AND(Liste!#REF!,"AAAAAH52Lwg=")</f>
        <v>#REF!</v>
      </c>
      <c r="J97" t="e">
        <f>AND(Liste!#REF!,"AAAAAH52Lwk=")</f>
        <v>#REF!</v>
      </c>
      <c r="K97" t="e">
        <f>AND(Liste!#REF!,"AAAAAH52Lwo=")</f>
        <v>#REF!</v>
      </c>
      <c r="L97" t="e">
        <f>AND(Liste!#REF!,"AAAAAH52Lws=")</f>
        <v>#REF!</v>
      </c>
      <c r="M97" t="e">
        <f>AND(Liste!#REF!,"AAAAAH52Lww=")</f>
        <v>#REF!</v>
      </c>
      <c r="N97" t="e">
        <f>AND(Liste!#REF!,"AAAAAH52Lw0=")</f>
        <v>#REF!</v>
      </c>
      <c r="O97" t="e">
        <f>AND(Liste!#REF!,"AAAAAH52Lw4=")</f>
        <v>#REF!</v>
      </c>
      <c r="P97" t="e">
        <f>AND(Liste!#REF!,"AAAAAH52Lw8=")</f>
        <v>#REF!</v>
      </c>
      <c r="Q97" t="e">
        <f>AND(Liste!#REF!,"AAAAAH52LxA=")</f>
        <v>#REF!</v>
      </c>
      <c r="R97" t="e">
        <f>AND(Liste!#REF!,"AAAAAH52LxE=")</f>
        <v>#REF!</v>
      </c>
      <c r="S97" t="e">
        <f>AND(Liste!#REF!,"AAAAAH52LxI=")</f>
        <v>#REF!</v>
      </c>
      <c r="T97" t="e">
        <f>AND(Liste!#REF!,"AAAAAH52LxM=")</f>
        <v>#REF!</v>
      </c>
      <c r="U97" t="e">
        <f>AND(Liste!#REF!,"AAAAAH52LxQ=")</f>
        <v>#REF!</v>
      </c>
      <c r="V97" t="e">
        <f>AND(Liste!#REF!,"AAAAAH52LxU=")</f>
        <v>#REF!</v>
      </c>
      <c r="W97" t="e">
        <f>AND(Liste!#REF!,"AAAAAH52LxY=")</f>
        <v>#REF!</v>
      </c>
      <c r="X97" t="e">
        <f>AND(Liste!#REF!,"AAAAAH52Lxc=")</f>
        <v>#REF!</v>
      </c>
      <c r="Y97" t="e">
        <f>AND(Liste!#REF!,"AAAAAH52Lxg=")</f>
        <v>#REF!</v>
      </c>
      <c r="Z97" t="e">
        <f>AND(Liste!#REF!,"AAAAAH52Lxk=")</f>
        <v>#REF!</v>
      </c>
      <c r="AA97" t="e">
        <f>AND(Liste!#REF!,"AAAAAH52Lxo=")</f>
        <v>#REF!</v>
      </c>
      <c r="AB97" t="e">
        <f>AND(Liste!#REF!,"AAAAAH52Lxs=")</f>
        <v>#REF!</v>
      </c>
      <c r="AC97" t="e">
        <f>AND(Liste!#REF!,"AAAAAH52Lxw=")</f>
        <v>#REF!</v>
      </c>
      <c r="AD97" t="e">
        <f>AND(Liste!#REF!,"AAAAAH52Lx0=")</f>
        <v>#REF!</v>
      </c>
      <c r="AE97" t="e">
        <f>AND(Liste!#REF!,"AAAAAH52Lx4=")</f>
        <v>#REF!</v>
      </c>
      <c r="AF97" t="e">
        <f>AND(Liste!#REF!,"AAAAAH52Lx8=")</f>
        <v>#REF!</v>
      </c>
      <c r="AG97" t="e">
        <f>AND(Liste!#REF!,"AAAAAH52LyA=")</f>
        <v>#REF!</v>
      </c>
      <c r="AH97" t="e">
        <f>AND(Liste!#REF!,"AAAAAH52LyE=")</f>
        <v>#REF!</v>
      </c>
      <c r="AI97" t="e">
        <f>AND(Liste!#REF!,"AAAAAH52LyI=")</f>
        <v>#REF!</v>
      </c>
      <c r="AJ97" t="e">
        <f>AND(Liste!#REF!,"AAAAAH52LyM=")</f>
        <v>#REF!</v>
      </c>
      <c r="AK97" t="e">
        <f>AND(Liste!#REF!,"AAAAAH52LyQ=")</f>
        <v>#REF!</v>
      </c>
      <c r="AL97" t="e">
        <f>AND(Liste!#REF!,"AAAAAH52LyU=")</f>
        <v>#REF!</v>
      </c>
      <c r="AM97" t="e">
        <f>IF(Liste!#REF!,"AAAAAH52LyY=",0)</f>
        <v>#REF!</v>
      </c>
      <c r="AN97" t="e">
        <f>AND(Liste!#REF!,"AAAAAH52Lyc=")</f>
        <v>#REF!</v>
      </c>
      <c r="AO97" t="e">
        <f>AND(Liste!#REF!,"AAAAAH52Lyg=")</f>
        <v>#REF!</v>
      </c>
      <c r="AP97" t="e">
        <f>AND(Liste!#REF!,"AAAAAH52Lyk=")</f>
        <v>#REF!</v>
      </c>
      <c r="AQ97" t="e">
        <f>AND(Liste!#REF!,"AAAAAH52Lyo=")</f>
        <v>#REF!</v>
      </c>
      <c r="AR97" t="e">
        <f>AND(Liste!#REF!,"AAAAAH52Lys=")</f>
        <v>#REF!</v>
      </c>
      <c r="AS97" t="e">
        <f>AND(Liste!#REF!,"AAAAAH52Lyw=")</f>
        <v>#REF!</v>
      </c>
      <c r="AT97" t="e">
        <f>AND(Liste!#REF!,"AAAAAH52Ly0=")</f>
        <v>#REF!</v>
      </c>
      <c r="AU97" t="e">
        <f>AND(Liste!#REF!,"AAAAAH52Ly4=")</f>
        <v>#REF!</v>
      </c>
      <c r="AV97" t="e">
        <f>AND(Liste!#REF!,"AAAAAH52Ly8=")</f>
        <v>#REF!</v>
      </c>
      <c r="AW97" t="e">
        <f>AND(Liste!#REF!,"AAAAAH52LzA=")</f>
        <v>#REF!</v>
      </c>
      <c r="AX97" t="e">
        <f>AND(Liste!#REF!,"AAAAAH52LzE=")</f>
        <v>#REF!</v>
      </c>
      <c r="AY97" t="e">
        <f>AND(Liste!#REF!,"AAAAAH52LzI=")</f>
        <v>#REF!</v>
      </c>
      <c r="AZ97" t="e">
        <f>AND(Liste!#REF!,"AAAAAH52LzM=")</f>
        <v>#REF!</v>
      </c>
      <c r="BA97" t="e">
        <f>AND(Liste!#REF!,"AAAAAH52LzQ=")</f>
        <v>#REF!</v>
      </c>
      <c r="BB97" t="e">
        <f>AND(Liste!#REF!,"AAAAAH52LzU=")</f>
        <v>#REF!</v>
      </c>
      <c r="BC97" t="e">
        <f>AND(Liste!#REF!,"AAAAAH52LzY=")</f>
        <v>#REF!</v>
      </c>
      <c r="BD97" t="e">
        <f>AND(Liste!#REF!,"AAAAAH52Lzc=")</f>
        <v>#REF!</v>
      </c>
      <c r="BE97" t="e">
        <f>AND(Liste!#REF!,"AAAAAH52Lzg=")</f>
        <v>#REF!</v>
      </c>
      <c r="BF97" t="e">
        <f>AND(Liste!#REF!,"AAAAAH52Lzk=")</f>
        <v>#REF!</v>
      </c>
      <c r="BG97" t="e">
        <f>AND(Liste!#REF!,"AAAAAH52Lzo=")</f>
        <v>#REF!</v>
      </c>
      <c r="BH97" t="e">
        <f>AND(Liste!#REF!,"AAAAAH52Lzs=")</f>
        <v>#REF!</v>
      </c>
      <c r="BI97" t="e">
        <f>AND(Liste!#REF!,"AAAAAH52Lzw=")</f>
        <v>#REF!</v>
      </c>
      <c r="BJ97" t="e">
        <f>AND(Liste!#REF!,"AAAAAH52Lz0=")</f>
        <v>#REF!</v>
      </c>
      <c r="BK97" t="e">
        <f>AND(Liste!#REF!,"AAAAAH52Lz4=")</f>
        <v>#REF!</v>
      </c>
      <c r="BL97" t="e">
        <f>AND(Liste!#REF!,"AAAAAH52Lz8=")</f>
        <v>#REF!</v>
      </c>
      <c r="BM97" t="e">
        <f>AND(Liste!#REF!,"AAAAAH52L0A=")</f>
        <v>#REF!</v>
      </c>
      <c r="BN97" t="e">
        <f>AND(Liste!#REF!,"AAAAAH52L0E=")</f>
        <v>#REF!</v>
      </c>
      <c r="BO97" t="e">
        <f>AND(Liste!#REF!,"AAAAAH52L0I=")</f>
        <v>#REF!</v>
      </c>
      <c r="BP97" t="e">
        <f>AND(Liste!#REF!,"AAAAAH52L0M=")</f>
        <v>#REF!</v>
      </c>
      <c r="BQ97" t="e">
        <f>AND(Liste!#REF!,"AAAAAH52L0Q=")</f>
        <v>#REF!</v>
      </c>
      <c r="BR97" t="e">
        <f>IF(Liste!#REF!,"AAAAAH52L0U=",0)</f>
        <v>#REF!</v>
      </c>
      <c r="BS97" t="e">
        <f>AND(Liste!#REF!,"AAAAAH52L0Y=")</f>
        <v>#REF!</v>
      </c>
      <c r="BT97" t="e">
        <f>AND(Liste!#REF!,"AAAAAH52L0c=")</f>
        <v>#REF!</v>
      </c>
      <c r="BU97" t="e">
        <f>AND(Liste!#REF!,"AAAAAH52L0g=")</f>
        <v>#REF!</v>
      </c>
      <c r="BV97" t="e">
        <f>AND(Liste!#REF!,"AAAAAH52L0k=")</f>
        <v>#REF!</v>
      </c>
      <c r="BW97" t="e">
        <f>AND(Liste!#REF!,"AAAAAH52L0o=")</f>
        <v>#REF!</v>
      </c>
      <c r="BX97" t="e">
        <f>AND(Liste!#REF!,"AAAAAH52L0s=")</f>
        <v>#REF!</v>
      </c>
      <c r="BY97" t="e">
        <f>AND(Liste!#REF!,"AAAAAH52L0w=")</f>
        <v>#REF!</v>
      </c>
      <c r="BZ97" t="e">
        <f>AND(Liste!#REF!,"AAAAAH52L00=")</f>
        <v>#REF!</v>
      </c>
      <c r="CA97" t="e">
        <f>AND(Liste!#REF!,"AAAAAH52L04=")</f>
        <v>#REF!</v>
      </c>
      <c r="CB97" t="e">
        <f>AND(Liste!#REF!,"AAAAAH52L08=")</f>
        <v>#REF!</v>
      </c>
      <c r="CC97" t="e">
        <f>AND(Liste!#REF!,"AAAAAH52L1A=")</f>
        <v>#REF!</v>
      </c>
      <c r="CD97" t="e">
        <f>AND(Liste!#REF!,"AAAAAH52L1E=")</f>
        <v>#REF!</v>
      </c>
      <c r="CE97" t="e">
        <f>AND(Liste!#REF!,"AAAAAH52L1I=")</f>
        <v>#REF!</v>
      </c>
      <c r="CF97" t="e">
        <f>AND(Liste!#REF!,"AAAAAH52L1M=")</f>
        <v>#REF!</v>
      </c>
      <c r="CG97" t="e">
        <f>AND(Liste!#REF!,"AAAAAH52L1Q=")</f>
        <v>#REF!</v>
      </c>
      <c r="CH97" t="e">
        <f>AND(Liste!#REF!,"AAAAAH52L1U=")</f>
        <v>#REF!</v>
      </c>
      <c r="CI97" t="e">
        <f>AND(Liste!#REF!,"AAAAAH52L1Y=")</f>
        <v>#REF!</v>
      </c>
      <c r="CJ97" t="e">
        <f>AND(Liste!#REF!,"AAAAAH52L1c=")</f>
        <v>#REF!</v>
      </c>
      <c r="CK97" t="e">
        <f>AND(Liste!#REF!,"AAAAAH52L1g=")</f>
        <v>#REF!</v>
      </c>
      <c r="CL97" t="e">
        <f>AND(Liste!#REF!,"AAAAAH52L1k=")</f>
        <v>#REF!</v>
      </c>
      <c r="CM97" t="e">
        <f>AND(Liste!#REF!,"AAAAAH52L1o=")</f>
        <v>#REF!</v>
      </c>
      <c r="CN97" t="e">
        <f>AND(Liste!#REF!,"AAAAAH52L1s=")</f>
        <v>#REF!</v>
      </c>
      <c r="CO97" t="e">
        <f>AND(Liste!#REF!,"AAAAAH52L1w=")</f>
        <v>#REF!</v>
      </c>
      <c r="CP97" t="e">
        <f>AND(Liste!#REF!,"AAAAAH52L10=")</f>
        <v>#REF!</v>
      </c>
      <c r="CQ97" t="e">
        <f>AND(Liste!#REF!,"AAAAAH52L14=")</f>
        <v>#REF!</v>
      </c>
      <c r="CR97" t="e">
        <f>AND(Liste!#REF!,"AAAAAH52L18=")</f>
        <v>#REF!</v>
      </c>
      <c r="CS97" t="e">
        <f>AND(Liste!#REF!,"AAAAAH52L2A=")</f>
        <v>#REF!</v>
      </c>
      <c r="CT97" t="e">
        <f>AND(Liste!#REF!,"AAAAAH52L2E=")</f>
        <v>#REF!</v>
      </c>
      <c r="CU97" t="e">
        <f>AND(Liste!#REF!,"AAAAAH52L2I=")</f>
        <v>#REF!</v>
      </c>
      <c r="CV97" t="e">
        <f>AND(Liste!#REF!,"AAAAAH52L2M=")</f>
        <v>#REF!</v>
      </c>
      <c r="CW97" t="e">
        <f>IF(Liste!#REF!,"AAAAAH52L2Q=",0)</f>
        <v>#REF!</v>
      </c>
      <c r="CX97" t="e">
        <f>AND(Liste!#REF!,"AAAAAH52L2U=")</f>
        <v>#REF!</v>
      </c>
      <c r="CY97" t="e">
        <f>AND(Liste!#REF!,"AAAAAH52L2Y=")</f>
        <v>#REF!</v>
      </c>
      <c r="CZ97" t="e">
        <f>AND(Liste!#REF!,"AAAAAH52L2c=")</f>
        <v>#REF!</v>
      </c>
      <c r="DA97" t="e">
        <f>AND(Liste!#REF!,"AAAAAH52L2g=")</f>
        <v>#REF!</v>
      </c>
      <c r="DB97" t="e">
        <f>AND(Liste!#REF!,"AAAAAH52L2k=")</f>
        <v>#REF!</v>
      </c>
      <c r="DC97" t="e">
        <f>AND(Liste!#REF!,"AAAAAH52L2o=")</f>
        <v>#REF!</v>
      </c>
      <c r="DD97" t="e">
        <f>AND(Liste!#REF!,"AAAAAH52L2s=")</f>
        <v>#REF!</v>
      </c>
      <c r="DE97" t="e">
        <f>AND(Liste!#REF!,"AAAAAH52L2w=")</f>
        <v>#REF!</v>
      </c>
      <c r="DF97" t="e">
        <f>AND(Liste!#REF!,"AAAAAH52L20=")</f>
        <v>#REF!</v>
      </c>
      <c r="DG97" t="e">
        <f>AND(Liste!#REF!,"AAAAAH52L24=")</f>
        <v>#REF!</v>
      </c>
      <c r="DH97" t="e">
        <f>AND(Liste!#REF!,"AAAAAH52L28=")</f>
        <v>#REF!</v>
      </c>
      <c r="DI97" t="e">
        <f>AND(Liste!#REF!,"AAAAAH52L3A=")</f>
        <v>#REF!</v>
      </c>
      <c r="DJ97" t="e">
        <f>AND(Liste!#REF!,"AAAAAH52L3E=")</f>
        <v>#REF!</v>
      </c>
      <c r="DK97" t="e">
        <f>AND(Liste!#REF!,"AAAAAH52L3I=")</f>
        <v>#REF!</v>
      </c>
      <c r="DL97" t="e">
        <f>AND(Liste!#REF!,"AAAAAH52L3M=")</f>
        <v>#REF!</v>
      </c>
      <c r="DM97" t="e">
        <f>AND(Liste!#REF!,"AAAAAH52L3Q=")</f>
        <v>#REF!</v>
      </c>
      <c r="DN97" t="e">
        <f>AND(Liste!#REF!,"AAAAAH52L3U=")</f>
        <v>#REF!</v>
      </c>
      <c r="DO97" t="e">
        <f>AND(Liste!#REF!,"AAAAAH52L3Y=")</f>
        <v>#REF!</v>
      </c>
      <c r="DP97" t="e">
        <f>AND(Liste!#REF!,"AAAAAH52L3c=")</f>
        <v>#REF!</v>
      </c>
      <c r="DQ97" t="e">
        <f>AND(Liste!#REF!,"AAAAAH52L3g=")</f>
        <v>#REF!</v>
      </c>
      <c r="DR97" t="e">
        <f>AND(Liste!#REF!,"AAAAAH52L3k=")</f>
        <v>#REF!</v>
      </c>
      <c r="DS97" t="e">
        <f>AND(Liste!#REF!,"AAAAAH52L3o=")</f>
        <v>#REF!</v>
      </c>
      <c r="DT97" t="e">
        <f>AND(Liste!#REF!,"AAAAAH52L3s=")</f>
        <v>#REF!</v>
      </c>
      <c r="DU97" t="e">
        <f>AND(Liste!#REF!,"AAAAAH52L3w=")</f>
        <v>#REF!</v>
      </c>
      <c r="DV97" t="e">
        <f>AND(Liste!#REF!,"AAAAAH52L30=")</f>
        <v>#REF!</v>
      </c>
      <c r="DW97" t="e">
        <f>AND(Liste!#REF!,"AAAAAH52L34=")</f>
        <v>#REF!</v>
      </c>
      <c r="DX97" t="e">
        <f>AND(Liste!#REF!,"AAAAAH52L38=")</f>
        <v>#REF!</v>
      </c>
      <c r="DY97" t="e">
        <f>AND(Liste!#REF!,"AAAAAH52L4A=")</f>
        <v>#REF!</v>
      </c>
      <c r="DZ97" t="e">
        <f>AND(Liste!#REF!,"AAAAAH52L4E=")</f>
        <v>#REF!</v>
      </c>
      <c r="EA97" t="e">
        <f>AND(Liste!#REF!,"AAAAAH52L4I=")</f>
        <v>#REF!</v>
      </c>
      <c r="EB97" t="e">
        <f>IF(Liste!#REF!,"AAAAAH52L4M=",0)</f>
        <v>#REF!</v>
      </c>
      <c r="EC97" t="e">
        <f>AND(Liste!#REF!,"AAAAAH52L4Q=")</f>
        <v>#REF!</v>
      </c>
      <c r="ED97" t="e">
        <f>AND(Liste!#REF!,"AAAAAH52L4U=")</f>
        <v>#REF!</v>
      </c>
      <c r="EE97" t="e">
        <f>AND(Liste!#REF!,"AAAAAH52L4Y=")</f>
        <v>#REF!</v>
      </c>
      <c r="EF97" t="e">
        <f>AND(Liste!#REF!,"AAAAAH52L4c=")</f>
        <v>#REF!</v>
      </c>
      <c r="EG97" t="e">
        <f>AND(Liste!#REF!,"AAAAAH52L4g=")</f>
        <v>#REF!</v>
      </c>
      <c r="EH97" t="e">
        <f>AND(Liste!#REF!,"AAAAAH52L4k=")</f>
        <v>#REF!</v>
      </c>
      <c r="EI97" t="e">
        <f>AND(Liste!#REF!,"AAAAAH52L4o=")</f>
        <v>#REF!</v>
      </c>
      <c r="EJ97" t="e">
        <f>AND(Liste!#REF!,"AAAAAH52L4s=")</f>
        <v>#REF!</v>
      </c>
      <c r="EK97" t="e">
        <f>AND(Liste!#REF!,"AAAAAH52L4w=")</f>
        <v>#REF!</v>
      </c>
      <c r="EL97" t="e">
        <f>AND(Liste!#REF!,"AAAAAH52L40=")</f>
        <v>#REF!</v>
      </c>
      <c r="EM97" t="e">
        <f>AND(Liste!#REF!,"AAAAAH52L44=")</f>
        <v>#REF!</v>
      </c>
      <c r="EN97" t="e">
        <f>AND(Liste!#REF!,"AAAAAH52L48=")</f>
        <v>#REF!</v>
      </c>
      <c r="EO97" t="e">
        <f>AND(Liste!#REF!,"AAAAAH52L5A=")</f>
        <v>#REF!</v>
      </c>
      <c r="EP97" t="e">
        <f>AND(Liste!#REF!,"AAAAAH52L5E=")</f>
        <v>#REF!</v>
      </c>
      <c r="EQ97" t="e">
        <f>AND(Liste!#REF!,"AAAAAH52L5I=")</f>
        <v>#REF!</v>
      </c>
      <c r="ER97" t="e">
        <f>AND(Liste!#REF!,"AAAAAH52L5M=")</f>
        <v>#REF!</v>
      </c>
      <c r="ES97" t="e">
        <f>AND(Liste!#REF!,"AAAAAH52L5Q=")</f>
        <v>#REF!</v>
      </c>
      <c r="ET97" t="e">
        <f>AND(Liste!#REF!,"AAAAAH52L5U=")</f>
        <v>#REF!</v>
      </c>
      <c r="EU97" t="e">
        <f>AND(Liste!#REF!,"AAAAAH52L5Y=")</f>
        <v>#REF!</v>
      </c>
      <c r="EV97" t="e">
        <f>AND(Liste!#REF!,"AAAAAH52L5c=")</f>
        <v>#REF!</v>
      </c>
      <c r="EW97" t="e">
        <f>AND(Liste!#REF!,"AAAAAH52L5g=")</f>
        <v>#REF!</v>
      </c>
      <c r="EX97" t="e">
        <f>AND(Liste!#REF!,"AAAAAH52L5k=")</f>
        <v>#REF!</v>
      </c>
      <c r="EY97" t="e">
        <f>AND(Liste!#REF!,"AAAAAH52L5o=")</f>
        <v>#REF!</v>
      </c>
      <c r="EZ97" t="e">
        <f>AND(Liste!#REF!,"AAAAAH52L5s=")</f>
        <v>#REF!</v>
      </c>
      <c r="FA97" t="e">
        <f>AND(Liste!#REF!,"AAAAAH52L5w=")</f>
        <v>#REF!</v>
      </c>
      <c r="FB97" t="e">
        <f>AND(Liste!#REF!,"AAAAAH52L50=")</f>
        <v>#REF!</v>
      </c>
      <c r="FC97" t="e">
        <f>AND(Liste!#REF!,"AAAAAH52L54=")</f>
        <v>#REF!</v>
      </c>
      <c r="FD97" t="e">
        <f>AND(Liste!#REF!,"AAAAAH52L58=")</f>
        <v>#REF!</v>
      </c>
      <c r="FE97" t="e">
        <f>AND(Liste!#REF!,"AAAAAH52L6A=")</f>
        <v>#REF!</v>
      </c>
      <c r="FF97" t="e">
        <f>AND(Liste!#REF!,"AAAAAH52L6E=")</f>
        <v>#REF!</v>
      </c>
      <c r="FG97" t="e">
        <f>IF(Liste!#REF!,"AAAAAH52L6I=",0)</f>
        <v>#REF!</v>
      </c>
      <c r="FH97" t="e">
        <f>AND(Liste!#REF!,"AAAAAH52L6M=")</f>
        <v>#REF!</v>
      </c>
      <c r="FI97" t="e">
        <f>AND(Liste!#REF!,"AAAAAH52L6Q=")</f>
        <v>#REF!</v>
      </c>
      <c r="FJ97" t="e">
        <f>AND(Liste!#REF!,"AAAAAH52L6U=")</f>
        <v>#REF!</v>
      </c>
      <c r="FK97" t="e">
        <f>AND(Liste!#REF!,"AAAAAH52L6Y=")</f>
        <v>#REF!</v>
      </c>
      <c r="FL97" t="e">
        <f>AND(Liste!#REF!,"AAAAAH52L6c=")</f>
        <v>#REF!</v>
      </c>
      <c r="FM97" t="e">
        <f>AND(Liste!#REF!,"AAAAAH52L6g=")</f>
        <v>#REF!</v>
      </c>
      <c r="FN97" t="e">
        <f>AND(Liste!#REF!,"AAAAAH52L6k=")</f>
        <v>#REF!</v>
      </c>
      <c r="FO97" t="e">
        <f>AND(Liste!#REF!,"AAAAAH52L6o=")</f>
        <v>#REF!</v>
      </c>
      <c r="FP97" t="e">
        <f>AND(Liste!#REF!,"AAAAAH52L6s=")</f>
        <v>#REF!</v>
      </c>
      <c r="FQ97" t="e">
        <f>AND(Liste!#REF!,"AAAAAH52L6w=")</f>
        <v>#REF!</v>
      </c>
      <c r="FR97" t="e">
        <f>AND(Liste!#REF!,"AAAAAH52L60=")</f>
        <v>#REF!</v>
      </c>
      <c r="FS97" t="e">
        <f>AND(Liste!#REF!,"AAAAAH52L64=")</f>
        <v>#REF!</v>
      </c>
      <c r="FT97" t="e">
        <f>AND(Liste!#REF!,"AAAAAH52L68=")</f>
        <v>#REF!</v>
      </c>
      <c r="FU97" t="e">
        <f>AND(Liste!#REF!,"AAAAAH52L7A=")</f>
        <v>#REF!</v>
      </c>
      <c r="FV97" t="e">
        <f>AND(Liste!#REF!,"AAAAAH52L7E=")</f>
        <v>#REF!</v>
      </c>
      <c r="FW97" t="e">
        <f>AND(Liste!#REF!,"AAAAAH52L7I=")</f>
        <v>#REF!</v>
      </c>
      <c r="FX97" t="e">
        <f>AND(Liste!#REF!,"AAAAAH52L7M=")</f>
        <v>#REF!</v>
      </c>
      <c r="FY97" t="e">
        <f>AND(Liste!#REF!,"AAAAAH52L7Q=")</f>
        <v>#REF!</v>
      </c>
      <c r="FZ97" t="e">
        <f>AND(Liste!#REF!,"AAAAAH52L7U=")</f>
        <v>#REF!</v>
      </c>
      <c r="GA97" t="e">
        <f>AND(Liste!#REF!,"AAAAAH52L7Y=")</f>
        <v>#REF!</v>
      </c>
      <c r="GB97" t="e">
        <f>AND(Liste!#REF!,"AAAAAH52L7c=")</f>
        <v>#REF!</v>
      </c>
      <c r="GC97" t="e">
        <f>AND(Liste!#REF!,"AAAAAH52L7g=")</f>
        <v>#REF!</v>
      </c>
      <c r="GD97" t="e">
        <f>AND(Liste!#REF!,"AAAAAH52L7k=")</f>
        <v>#REF!</v>
      </c>
      <c r="GE97" t="e">
        <f>AND(Liste!#REF!,"AAAAAH52L7o=")</f>
        <v>#REF!</v>
      </c>
      <c r="GF97" t="e">
        <f>AND(Liste!#REF!,"AAAAAH52L7s=")</f>
        <v>#REF!</v>
      </c>
      <c r="GG97" t="e">
        <f>AND(Liste!#REF!,"AAAAAH52L7w=")</f>
        <v>#REF!</v>
      </c>
      <c r="GH97" t="e">
        <f>AND(Liste!#REF!,"AAAAAH52L70=")</f>
        <v>#REF!</v>
      </c>
      <c r="GI97" t="e">
        <f>AND(Liste!#REF!,"AAAAAH52L74=")</f>
        <v>#REF!</v>
      </c>
      <c r="GJ97" t="e">
        <f>AND(Liste!#REF!,"AAAAAH52L78=")</f>
        <v>#REF!</v>
      </c>
      <c r="GK97" t="e">
        <f>AND(Liste!#REF!,"AAAAAH52L8A=")</f>
        <v>#REF!</v>
      </c>
      <c r="GL97" t="e">
        <f>IF(Liste!#REF!,"AAAAAH52L8E=",0)</f>
        <v>#REF!</v>
      </c>
      <c r="GM97" t="e">
        <f>AND(Liste!#REF!,"AAAAAH52L8I=")</f>
        <v>#REF!</v>
      </c>
      <c r="GN97" t="e">
        <f>AND(Liste!#REF!,"AAAAAH52L8M=")</f>
        <v>#REF!</v>
      </c>
      <c r="GO97" t="e">
        <f>AND(Liste!#REF!,"AAAAAH52L8Q=")</f>
        <v>#REF!</v>
      </c>
      <c r="GP97" t="e">
        <f>AND(Liste!#REF!,"AAAAAH52L8U=")</f>
        <v>#REF!</v>
      </c>
      <c r="GQ97" t="e">
        <f>AND(Liste!#REF!,"AAAAAH52L8Y=")</f>
        <v>#REF!</v>
      </c>
      <c r="GR97" t="e">
        <f>AND(Liste!#REF!,"AAAAAH52L8c=")</f>
        <v>#REF!</v>
      </c>
      <c r="GS97" t="e">
        <f>AND(Liste!#REF!,"AAAAAH52L8g=")</f>
        <v>#REF!</v>
      </c>
      <c r="GT97" t="e">
        <f>AND(Liste!#REF!,"AAAAAH52L8k=")</f>
        <v>#REF!</v>
      </c>
      <c r="GU97" t="e">
        <f>AND(Liste!#REF!,"AAAAAH52L8o=")</f>
        <v>#REF!</v>
      </c>
      <c r="GV97" t="e">
        <f>AND(Liste!#REF!,"AAAAAH52L8s=")</f>
        <v>#REF!</v>
      </c>
      <c r="GW97" t="e">
        <f>AND(Liste!#REF!,"AAAAAH52L8w=")</f>
        <v>#REF!</v>
      </c>
      <c r="GX97" t="e">
        <f>AND(Liste!#REF!,"AAAAAH52L80=")</f>
        <v>#REF!</v>
      </c>
      <c r="GY97" t="e">
        <f>AND(Liste!#REF!,"AAAAAH52L84=")</f>
        <v>#REF!</v>
      </c>
      <c r="GZ97" t="e">
        <f>AND(Liste!#REF!,"AAAAAH52L88=")</f>
        <v>#REF!</v>
      </c>
      <c r="HA97" t="e">
        <f>AND(Liste!#REF!,"AAAAAH52L9A=")</f>
        <v>#REF!</v>
      </c>
      <c r="HB97" t="e">
        <f>AND(Liste!#REF!,"AAAAAH52L9E=")</f>
        <v>#REF!</v>
      </c>
      <c r="HC97" t="e">
        <f>AND(Liste!#REF!,"AAAAAH52L9I=")</f>
        <v>#REF!</v>
      </c>
      <c r="HD97" t="e">
        <f>AND(Liste!#REF!,"AAAAAH52L9M=")</f>
        <v>#REF!</v>
      </c>
      <c r="HE97" t="e">
        <f>AND(Liste!#REF!,"AAAAAH52L9Q=")</f>
        <v>#REF!</v>
      </c>
      <c r="HF97" t="e">
        <f>AND(Liste!#REF!,"AAAAAH52L9U=")</f>
        <v>#REF!</v>
      </c>
      <c r="HG97" t="e">
        <f>AND(Liste!#REF!,"AAAAAH52L9Y=")</f>
        <v>#REF!</v>
      </c>
      <c r="HH97" t="e">
        <f>AND(Liste!#REF!,"AAAAAH52L9c=")</f>
        <v>#REF!</v>
      </c>
      <c r="HI97" t="e">
        <f>AND(Liste!#REF!,"AAAAAH52L9g=")</f>
        <v>#REF!</v>
      </c>
      <c r="HJ97" t="e">
        <f>AND(Liste!#REF!,"AAAAAH52L9k=")</f>
        <v>#REF!</v>
      </c>
      <c r="HK97" t="e">
        <f>AND(Liste!#REF!,"AAAAAH52L9o=")</f>
        <v>#REF!</v>
      </c>
      <c r="HL97" t="e">
        <f>AND(Liste!#REF!,"AAAAAH52L9s=")</f>
        <v>#REF!</v>
      </c>
      <c r="HM97" t="e">
        <f>AND(Liste!#REF!,"AAAAAH52L9w=")</f>
        <v>#REF!</v>
      </c>
      <c r="HN97" t="e">
        <f>AND(Liste!#REF!,"AAAAAH52L90=")</f>
        <v>#REF!</v>
      </c>
      <c r="HO97" t="e">
        <f>AND(Liste!#REF!,"AAAAAH52L94=")</f>
        <v>#REF!</v>
      </c>
      <c r="HP97" t="e">
        <f>AND(Liste!#REF!,"AAAAAH52L98=")</f>
        <v>#REF!</v>
      </c>
      <c r="HQ97" t="e">
        <f>IF(Liste!#REF!,"AAAAAH52L+A=",0)</f>
        <v>#REF!</v>
      </c>
      <c r="HR97" t="e">
        <f>AND(Liste!#REF!,"AAAAAH52L+E=")</f>
        <v>#REF!</v>
      </c>
      <c r="HS97" t="e">
        <f>AND(Liste!#REF!,"AAAAAH52L+I=")</f>
        <v>#REF!</v>
      </c>
      <c r="HT97" t="e">
        <f>AND(Liste!#REF!,"AAAAAH52L+M=")</f>
        <v>#REF!</v>
      </c>
      <c r="HU97" t="e">
        <f>AND(Liste!#REF!,"AAAAAH52L+Q=")</f>
        <v>#REF!</v>
      </c>
      <c r="HV97" t="e">
        <f>AND(Liste!#REF!,"AAAAAH52L+U=")</f>
        <v>#REF!</v>
      </c>
      <c r="HW97" t="e">
        <f>AND(Liste!#REF!,"AAAAAH52L+Y=")</f>
        <v>#REF!</v>
      </c>
      <c r="HX97" t="e">
        <f>AND(Liste!#REF!,"AAAAAH52L+c=")</f>
        <v>#REF!</v>
      </c>
      <c r="HY97" t="e">
        <f>AND(Liste!#REF!,"AAAAAH52L+g=")</f>
        <v>#REF!</v>
      </c>
      <c r="HZ97" t="e">
        <f>AND(Liste!#REF!,"AAAAAH52L+k=")</f>
        <v>#REF!</v>
      </c>
      <c r="IA97" t="e">
        <f>AND(Liste!#REF!,"AAAAAH52L+o=")</f>
        <v>#REF!</v>
      </c>
      <c r="IB97" t="e">
        <f>AND(Liste!#REF!,"AAAAAH52L+s=")</f>
        <v>#REF!</v>
      </c>
      <c r="IC97" t="e">
        <f>AND(Liste!#REF!,"AAAAAH52L+w=")</f>
        <v>#REF!</v>
      </c>
      <c r="ID97" t="e">
        <f>AND(Liste!#REF!,"AAAAAH52L+0=")</f>
        <v>#REF!</v>
      </c>
      <c r="IE97" t="e">
        <f>AND(Liste!#REF!,"AAAAAH52L+4=")</f>
        <v>#REF!</v>
      </c>
      <c r="IF97" t="e">
        <f>AND(Liste!#REF!,"AAAAAH52L+8=")</f>
        <v>#REF!</v>
      </c>
      <c r="IG97" t="e">
        <f>AND(Liste!#REF!,"AAAAAH52L/A=")</f>
        <v>#REF!</v>
      </c>
      <c r="IH97" t="e">
        <f>AND(Liste!#REF!,"AAAAAH52L/E=")</f>
        <v>#REF!</v>
      </c>
      <c r="II97" t="e">
        <f>AND(Liste!#REF!,"AAAAAH52L/I=")</f>
        <v>#REF!</v>
      </c>
      <c r="IJ97" t="e">
        <f>AND(Liste!#REF!,"AAAAAH52L/M=")</f>
        <v>#REF!</v>
      </c>
      <c r="IK97" t="e">
        <f>AND(Liste!#REF!,"AAAAAH52L/Q=")</f>
        <v>#REF!</v>
      </c>
      <c r="IL97" t="e">
        <f>AND(Liste!#REF!,"AAAAAH52L/U=")</f>
        <v>#REF!</v>
      </c>
      <c r="IM97" t="e">
        <f>AND(Liste!#REF!,"AAAAAH52L/Y=")</f>
        <v>#REF!</v>
      </c>
      <c r="IN97" t="e">
        <f>AND(Liste!#REF!,"AAAAAH52L/c=")</f>
        <v>#REF!</v>
      </c>
      <c r="IO97" t="e">
        <f>AND(Liste!#REF!,"AAAAAH52L/g=")</f>
        <v>#REF!</v>
      </c>
      <c r="IP97" t="e">
        <f>AND(Liste!#REF!,"AAAAAH52L/k=")</f>
        <v>#REF!</v>
      </c>
      <c r="IQ97" t="e">
        <f>AND(Liste!#REF!,"AAAAAH52L/o=")</f>
        <v>#REF!</v>
      </c>
      <c r="IR97" t="e">
        <f>AND(Liste!#REF!,"AAAAAH52L/s=")</f>
        <v>#REF!</v>
      </c>
      <c r="IS97" t="e">
        <f>AND(Liste!#REF!,"AAAAAH52L/w=")</f>
        <v>#REF!</v>
      </c>
      <c r="IT97" t="e">
        <f>AND(Liste!#REF!,"AAAAAH52L/0=")</f>
        <v>#REF!</v>
      </c>
      <c r="IU97" t="e">
        <f>AND(Liste!#REF!,"AAAAAH52L/4=")</f>
        <v>#REF!</v>
      </c>
      <c r="IV97" t="e">
        <f>IF(Liste!#REF!,"AAAAAH52L/8=",0)</f>
        <v>#REF!</v>
      </c>
    </row>
    <row r="98" spans="1:256" x14ac:dyDescent="0.2">
      <c r="A98" t="e">
        <f>AND(Liste!#REF!,"AAAAAHb/3QA=")</f>
        <v>#REF!</v>
      </c>
      <c r="B98" t="e">
        <f>AND(Liste!#REF!,"AAAAAHb/3QE=")</f>
        <v>#REF!</v>
      </c>
      <c r="C98" t="e">
        <f>AND(Liste!#REF!,"AAAAAHb/3QI=")</f>
        <v>#REF!</v>
      </c>
      <c r="D98" t="e">
        <f>AND(Liste!#REF!,"AAAAAHb/3QM=")</f>
        <v>#REF!</v>
      </c>
      <c r="E98" t="e">
        <f>AND(Liste!#REF!,"AAAAAHb/3QQ=")</f>
        <v>#REF!</v>
      </c>
      <c r="F98" t="e">
        <f>AND(Liste!#REF!,"AAAAAHb/3QU=")</f>
        <v>#REF!</v>
      </c>
      <c r="G98" t="e">
        <f>AND(Liste!#REF!,"AAAAAHb/3QY=")</f>
        <v>#REF!</v>
      </c>
      <c r="H98" t="e">
        <f>AND(Liste!#REF!,"AAAAAHb/3Qc=")</f>
        <v>#REF!</v>
      </c>
      <c r="I98" t="e">
        <f>AND(Liste!#REF!,"AAAAAHb/3Qg=")</f>
        <v>#REF!</v>
      </c>
      <c r="J98" t="e">
        <f>AND(Liste!#REF!,"AAAAAHb/3Qk=")</f>
        <v>#REF!</v>
      </c>
      <c r="K98" t="e">
        <f>AND(Liste!#REF!,"AAAAAHb/3Qo=")</f>
        <v>#REF!</v>
      </c>
      <c r="L98" t="e">
        <f>AND(Liste!#REF!,"AAAAAHb/3Qs=")</f>
        <v>#REF!</v>
      </c>
      <c r="M98" t="e">
        <f>AND(Liste!#REF!,"AAAAAHb/3Qw=")</f>
        <v>#REF!</v>
      </c>
      <c r="N98" t="e">
        <f>AND(Liste!#REF!,"AAAAAHb/3Q0=")</f>
        <v>#REF!</v>
      </c>
      <c r="O98" t="e">
        <f>AND(Liste!#REF!,"AAAAAHb/3Q4=")</f>
        <v>#REF!</v>
      </c>
      <c r="P98" t="e">
        <f>AND(Liste!#REF!,"AAAAAHb/3Q8=")</f>
        <v>#REF!</v>
      </c>
      <c r="Q98" t="e">
        <f>AND(Liste!#REF!,"AAAAAHb/3RA=")</f>
        <v>#REF!</v>
      </c>
      <c r="R98" t="e">
        <f>AND(Liste!#REF!,"AAAAAHb/3RE=")</f>
        <v>#REF!</v>
      </c>
      <c r="S98" t="e">
        <f>AND(Liste!#REF!,"AAAAAHb/3RI=")</f>
        <v>#REF!</v>
      </c>
      <c r="T98" t="e">
        <f>AND(Liste!#REF!,"AAAAAHb/3RM=")</f>
        <v>#REF!</v>
      </c>
      <c r="U98" t="e">
        <f>AND(Liste!#REF!,"AAAAAHb/3RQ=")</f>
        <v>#REF!</v>
      </c>
      <c r="V98" t="e">
        <f>AND(Liste!#REF!,"AAAAAHb/3RU=")</f>
        <v>#REF!</v>
      </c>
      <c r="W98" t="e">
        <f>AND(Liste!#REF!,"AAAAAHb/3RY=")</f>
        <v>#REF!</v>
      </c>
      <c r="X98" t="e">
        <f>AND(Liste!#REF!,"AAAAAHb/3Rc=")</f>
        <v>#REF!</v>
      </c>
      <c r="Y98" t="e">
        <f>AND(Liste!#REF!,"AAAAAHb/3Rg=")</f>
        <v>#REF!</v>
      </c>
      <c r="Z98" t="e">
        <f>AND(Liste!#REF!,"AAAAAHb/3Rk=")</f>
        <v>#REF!</v>
      </c>
      <c r="AA98" t="e">
        <f>AND(Liste!#REF!,"AAAAAHb/3Ro=")</f>
        <v>#REF!</v>
      </c>
      <c r="AB98" t="e">
        <f>AND(Liste!#REF!,"AAAAAHb/3Rs=")</f>
        <v>#REF!</v>
      </c>
      <c r="AC98" t="e">
        <f>AND(Liste!#REF!,"AAAAAHb/3Rw=")</f>
        <v>#REF!</v>
      </c>
      <c r="AD98" t="e">
        <f>AND(Liste!#REF!,"AAAAAHb/3R0=")</f>
        <v>#REF!</v>
      </c>
      <c r="AE98" t="e">
        <f>IF(Liste!#REF!,"AAAAAHb/3R4=",0)</f>
        <v>#REF!</v>
      </c>
      <c r="AF98" t="e">
        <f>AND(Liste!#REF!,"AAAAAHb/3R8=")</f>
        <v>#REF!</v>
      </c>
      <c r="AG98" t="e">
        <f>AND(Liste!#REF!,"AAAAAHb/3SA=")</f>
        <v>#REF!</v>
      </c>
      <c r="AH98" t="e">
        <f>AND(Liste!#REF!,"AAAAAHb/3SE=")</f>
        <v>#REF!</v>
      </c>
      <c r="AI98" t="e">
        <f>AND(Liste!#REF!,"AAAAAHb/3SI=")</f>
        <v>#REF!</v>
      </c>
      <c r="AJ98" t="e">
        <f>AND(Liste!#REF!,"AAAAAHb/3SM=")</f>
        <v>#REF!</v>
      </c>
      <c r="AK98" t="e">
        <f>AND(Liste!#REF!,"AAAAAHb/3SQ=")</f>
        <v>#REF!</v>
      </c>
      <c r="AL98" t="e">
        <f>AND(Liste!#REF!,"AAAAAHb/3SU=")</f>
        <v>#REF!</v>
      </c>
      <c r="AM98" t="e">
        <f>AND(Liste!#REF!,"AAAAAHb/3SY=")</f>
        <v>#REF!</v>
      </c>
      <c r="AN98" t="e">
        <f>AND(Liste!#REF!,"AAAAAHb/3Sc=")</f>
        <v>#REF!</v>
      </c>
      <c r="AO98" t="e">
        <f>AND(Liste!#REF!,"AAAAAHb/3Sg=")</f>
        <v>#REF!</v>
      </c>
      <c r="AP98" t="e">
        <f>AND(Liste!#REF!,"AAAAAHb/3Sk=")</f>
        <v>#REF!</v>
      </c>
      <c r="AQ98" t="e">
        <f>AND(Liste!#REF!,"AAAAAHb/3So=")</f>
        <v>#REF!</v>
      </c>
      <c r="AR98" t="e">
        <f>AND(Liste!#REF!,"AAAAAHb/3Ss=")</f>
        <v>#REF!</v>
      </c>
      <c r="AS98" t="e">
        <f>AND(Liste!#REF!,"AAAAAHb/3Sw=")</f>
        <v>#REF!</v>
      </c>
      <c r="AT98" t="e">
        <f>AND(Liste!#REF!,"AAAAAHb/3S0=")</f>
        <v>#REF!</v>
      </c>
      <c r="AU98" t="e">
        <f>AND(Liste!#REF!,"AAAAAHb/3S4=")</f>
        <v>#REF!</v>
      </c>
      <c r="AV98" t="e">
        <f>AND(Liste!#REF!,"AAAAAHb/3S8=")</f>
        <v>#REF!</v>
      </c>
      <c r="AW98" t="e">
        <f>AND(Liste!#REF!,"AAAAAHb/3TA=")</f>
        <v>#REF!</v>
      </c>
      <c r="AX98" t="e">
        <f>AND(Liste!#REF!,"AAAAAHb/3TE=")</f>
        <v>#REF!</v>
      </c>
      <c r="AY98" t="e">
        <f>AND(Liste!#REF!,"AAAAAHb/3TI=")</f>
        <v>#REF!</v>
      </c>
      <c r="AZ98" t="e">
        <f>AND(Liste!#REF!,"AAAAAHb/3TM=")</f>
        <v>#REF!</v>
      </c>
      <c r="BA98" t="e">
        <f>AND(Liste!#REF!,"AAAAAHb/3TQ=")</f>
        <v>#REF!</v>
      </c>
      <c r="BB98" t="e">
        <f>AND(Liste!#REF!,"AAAAAHb/3TU=")</f>
        <v>#REF!</v>
      </c>
      <c r="BC98" t="e">
        <f>AND(Liste!#REF!,"AAAAAHb/3TY=")</f>
        <v>#REF!</v>
      </c>
      <c r="BD98" t="e">
        <f>AND(Liste!#REF!,"AAAAAHb/3Tc=")</f>
        <v>#REF!</v>
      </c>
      <c r="BE98" t="e">
        <f>AND(Liste!#REF!,"AAAAAHb/3Tg=")</f>
        <v>#REF!</v>
      </c>
      <c r="BF98" t="e">
        <f>AND(Liste!#REF!,"AAAAAHb/3Tk=")</f>
        <v>#REF!</v>
      </c>
      <c r="BG98" t="e">
        <f>AND(Liste!#REF!,"AAAAAHb/3To=")</f>
        <v>#REF!</v>
      </c>
      <c r="BH98" t="e">
        <f>AND(Liste!#REF!,"AAAAAHb/3Ts=")</f>
        <v>#REF!</v>
      </c>
      <c r="BI98" t="e">
        <f>AND(Liste!#REF!,"AAAAAHb/3Tw=")</f>
        <v>#REF!</v>
      </c>
      <c r="BJ98" t="e">
        <f>IF(Liste!#REF!,"AAAAAHb/3T0=",0)</f>
        <v>#REF!</v>
      </c>
      <c r="BK98" t="e">
        <f>AND(Liste!#REF!,"AAAAAHb/3T4=")</f>
        <v>#REF!</v>
      </c>
      <c r="BL98" t="e">
        <f>AND(Liste!#REF!,"AAAAAHb/3T8=")</f>
        <v>#REF!</v>
      </c>
      <c r="BM98" t="e">
        <f>AND(Liste!#REF!,"AAAAAHb/3UA=")</f>
        <v>#REF!</v>
      </c>
      <c r="BN98" t="e">
        <f>AND(Liste!#REF!,"AAAAAHb/3UE=")</f>
        <v>#REF!</v>
      </c>
      <c r="BO98" t="e">
        <f>AND(Liste!#REF!,"AAAAAHb/3UI=")</f>
        <v>#REF!</v>
      </c>
      <c r="BP98" t="e">
        <f>AND(Liste!#REF!,"AAAAAHb/3UM=")</f>
        <v>#REF!</v>
      </c>
      <c r="BQ98" t="e">
        <f>AND(Liste!#REF!,"AAAAAHb/3UQ=")</f>
        <v>#REF!</v>
      </c>
      <c r="BR98" t="e">
        <f>AND(Liste!#REF!,"AAAAAHb/3UU=")</f>
        <v>#REF!</v>
      </c>
      <c r="BS98" t="e">
        <f>AND(Liste!#REF!,"AAAAAHb/3UY=")</f>
        <v>#REF!</v>
      </c>
      <c r="BT98" t="e">
        <f>AND(Liste!#REF!,"AAAAAHb/3Uc=")</f>
        <v>#REF!</v>
      </c>
      <c r="BU98" t="e">
        <f>AND(Liste!#REF!,"AAAAAHb/3Ug=")</f>
        <v>#REF!</v>
      </c>
      <c r="BV98" t="e">
        <f>AND(Liste!#REF!,"AAAAAHb/3Uk=")</f>
        <v>#REF!</v>
      </c>
      <c r="BW98" t="e">
        <f>AND(Liste!#REF!,"AAAAAHb/3Uo=")</f>
        <v>#REF!</v>
      </c>
      <c r="BX98" t="e">
        <f>AND(Liste!#REF!,"AAAAAHb/3Us=")</f>
        <v>#REF!</v>
      </c>
      <c r="BY98" t="e">
        <f>AND(Liste!#REF!,"AAAAAHb/3Uw=")</f>
        <v>#REF!</v>
      </c>
      <c r="BZ98" t="e">
        <f>AND(Liste!#REF!,"AAAAAHb/3U0=")</f>
        <v>#REF!</v>
      </c>
      <c r="CA98" t="e">
        <f>AND(Liste!#REF!,"AAAAAHb/3U4=")</f>
        <v>#REF!</v>
      </c>
      <c r="CB98" t="e">
        <f>AND(Liste!#REF!,"AAAAAHb/3U8=")</f>
        <v>#REF!</v>
      </c>
      <c r="CC98" t="e">
        <f>AND(Liste!#REF!,"AAAAAHb/3VA=")</f>
        <v>#REF!</v>
      </c>
      <c r="CD98" t="e">
        <f>AND(Liste!#REF!,"AAAAAHb/3VE=")</f>
        <v>#REF!</v>
      </c>
      <c r="CE98" t="e">
        <f>AND(Liste!#REF!,"AAAAAHb/3VI=")</f>
        <v>#REF!</v>
      </c>
      <c r="CF98" t="e">
        <f>AND(Liste!#REF!,"AAAAAHb/3VM=")</f>
        <v>#REF!</v>
      </c>
      <c r="CG98" t="e">
        <f>AND(Liste!#REF!,"AAAAAHb/3VQ=")</f>
        <v>#REF!</v>
      </c>
      <c r="CH98" t="e">
        <f>AND(Liste!#REF!,"AAAAAHb/3VU=")</f>
        <v>#REF!</v>
      </c>
      <c r="CI98" t="e">
        <f>AND(Liste!#REF!,"AAAAAHb/3VY=")</f>
        <v>#REF!</v>
      </c>
      <c r="CJ98" t="e">
        <f>AND(Liste!#REF!,"AAAAAHb/3Vc=")</f>
        <v>#REF!</v>
      </c>
      <c r="CK98" t="e">
        <f>AND(Liste!#REF!,"AAAAAHb/3Vg=")</f>
        <v>#REF!</v>
      </c>
      <c r="CL98" t="e">
        <f>AND(Liste!#REF!,"AAAAAHb/3Vk=")</f>
        <v>#REF!</v>
      </c>
      <c r="CM98" t="e">
        <f>AND(Liste!#REF!,"AAAAAHb/3Vo=")</f>
        <v>#REF!</v>
      </c>
      <c r="CN98" t="e">
        <f>AND(Liste!#REF!,"AAAAAHb/3Vs=")</f>
        <v>#REF!</v>
      </c>
      <c r="CO98" t="e">
        <f>IF(Liste!#REF!,"AAAAAHb/3Vw=",0)</f>
        <v>#REF!</v>
      </c>
      <c r="CP98" t="e">
        <f>AND(Liste!#REF!,"AAAAAHb/3V0=")</f>
        <v>#REF!</v>
      </c>
      <c r="CQ98" t="e">
        <f>AND(Liste!#REF!,"AAAAAHb/3V4=")</f>
        <v>#REF!</v>
      </c>
      <c r="CR98" t="e">
        <f>AND(Liste!#REF!,"AAAAAHb/3V8=")</f>
        <v>#REF!</v>
      </c>
      <c r="CS98" t="e">
        <f>AND(Liste!#REF!,"AAAAAHb/3WA=")</f>
        <v>#REF!</v>
      </c>
      <c r="CT98" t="e">
        <f>AND(Liste!#REF!,"AAAAAHb/3WE=")</f>
        <v>#REF!</v>
      </c>
      <c r="CU98" t="e">
        <f>AND(Liste!#REF!,"AAAAAHb/3WI=")</f>
        <v>#REF!</v>
      </c>
      <c r="CV98" t="e">
        <f>AND(Liste!#REF!,"AAAAAHb/3WM=")</f>
        <v>#REF!</v>
      </c>
      <c r="CW98" t="e">
        <f>AND(Liste!#REF!,"AAAAAHb/3WQ=")</f>
        <v>#REF!</v>
      </c>
      <c r="CX98" t="e">
        <f>AND(Liste!#REF!,"AAAAAHb/3WU=")</f>
        <v>#REF!</v>
      </c>
      <c r="CY98" t="e">
        <f>AND(Liste!#REF!,"AAAAAHb/3WY=")</f>
        <v>#REF!</v>
      </c>
      <c r="CZ98" t="e">
        <f>AND(Liste!#REF!,"AAAAAHb/3Wc=")</f>
        <v>#REF!</v>
      </c>
      <c r="DA98" t="e">
        <f>AND(Liste!#REF!,"AAAAAHb/3Wg=")</f>
        <v>#REF!</v>
      </c>
      <c r="DB98" t="e">
        <f>AND(Liste!#REF!,"AAAAAHb/3Wk=")</f>
        <v>#REF!</v>
      </c>
      <c r="DC98" t="e">
        <f>AND(Liste!#REF!,"AAAAAHb/3Wo=")</f>
        <v>#REF!</v>
      </c>
      <c r="DD98" t="e">
        <f>AND(Liste!#REF!,"AAAAAHb/3Ws=")</f>
        <v>#REF!</v>
      </c>
      <c r="DE98" t="e">
        <f>AND(Liste!#REF!,"AAAAAHb/3Ww=")</f>
        <v>#REF!</v>
      </c>
      <c r="DF98" t="e">
        <f>AND(Liste!#REF!,"AAAAAHb/3W0=")</f>
        <v>#REF!</v>
      </c>
      <c r="DG98" t="e">
        <f>AND(Liste!#REF!,"AAAAAHb/3W4=")</f>
        <v>#REF!</v>
      </c>
      <c r="DH98" t="e">
        <f>AND(Liste!#REF!,"AAAAAHb/3W8=")</f>
        <v>#REF!</v>
      </c>
      <c r="DI98" t="e">
        <f>AND(Liste!#REF!,"AAAAAHb/3XA=")</f>
        <v>#REF!</v>
      </c>
      <c r="DJ98" t="e">
        <f>AND(Liste!#REF!,"AAAAAHb/3XE=")</f>
        <v>#REF!</v>
      </c>
      <c r="DK98" t="e">
        <f>AND(Liste!#REF!,"AAAAAHb/3XI=")</f>
        <v>#REF!</v>
      </c>
      <c r="DL98" t="e">
        <f>AND(Liste!#REF!,"AAAAAHb/3XM=")</f>
        <v>#REF!</v>
      </c>
      <c r="DM98" t="e">
        <f>AND(Liste!#REF!,"AAAAAHb/3XQ=")</f>
        <v>#REF!</v>
      </c>
      <c r="DN98" t="e">
        <f>AND(Liste!#REF!,"AAAAAHb/3XU=")</f>
        <v>#REF!</v>
      </c>
      <c r="DO98" t="e">
        <f>AND(Liste!#REF!,"AAAAAHb/3XY=")</f>
        <v>#REF!</v>
      </c>
      <c r="DP98" t="e">
        <f>AND(Liste!#REF!,"AAAAAHb/3Xc=")</f>
        <v>#REF!</v>
      </c>
      <c r="DQ98" t="e">
        <f>AND(Liste!#REF!,"AAAAAHb/3Xg=")</f>
        <v>#REF!</v>
      </c>
      <c r="DR98" t="e">
        <f>AND(Liste!#REF!,"AAAAAHb/3Xk=")</f>
        <v>#REF!</v>
      </c>
      <c r="DS98" t="e">
        <f>AND(Liste!#REF!,"AAAAAHb/3Xo=")</f>
        <v>#REF!</v>
      </c>
      <c r="DT98" t="e">
        <f>IF(Liste!#REF!,"AAAAAHb/3Xs=",0)</f>
        <v>#REF!</v>
      </c>
      <c r="DU98" t="e">
        <f>AND(Liste!#REF!,"AAAAAHb/3Xw=")</f>
        <v>#REF!</v>
      </c>
      <c r="DV98" t="e">
        <f>AND(Liste!#REF!,"AAAAAHb/3X0=")</f>
        <v>#REF!</v>
      </c>
      <c r="DW98" t="e">
        <f>AND(Liste!#REF!,"AAAAAHb/3X4=")</f>
        <v>#REF!</v>
      </c>
      <c r="DX98" t="e">
        <f>AND(Liste!#REF!,"AAAAAHb/3X8=")</f>
        <v>#REF!</v>
      </c>
      <c r="DY98" t="e">
        <f>AND(Liste!#REF!,"AAAAAHb/3YA=")</f>
        <v>#REF!</v>
      </c>
      <c r="DZ98" t="e">
        <f>AND(Liste!#REF!,"AAAAAHb/3YE=")</f>
        <v>#REF!</v>
      </c>
      <c r="EA98" t="e">
        <f>AND(Liste!#REF!,"AAAAAHb/3YI=")</f>
        <v>#REF!</v>
      </c>
      <c r="EB98" t="e">
        <f>AND(Liste!#REF!,"AAAAAHb/3YM=")</f>
        <v>#REF!</v>
      </c>
      <c r="EC98" t="e">
        <f>AND(Liste!#REF!,"AAAAAHb/3YQ=")</f>
        <v>#REF!</v>
      </c>
      <c r="ED98" t="e">
        <f>AND(Liste!#REF!,"AAAAAHb/3YU=")</f>
        <v>#REF!</v>
      </c>
      <c r="EE98" t="e">
        <f>AND(Liste!#REF!,"AAAAAHb/3YY=")</f>
        <v>#REF!</v>
      </c>
      <c r="EF98" t="e">
        <f>AND(Liste!#REF!,"AAAAAHb/3Yc=")</f>
        <v>#REF!</v>
      </c>
      <c r="EG98" t="e">
        <f>AND(Liste!#REF!,"AAAAAHb/3Yg=")</f>
        <v>#REF!</v>
      </c>
      <c r="EH98" t="e">
        <f>AND(Liste!#REF!,"AAAAAHb/3Yk=")</f>
        <v>#REF!</v>
      </c>
      <c r="EI98" t="e">
        <f>AND(Liste!#REF!,"AAAAAHb/3Yo=")</f>
        <v>#REF!</v>
      </c>
      <c r="EJ98" t="e">
        <f>AND(Liste!#REF!,"AAAAAHb/3Ys=")</f>
        <v>#REF!</v>
      </c>
      <c r="EK98" t="e">
        <f>AND(Liste!#REF!,"AAAAAHb/3Yw=")</f>
        <v>#REF!</v>
      </c>
      <c r="EL98" t="e">
        <f>AND(Liste!#REF!,"AAAAAHb/3Y0=")</f>
        <v>#REF!</v>
      </c>
      <c r="EM98" t="e">
        <f>AND(Liste!#REF!,"AAAAAHb/3Y4=")</f>
        <v>#REF!</v>
      </c>
      <c r="EN98" t="e">
        <f>AND(Liste!#REF!,"AAAAAHb/3Y8=")</f>
        <v>#REF!</v>
      </c>
      <c r="EO98" t="e">
        <f>AND(Liste!#REF!,"AAAAAHb/3ZA=")</f>
        <v>#REF!</v>
      </c>
      <c r="EP98" t="e">
        <f>AND(Liste!#REF!,"AAAAAHb/3ZE=")</f>
        <v>#REF!</v>
      </c>
      <c r="EQ98" t="e">
        <f>AND(Liste!#REF!,"AAAAAHb/3ZI=")</f>
        <v>#REF!</v>
      </c>
      <c r="ER98" t="e">
        <f>AND(Liste!#REF!,"AAAAAHb/3ZM=")</f>
        <v>#REF!</v>
      </c>
      <c r="ES98" t="e">
        <f>AND(Liste!#REF!,"AAAAAHb/3ZQ=")</f>
        <v>#REF!</v>
      </c>
      <c r="ET98" t="e">
        <f>AND(Liste!#REF!,"AAAAAHb/3ZU=")</f>
        <v>#REF!</v>
      </c>
      <c r="EU98" t="e">
        <f>AND(Liste!#REF!,"AAAAAHb/3ZY=")</f>
        <v>#REF!</v>
      </c>
      <c r="EV98" t="e">
        <f>AND(Liste!#REF!,"AAAAAHb/3Zc=")</f>
        <v>#REF!</v>
      </c>
      <c r="EW98" t="e">
        <f>AND(Liste!#REF!,"AAAAAHb/3Zg=")</f>
        <v>#REF!</v>
      </c>
      <c r="EX98" t="e">
        <f>AND(Liste!#REF!,"AAAAAHb/3Zk=")</f>
        <v>#REF!</v>
      </c>
      <c r="EY98" t="e">
        <f>IF(Liste!#REF!,"AAAAAHb/3Zo=",0)</f>
        <v>#REF!</v>
      </c>
      <c r="EZ98" t="e">
        <f>AND(Liste!#REF!,"AAAAAHb/3Zs=")</f>
        <v>#REF!</v>
      </c>
      <c r="FA98" t="e">
        <f>AND(Liste!#REF!,"AAAAAHb/3Zw=")</f>
        <v>#REF!</v>
      </c>
      <c r="FB98" t="e">
        <f>AND(Liste!#REF!,"AAAAAHb/3Z0=")</f>
        <v>#REF!</v>
      </c>
      <c r="FC98" t="e">
        <f>AND(Liste!#REF!,"AAAAAHb/3Z4=")</f>
        <v>#REF!</v>
      </c>
      <c r="FD98" t="e">
        <f>AND(Liste!#REF!,"AAAAAHb/3Z8=")</f>
        <v>#REF!</v>
      </c>
      <c r="FE98" t="e">
        <f>AND(Liste!#REF!,"AAAAAHb/3aA=")</f>
        <v>#REF!</v>
      </c>
      <c r="FF98" t="e">
        <f>AND(Liste!#REF!,"AAAAAHb/3aE=")</f>
        <v>#REF!</v>
      </c>
      <c r="FG98" t="e">
        <f>AND(Liste!#REF!,"AAAAAHb/3aI=")</f>
        <v>#REF!</v>
      </c>
      <c r="FH98" t="e">
        <f>AND(Liste!#REF!,"AAAAAHb/3aM=")</f>
        <v>#REF!</v>
      </c>
      <c r="FI98" t="e">
        <f>AND(Liste!#REF!,"AAAAAHb/3aQ=")</f>
        <v>#REF!</v>
      </c>
      <c r="FJ98" t="e">
        <f>AND(Liste!#REF!,"AAAAAHb/3aU=")</f>
        <v>#REF!</v>
      </c>
      <c r="FK98" t="e">
        <f>AND(Liste!#REF!,"AAAAAHb/3aY=")</f>
        <v>#REF!</v>
      </c>
      <c r="FL98" t="e">
        <f>AND(Liste!#REF!,"AAAAAHb/3ac=")</f>
        <v>#REF!</v>
      </c>
      <c r="FM98" t="e">
        <f>AND(Liste!#REF!,"AAAAAHb/3ag=")</f>
        <v>#REF!</v>
      </c>
      <c r="FN98" t="e">
        <f>AND(Liste!#REF!,"AAAAAHb/3ak=")</f>
        <v>#REF!</v>
      </c>
      <c r="FO98" t="e">
        <f>AND(Liste!#REF!,"AAAAAHb/3ao=")</f>
        <v>#REF!</v>
      </c>
      <c r="FP98" t="e">
        <f>AND(Liste!#REF!,"AAAAAHb/3as=")</f>
        <v>#REF!</v>
      </c>
      <c r="FQ98" t="e">
        <f>AND(Liste!#REF!,"AAAAAHb/3aw=")</f>
        <v>#REF!</v>
      </c>
      <c r="FR98" t="e">
        <f>AND(Liste!#REF!,"AAAAAHb/3a0=")</f>
        <v>#REF!</v>
      </c>
      <c r="FS98" t="e">
        <f>AND(Liste!#REF!,"AAAAAHb/3a4=")</f>
        <v>#REF!</v>
      </c>
      <c r="FT98" t="e">
        <f>AND(Liste!#REF!,"AAAAAHb/3a8=")</f>
        <v>#REF!</v>
      </c>
      <c r="FU98" t="e">
        <f>AND(Liste!#REF!,"AAAAAHb/3bA=")</f>
        <v>#REF!</v>
      </c>
      <c r="FV98" t="e">
        <f>AND(Liste!#REF!,"AAAAAHb/3bE=")</f>
        <v>#REF!</v>
      </c>
      <c r="FW98" t="e">
        <f>AND(Liste!#REF!,"AAAAAHb/3bI=")</f>
        <v>#REF!</v>
      </c>
      <c r="FX98" t="e">
        <f>AND(Liste!#REF!,"AAAAAHb/3bM=")</f>
        <v>#REF!</v>
      </c>
      <c r="FY98" t="e">
        <f>AND(Liste!#REF!,"AAAAAHb/3bQ=")</f>
        <v>#REF!</v>
      </c>
      <c r="FZ98" t="e">
        <f>AND(Liste!#REF!,"AAAAAHb/3bU=")</f>
        <v>#REF!</v>
      </c>
      <c r="GA98" t="e">
        <f>AND(Liste!#REF!,"AAAAAHb/3bY=")</f>
        <v>#REF!</v>
      </c>
      <c r="GB98" t="e">
        <f>AND(Liste!#REF!,"AAAAAHb/3bc=")</f>
        <v>#REF!</v>
      </c>
      <c r="GC98" t="e">
        <f>AND(Liste!#REF!,"AAAAAHb/3bg=")</f>
        <v>#REF!</v>
      </c>
      <c r="GD98" t="e">
        <f>IF(Liste!#REF!,"AAAAAHb/3bk=",0)</f>
        <v>#REF!</v>
      </c>
      <c r="GE98" t="e">
        <f>AND(Liste!#REF!,"AAAAAHb/3bo=")</f>
        <v>#REF!</v>
      </c>
      <c r="GF98" t="e">
        <f>AND(Liste!#REF!,"AAAAAHb/3bs=")</f>
        <v>#REF!</v>
      </c>
      <c r="GG98" t="e">
        <f>AND(Liste!#REF!,"AAAAAHb/3bw=")</f>
        <v>#REF!</v>
      </c>
      <c r="GH98" t="e">
        <f>AND(Liste!#REF!,"AAAAAHb/3b0=")</f>
        <v>#REF!</v>
      </c>
      <c r="GI98" t="e">
        <f>AND(Liste!#REF!,"AAAAAHb/3b4=")</f>
        <v>#REF!</v>
      </c>
      <c r="GJ98" t="e">
        <f>AND(Liste!#REF!,"AAAAAHb/3b8=")</f>
        <v>#REF!</v>
      </c>
      <c r="GK98" t="e">
        <f>AND(Liste!#REF!,"AAAAAHb/3cA=")</f>
        <v>#REF!</v>
      </c>
      <c r="GL98" t="e">
        <f>AND(Liste!#REF!,"AAAAAHb/3cE=")</f>
        <v>#REF!</v>
      </c>
      <c r="GM98" t="e">
        <f>AND(Liste!#REF!,"AAAAAHb/3cI=")</f>
        <v>#REF!</v>
      </c>
      <c r="GN98" t="e">
        <f>AND(Liste!#REF!,"AAAAAHb/3cM=")</f>
        <v>#REF!</v>
      </c>
      <c r="GO98" t="e">
        <f>AND(Liste!#REF!,"AAAAAHb/3cQ=")</f>
        <v>#REF!</v>
      </c>
      <c r="GP98" t="e">
        <f>AND(Liste!#REF!,"AAAAAHb/3cU=")</f>
        <v>#REF!</v>
      </c>
      <c r="GQ98" t="e">
        <f>AND(Liste!#REF!,"AAAAAHb/3cY=")</f>
        <v>#REF!</v>
      </c>
      <c r="GR98" t="e">
        <f>AND(Liste!#REF!,"AAAAAHb/3cc=")</f>
        <v>#REF!</v>
      </c>
      <c r="GS98" t="e">
        <f>AND(Liste!#REF!,"AAAAAHb/3cg=")</f>
        <v>#REF!</v>
      </c>
      <c r="GT98" t="e">
        <f>AND(Liste!#REF!,"AAAAAHb/3ck=")</f>
        <v>#REF!</v>
      </c>
      <c r="GU98" t="e">
        <f>AND(Liste!#REF!,"AAAAAHb/3co=")</f>
        <v>#REF!</v>
      </c>
      <c r="GV98" t="e">
        <f>AND(Liste!#REF!,"AAAAAHb/3cs=")</f>
        <v>#REF!</v>
      </c>
      <c r="GW98" t="e">
        <f>AND(Liste!#REF!,"AAAAAHb/3cw=")</f>
        <v>#REF!</v>
      </c>
      <c r="GX98" t="e">
        <f>AND(Liste!#REF!,"AAAAAHb/3c0=")</f>
        <v>#REF!</v>
      </c>
      <c r="GY98" t="e">
        <f>AND(Liste!#REF!,"AAAAAHb/3c4=")</f>
        <v>#REF!</v>
      </c>
      <c r="GZ98" t="e">
        <f>AND(Liste!#REF!,"AAAAAHb/3c8=")</f>
        <v>#REF!</v>
      </c>
      <c r="HA98" t="e">
        <f>AND(Liste!#REF!,"AAAAAHb/3dA=")</f>
        <v>#REF!</v>
      </c>
      <c r="HB98" t="e">
        <f>AND(Liste!#REF!,"AAAAAHb/3dE=")</f>
        <v>#REF!</v>
      </c>
      <c r="HC98" t="e">
        <f>AND(Liste!#REF!,"AAAAAHb/3dI=")</f>
        <v>#REF!</v>
      </c>
      <c r="HD98" t="e">
        <f>AND(Liste!#REF!,"AAAAAHb/3dM=")</f>
        <v>#REF!</v>
      </c>
      <c r="HE98" t="e">
        <f>AND(Liste!#REF!,"AAAAAHb/3dQ=")</f>
        <v>#REF!</v>
      </c>
      <c r="HF98" t="e">
        <f>AND(Liste!#REF!,"AAAAAHb/3dU=")</f>
        <v>#REF!</v>
      </c>
      <c r="HG98" t="e">
        <f>AND(Liste!#REF!,"AAAAAHb/3dY=")</f>
        <v>#REF!</v>
      </c>
      <c r="HH98" t="e">
        <f>AND(Liste!#REF!,"AAAAAHb/3dc=")</f>
        <v>#REF!</v>
      </c>
      <c r="HI98" t="e">
        <f>IF(Liste!#REF!,"AAAAAHb/3dg=",0)</f>
        <v>#REF!</v>
      </c>
      <c r="HJ98" t="e">
        <f>AND(Liste!#REF!,"AAAAAHb/3dk=")</f>
        <v>#REF!</v>
      </c>
      <c r="HK98" t="e">
        <f>AND(Liste!#REF!,"AAAAAHb/3do=")</f>
        <v>#REF!</v>
      </c>
      <c r="HL98" t="e">
        <f>AND(Liste!#REF!,"AAAAAHb/3ds=")</f>
        <v>#REF!</v>
      </c>
      <c r="HM98" t="e">
        <f>AND(Liste!#REF!,"AAAAAHb/3dw=")</f>
        <v>#REF!</v>
      </c>
      <c r="HN98" t="e">
        <f>AND(Liste!#REF!,"AAAAAHb/3d0=")</f>
        <v>#REF!</v>
      </c>
      <c r="HO98" t="e">
        <f>AND(Liste!#REF!,"AAAAAHb/3d4=")</f>
        <v>#REF!</v>
      </c>
      <c r="HP98" t="e">
        <f>AND(Liste!#REF!,"AAAAAHb/3d8=")</f>
        <v>#REF!</v>
      </c>
      <c r="HQ98" t="e">
        <f>AND(Liste!#REF!,"AAAAAHb/3eA=")</f>
        <v>#REF!</v>
      </c>
      <c r="HR98" t="e">
        <f>AND(Liste!#REF!,"AAAAAHb/3eE=")</f>
        <v>#REF!</v>
      </c>
      <c r="HS98" t="e">
        <f>AND(Liste!#REF!,"AAAAAHb/3eI=")</f>
        <v>#REF!</v>
      </c>
      <c r="HT98" t="e">
        <f>AND(Liste!#REF!,"AAAAAHb/3eM=")</f>
        <v>#REF!</v>
      </c>
      <c r="HU98" t="e">
        <f>AND(Liste!#REF!,"AAAAAHb/3eQ=")</f>
        <v>#REF!</v>
      </c>
      <c r="HV98" t="e">
        <f>AND(Liste!#REF!,"AAAAAHb/3eU=")</f>
        <v>#REF!</v>
      </c>
      <c r="HW98" t="e">
        <f>AND(Liste!#REF!,"AAAAAHb/3eY=")</f>
        <v>#REF!</v>
      </c>
      <c r="HX98" t="e">
        <f>AND(Liste!#REF!,"AAAAAHb/3ec=")</f>
        <v>#REF!</v>
      </c>
      <c r="HY98" t="e">
        <f>AND(Liste!#REF!,"AAAAAHb/3eg=")</f>
        <v>#REF!</v>
      </c>
      <c r="HZ98" t="e">
        <f>AND(Liste!#REF!,"AAAAAHb/3ek=")</f>
        <v>#REF!</v>
      </c>
      <c r="IA98" t="e">
        <f>AND(Liste!#REF!,"AAAAAHb/3eo=")</f>
        <v>#REF!</v>
      </c>
      <c r="IB98" t="e">
        <f>AND(Liste!#REF!,"AAAAAHb/3es=")</f>
        <v>#REF!</v>
      </c>
      <c r="IC98" t="e">
        <f>AND(Liste!#REF!,"AAAAAHb/3ew=")</f>
        <v>#REF!</v>
      </c>
      <c r="ID98" t="e">
        <f>AND(Liste!#REF!,"AAAAAHb/3e0=")</f>
        <v>#REF!</v>
      </c>
      <c r="IE98" t="e">
        <f>AND(Liste!#REF!,"AAAAAHb/3e4=")</f>
        <v>#REF!</v>
      </c>
      <c r="IF98" t="e">
        <f>AND(Liste!#REF!,"AAAAAHb/3e8=")</f>
        <v>#REF!</v>
      </c>
      <c r="IG98" t="e">
        <f>AND(Liste!#REF!,"AAAAAHb/3fA=")</f>
        <v>#REF!</v>
      </c>
      <c r="IH98" t="e">
        <f>AND(Liste!#REF!,"AAAAAHb/3fE=")</f>
        <v>#REF!</v>
      </c>
      <c r="II98" t="e">
        <f>AND(Liste!#REF!,"AAAAAHb/3fI=")</f>
        <v>#REF!</v>
      </c>
      <c r="IJ98" t="e">
        <f>AND(Liste!#REF!,"AAAAAHb/3fM=")</f>
        <v>#REF!</v>
      </c>
      <c r="IK98" t="e">
        <f>AND(Liste!#REF!,"AAAAAHb/3fQ=")</f>
        <v>#REF!</v>
      </c>
      <c r="IL98" t="e">
        <f>AND(Liste!#REF!,"AAAAAHb/3fU=")</f>
        <v>#REF!</v>
      </c>
      <c r="IM98" t="e">
        <f>AND(Liste!#REF!,"AAAAAHb/3fY=")</f>
        <v>#REF!</v>
      </c>
      <c r="IN98" t="e">
        <f>IF(Liste!#REF!,"AAAAAHb/3fc=",0)</f>
        <v>#REF!</v>
      </c>
      <c r="IO98" t="e">
        <f>AND(Liste!#REF!,"AAAAAHb/3fg=")</f>
        <v>#REF!</v>
      </c>
      <c r="IP98" t="e">
        <f>AND(Liste!#REF!,"AAAAAHb/3fk=")</f>
        <v>#REF!</v>
      </c>
      <c r="IQ98" t="e">
        <f>AND(Liste!#REF!,"AAAAAHb/3fo=")</f>
        <v>#REF!</v>
      </c>
      <c r="IR98" t="e">
        <f>AND(Liste!#REF!,"AAAAAHb/3fs=")</f>
        <v>#REF!</v>
      </c>
      <c r="IS98" t="e">
        <f>AND(Liste!#REF!,"AAAAAHb/3fw=")</f>
        <v>#REF!</v>
      </c>
      <c r="IT98" t="e">
        <f>AND(Liste!#REF!,"AAAAAHb/3f0=")</f>
        <v>#REF!</v>
      </c>
      <c r="IU98" t="e">
        <f>AND(Liste!#REF!,"AAAAAHb/3f4=")</f>
        <v>#REF!</v>
      </c>
      <c r="IV98" t="e">
        <f>AND(Liste!#REF!,"AAAAAHb/3f8=")</f>
        <v>#REF!</v>
      </c>
    </row>
    <row r="99" spans="1:256" x14ac:dyDescent="0.2">
      <c r="A99" t="e">
        <f>AND(Liste!#REF!,"AAAAADu83wA=")</f>
        <v>#REF!</v>
      </c>
      <c r="B99" t="e">
        <f>AND(Liste!#REF!,"AAAAADu83wE=")</f>
        <v>#REF!</v>
      </c>
      <c r="C99" t="e">
        <f>AND(Liste!#REF!,"AAAAADu83wI=")</f>
        <v>#REF!</v>
      </c>
      <c r="D99" t="e">
        <f>AND(Liste!#REF!,"AAAAADu83wM=")</f>
        <v>#REF!</v>
      </c>
      <c r="E99" t="e">
        <f>AND(Liste!#REF!,"AAAAADu83wQ=")</f>
        <v>#REF!</v>
      </c>
      <c r="F99" t="e">
        <f>AND(Liste!#REF!,"AAAAADu83wU=")</f>
        <v>#REF!</v>
      </c>
      <c r="G99" t="e">
        <f>AND(Liste!#REF!,"AAAAADu83wY=")</f>
        <v>#REF!</v>
      </c>
      <c r="H99" t="e">
        <f>AND(Liste!#REF!,"AAAAADu83wc=")</f>
        <v>#REF!</v>
      </c>
      <c r="I99" t="e">
        <f>AND(Liste!#REF!,"AAAAADu83wg=")</f>
        <v>#REF!</v>
      </c>
      <c r="J99" t="e">
        <f>AND(Liste!#REF!,"AAAAADu83wk=")</f>
        <v>#REF!</v>
      </c>
      <c r="K99" t="e">
        <f>AND(Liste!#REF!,"AAAAADu83wo=")</f>
        <v>#REF!</v>
      </c>
      <c r="L99" t="e">
        <f>AND(Liste!#REF!,"AAAAADu83ws=")</f>
        <v>#REF!</v>
      </c>
      <c r="M99" t="e">
        <f>AND(Liste!#REF!,"AAAAADu83ww=")</f>
        <v>#REF!</v>
      </c>
      <c r="N99" t="e">
        <f>AND(Liste!#REF!,"AAAAADu83w0=")</f>
        <v>#REF!</v>
      </c>
      <c r="O99" t="e">
        <f>AND(Liste!#REF!,"AAAAADu83w4=")</f>
        <v>#REF!</v>
      </c>
      <c r="P99" t="e">
        <f>AND(Liste!#REF!,"AAAAADu83w8=")</f>
        <v>#REF!</v>
      </c>
      <c r="Q99" t="e">
        <f>AND(Liste!#REF!,"AAAAADu83xA=")</f>
        <v>#REF!</v>
      </c>
      <c r="R99" t="e">
        <f>AND(Liste!#REF!,"AAAAADu83xE=")</f>
        <v>#REF!</v>
      </c>
      <c r="S99" t="e">
        <f>AND(Liste!#REF!,"AAAAADu83xI=")</f>
        <v>#REF!</v>
      </c>
      <c r="T99" t="e">
        <f>AND(Liste!#REF!,"AAAAADu83xM=")</f>
        <v>#REF!</v>
      </c>
      <c r="U99" t="e">
        <f>AND(Liste!#REF!,"AAAAADu83xQ=")</f>
        <v>#REF!</v>
      </c>
      <c r="V99" t="e">
        <f>AND(Liste!#REF!,"AAAAADu83xU=")</f>
        <v>#REF!</v>
      </c>
      <c r="W99" t="e">
        <f>IF(Liste!#REF!,"AAAAADu83xY=",0)</f>
        <v>#REF!</v>
      </c>
      <c r="X99" t="e">
        <f>AND(Liste!#REF!,"AAAAADu83xc=")</f>
        <v>#REF!</v>
      </c>
      <c r="Y99" t="e">
        <f>AND(Liste!#REF!,"AAAAADu83xg=")</f>
        <v>#REF!</v>
      </c>
      <c r="Z99" t="e">
        <f>AND(Liste!#REF!,"AAAAADu83xk=")</f>
        <v>#REF!</v>
      </c>
      <c r="AA99" t="e">
        <f>AND(Liste!#REF!,"AAAAADu83xo=")</f>
        <v>#REF!</v>
      </c>
      <c r="AB99" t="e">
        <f>AND(Liste!#REF!,"AAAAADu83xs=")</f>
        <v>#REF!</v>
      </c>
      <c r="AC99" t="e">
        <f>AND(Liste!#REF!,"AAAAADu83xw=")</f>
        <v>#REF!</v>
      </c>
      <c r="AD99" t="e">
        <f>AND(Liste!#REF!,"AAAAADu83x0=")</f>
        <v>#REF!</v>
      </c>
      <c r="AE99" t="e">
        <f>AND(Liste!#REF!,"AAAAADu83x4=")</f>
        <v>#REF!</v>
      </c>
      <c r="AF99" t="e">
        <f>AND(Liste!#REF!,"AAAAADu83x8=")</f>
        <v>#REF!</v>
      </c>
      <c r="AG99" t="e">
        <f>AND(Liste!#REF!,"AAAAADu83yA=")</f>
        <v>#REF!</v>
      </c>
      <c r="AH99" t="e">
        <f>AND(Liste!#REF!,"AAAAADu83yE=")</f>
        <v>#REF!</v>
      </c>
      <c r="AI99" t="e">
        <f>AND(Liste!#REF!,"AAAAADu83yI=")</f>
        <v>#REF!</v>
      </c>
      <c r="AJ99" t="e">
        <f>AND(Liste!#REF!,"AAAAADu83yM=")</f>
        <v>#REF!</v>
      </c>
      <c r="AK99" t="e">
        <f>AND(Liste!#REF!,"AAAAADu83yQ=")</f>
        <v>#REF!</v>
      </c>
      <c r="AL99" t="e">
        <f>AND(Liste!#REF!,"AAAAADu83yU=")</f>
        <v>#REF!</v>
      </c>
      <c r="AM99" t="e">
        <f>AND(Liste!#REF!,"AAAAADu83yY=")</f>
        <v>#REF!</v>
      </c>
      <c r="AN99" t="e">
        <f>AND(Liste!#REF!,"AAAAADu83yc=")</f>
        <v>#REF!</v>
      </c>
      <c r="AO99" t="e">
        <f>AND(Liste!#REF!,"AAAAADu83yg=")</f>
        <v>#REF!</v>
      </c>
      <c r="AP99" t="e">
        <f>AND(Liste!#REF!,"AAAAADu83yk=")</f>
        <v>#REF!</v>
      </c>
      <c r="AQ99" t="e">
        <f>AND(Liste!#REF!,"AAAAADu83yo=")</f>
        <v>#REF!</v>
      </c>
      <c r="AR99" t="e">
        <f>AND(Liste!#REF!,"AAAAADu83ys=")</f>
        <v>#REF!</v>
      </c>
      <c r="AS99" t="e">
        <f>AND(Liste!#REF!,"AAAAADu83yw=")</f>
        <v>#REF!</v>
      </c>
      <c r="AT99" t="e">
        <f>AND(Liste!#REF!,"AAAAADu83y0=")</f>
        <v>#REF!</v>
      </c>
      <c r="AU99" t="e">
        <f>AND(Liste!#REF!,"AAAAADu83y4=")</f>
        <v>#REF!</v>
      </c>
      <c r="AV99" t="e">
        <f>AND(Liste!#REF!,"AAAAADu83y8=")</f>
        <v>#REF!</v>
      </c>
      <c r="AW99" t="e">
        <f>AND(Liste!#REF!,"AAAAADu83zA=")</f>
        <v>#REF!</v>
      </c>
      <c r="AX99" t="e">
        <f>AND(Liste!#REF!,"AAAAADu83zE=")</f>
        <v>#REF!</v>
      </c>
      <c r="AY99" t="e">
        <f>AND(Liste!#REF!,"AAAAADu83zI=")</f>
        <v>#REF!</v>
      </c>
      <c r="AZ99" t="e">
        <f>AND(Liste!#REF!,"AAAAADu83zM=")</f>
        <v>#REF!</v>
      </c>
      <c r="BA99" t="e">
        <f>AND(Liste!#REF!,"AAAAADu83zQ=")</f>
        <v>#REF!</v>
      </c>
      <c r="BB99" t="e">
        <f>IF(Liste!#REF!,"AAAAADu83zU=",0)</f>
        <v>#REF!</v>
      </c>
      <c r="BC99" t="e">
        <f>AND(Liste!#REF!,"AAAAADu83zY=")</f>
        <v>#REF!</v>
      </c>
      <c r="BD99" t="e">
        <f>AND(Liste!#REF!,"AAAAADu83zc=")</f>
        <v>#REF!</v>
      </c>
      <c r="BE99" t="e">
        <f>AND(Liste!#REF!,"AAAAADu83zg=")</f>
        <v>#REF!</v>
      </c>
      <c r="BF99" t="e">
        <f>AND(Liste!#REF!,"AAAAADu83zk=")</f>
        <v>#REF!</v>
      </c>
      <c r="BG99" t="e">
        <f>AND(Liste!#REF!,"AAAAADu83zo=")</f>
        <v>#REF!</v>
      </c>
      <c r="BH99" t="e">
        <f>AND(Liste!#REF!,"AAAAADu83zs=")</f>
        <v>#REF!</v>
      </c>
      <c r="BI99" t="e">
        <f>AND(Liste!#REF!,"AAAAADu83zw=")</f>
        <v>#REF!</v>
      </c>
      <c r="BJ99" t="e">
        <f>AND(Liste!#REF!,"AAAAADu83z0=")</f>
        <v>#REF!</v>
      </c>
      <c r="BK99" t="e">
        <f>AND(Liste!#REF!,"AAAAADu83z4=")</f>
        <v>#REF!</v>
      </c>
      <c r="BL99" t="e">
        <f>AND(Liste!#REF!,"AAAAADu83z8=")</f>
        <v>#REF!</v>
      </c>
      <c r="BM99" t="e">
        <f>AND(Liste!#REF!,"AAAAADu830A=")</f>
        <v>#REF!</v>
      </c>
      <c r="BN99" t="e">
        <f>AND(Liste!#REF!,"AAAAADu830E=")</f>
        <v>#REF!</v>
      </c>
      <c r="BO99" t="e">
        <f>AND(Liste!#REF!,"AAAAADu830I=")</f>
        <v>#REF!</v>
      </c>
      <c r="BP99" t="e">
        <f>AND(Liste!#REF!,"AAAAADu830M=")</f>
        <v>#REF!</v>
      </c>
      <c r="BQ99" t="e">
        <f>AND(Liste!#REF!,"AAAAADu830Q=")</f>
        <v>#REF!</v>
      </c>
      <c r="BR99" t="e">
        <f>AND(Liste!#REF!,"AAAAADu830U=")</f>
        <v>#REF!</v>
      </c>
      <c r="BS99" t="e">
        <f>AND(Liste!#REF!,"AAAAADu830Y=")</f>
        <v>#REF!</v>
      </c>
      <c r="BT99" t="e">
        <f>AND(Liste!#REF!,"AAAAADu830c=")</f>
        <v>#REF!</v>
      </c>
      <c r="BU99" t="e">
        <f>AND(Liste!#REF!,"AAAAADu830g=")</f>
        <v>#REF!</v>
      </c>
      <c r="BV99" t="e">
        <f>AND(Liste!#REF!,"AAAAADu830k=")</f>
        <v>#REF!</v>
      </c>
      <c r="BW99" t="e">
        <f>AND(Liste!#REF!,"AAAAADu830o=")</f>
        <v>#REF!</v>
      </c>
      <c r="BX99" t="e">
        <f>AND(Liste!#REF!,"AAAAADu830s=")</f>
        <v>#REF!</v>
      </c>
      <c r="BY99" t="e">
        <f>AND(Liste!#REF!,"AAAAADu830w=")</f>
        <v>#REF!</v>
      </c>
      <c r="BZ99" t="e">
        <f>AND(Liste!#REF!,"AAAAADu8300=")</f>
        <v>#REF!</v>
      </c>
      <c r="CA99" t="e">
        <f>AND(Liste!#REF!,"AAAAADu8304=")</f>
        <v>#REF!</v>
      </c>
      <c r="CB99" t="e">
        <f>AND(Liste!#REF!,"AAAAADu8308=")</f>
        <v>#REF!</v>
      </c>
      <c r="CC99" t="e">
        <f>AND(Liste!#REF!,"AAAAADu831A=")</f>
        <v>#REF!</v>
      </c>
      <c r="CD99" t="e">
        <f>AND(Liste!#REF!,"AAAAADu831E=")</f>
        <v>#REF!</v>
      </c>
      <c r="CE99" t="e">
        <f>AND(Liste!#REF!,"AAAAADu831I=")</f>
        <v>#REF!</v>
      </c>
      <c r="CF99" t="e">
        <f>AND(Liste!#REF!,"AAAAADu831M=")</f>
        <v>#REF!</v>
      </c>
      <c r="CG99" t="e">
        <f>IF(Liste!#REF!,"AAAAADu831Q=",0)</f>
        <v>#REF!</v>
      </c>
      <c r="CH99" t="e">
        <f>AND(Liste!#REF!,"AAAAADu831U=")</f>
        <v>#REF!</v>
      </c>
      <c r="CI99" t="e">
        <f>AND(Liste!#REF!,"AAAAADu831Y=")</f>
        <v>#REF!</v>
      </c>
      <c r="CJ99" t="e">
        <f>AND(Liste!#REF!,"AAAAADu831c=")</f>
        <v>#REF!</v>
      </c>
      <c r="CK99" t="e">
        <f>AND(Liste!#REF!,"AAAAADu831g=")</f>
        <v>#REF!</v>
      </c>
      <c r="CL99" t="e">
        <f>AND(Liste!#REF!,"AAAAADu831k=")</f>
        <v>#REF!</v>
      </c>
      <c r="CM99" t="e">
        <f>AND(Liste!#REF!,"AAAAADu831o=")</f>
        <v>#REF!</v>
      </c>
      <c r="CN99" t="e">
        <f>AND(Liste!#REF!,"AAAAADu831s=")</f>
        <v>#REF!</v>
      </c>
      <c r="CO99" t="e">
        <f>AND(Liste!#REF!,"AAAAADu831w=")</f>
        <v>#REF!</v>
      </c>
      <c r="CP99" t="e">
        <f>AND(Liste!#REF!,"AAAAADu8310=")</f>
        <v>#REF!</v>
      </c>
      <c r="CQ99" t="e">
        <f>AND(Liste!#REF!,"AAAAADu8314=")</f>
        <v>#REF!</v>
      </c>
      <c r="CR99" t="e">
        <f>AND(Liste!#REF!,"AAAAADu8318=")</f>
        <v>#REF!</v>
      </c>
      <c r="CS99" t="e">
        <f>AND(Liste!#REF!,"AAAAADu832A=")</f>
        <v>#REF!</v>
      </c>
      <c r="CT99" t="e">
        <f>AND(Liste!#REF!,"AAAAADu832E=")</f>
        <v>#REF!</v>
      </c>
      <c r="CU99" t="e">
        <f>AND(Liste!#REF!,"AAAAADu832I=")</f>
        <v>#REF!</v>
      </c>
      <c r="CV99" t="e">
        <f>AND(Liste!#REF!,"AAAAADu832M=")</f>
        <v>#REF!</v>
      </c>
      <c r="CW99" t="e">
        <f>AND(Liste!#REF!,"AAAAADu832Q=")</f>
        <v>#REF!</v>
      </c>
      <c r="CX99" t="e">
        <f>AND(Liste!#REF!,"AAAAADu832U=")</f>
        <v>#REF!</v>
      </c>
      <c r="CY99" t="e">
        <f>AND(Liste!#REF!,"AAAAADu832Y=")</f>
        <v>#REF!</v>
      </c>
      <c r="CZ99" t="e">
        <f>AND(Liste!#REF!,"AAAAADu832c=")</f>
        <v>#REF!</v>
      </c>
      <c r="DA99" t="e">
        <f>AND(Liste!#REF!,"AAAAADu832g=")</f>
        <v>#REF!</v>
      </c>
      <c r="DB99" t="e">
        <f>AND(Liste!#REF!,"AAAAADu832k=")</f>
        <v>#REF!</v>
      </c>
      <c r="DC99" t="e">
        <f>AND(Liste!#REF!,"AAAAADu832o=")</f>
        <v>#REF!</v>
      </c>
      <c r="DD99" t="e">
        <f>AND(Liste!#REF!,"AAAAADu832s=")</f>
        <v>#REF!</v>
      </c>
      <c r="DE99" t="e">
        <f>AND(Liste!#REF!,"AAAAADu832w=")</f>
        <v>#REF!</v>
      </c>
      <c r="DF99" t="e">
        <f>AND(Liste!#REF!,"AAAAADu8320=")</f>
        <v>#REF!</v>
      </c>
      <c r="DG99" t="e">
        <f>AND(Liste!#REF!,"AAAAADu8324=")</f>
        <v>#REF!</v>
      </c>
      <c r="DH99" t="e">
        <f>AND(Liste!#REF!,"AAAAADu8328=")</f>
        <v>#REF!</v>
      </c>
      <c r="DI99" t="e">
        <f>AND(Liste!#REF!,"AAAAADu833A=")</f>
        <v>#REF!</v>
      </c>
      <c r="DJ99" t="e">
        <f>AND(Liste!#REF!,"AAAAADu833E=")</f>
        <v>#REF!</v>
      </c>
      <c r="DK99" t="e">
        <f>AND(Liste!#REF!,"AAAAADu833I=")</f>
        <v>#REF!</v>
      </c>
      <c r="DL99" t="e">
        <f>IF(Liste!#REF!,"AAAAADu833M=",0)</f>
        <v>#REF!</v>
      </c>
      <c r="DM99" t="e">
        <f>AND(Liste!#REF!,"AAAAADu833Q=")</f>
        <v>#REF!</v>
      </c>
      <c r="DN99" t="e">
        <f>AND(Liste!#REF!,"AAAAADu833U=")</f>
        <v>#REF!</v>
      </c>
      <c r="DO99" t="e">
        <f>AND(Liste!#REF!,"AAAAADu833Y=")</f>
        <v>#REF!</v>
      </c>
      <c r="DP99" t="e">
        <f>AND(Liste!#REF!,"AAAAADu833c=")</f>
        <v>#REF!</v>
      </c>
      <c r="DQ99" t="e">
        <f>AND(Liste!#REF!,"AAAAADu833g=")</f>
        <v>#REF!</v>
      </c>
      <c r="DR99" t="e">
        <f>AND(Liste!#REF!,"AAAAADu833k=")</f>
        <v>#REF!</v>
      </c>
      <c r="DS99" t="e">
        <f>AND(Liste!#REF!,"AAAAADu833o=")</f>
        <v>#REF!</v>
      </c>
      <c r="DT99" t="e">
        <f>AND(Liste!#REF!,"AAAAADu833s=")</f>
        <v>#REF!</v>
      </c>
      <c r="DU99" t="e">
        <f>AND(Liste!#REF!,"AAAAADu833w=")</f>
        <v>#REF!</v>
      </c>
      <c r="DV99" t="e">
        <f>AND(Liste!#REF!,"AAAAADu8330=")</f>
        <v>#REF!</v>
      </c>
      <c r="DW99" t="e">
        <f>AND(Liste!#REF!,"AAAAADu8334=")</f>
        <v>#REF!</v>
      </c>
      <c r="DX99" t="e">
        <f>AND(Liste!#REF!,"AAAAADu8338=")</f>
        <v>#REF!</v>
      </c>
      <c r="DY99" t="e">
        <f>AND(Liste!#REF!,"AAAAADu834A=")</f>
        <v>#REF!</v>
      </c>
      <c r="DZ99" t="e">
        <f>AND(Liste!#REF!,"AAAAADu834E=")</f>
        <v>#REF!</v>
      </c>
      <c r="EA99" t="e">
        <f>AND(Liste!#REF!,"AAAAADu834I=")</f>
        <v>#REF!</v>
      </c>
      <c r="EB99" t="e">
        <f>AND(Liste!#REF!,"AAAAADu834M=")</f>
        <v>#REF!</v>
      </c>
      <c r="EC99" t="e">
        <f>AND(Liste!#REF!,"AAAAADu834Q=")</f>
        <v>#REF!</v>
      </c>
      <c r="ED99" t="e">
        <f>AND(Liste!#REF!,"AAAAADu834U=")</f>
        <v>#REF!</v>
      </c>
      <c r="EE99" t="e">
        <f>AND(Liste!#REF!,"AAAAADu834Y=")</f>
        <v>#REF!</v>
      </c>
      <c r="EF99" t="e">
        <f>AND(Liste!#REF!,"AAAAADu834c=")</f>
        <v>#REF!</v>
      </c>
      <c r="EG99" t="e">
        <f>AND(Liste!#REF!,"AAAAADu834g=")</f>
        <v>#REF!</v>
      </c>
      <c r="EH99" t="e">
        <f>AND(Liste!#REF!,"AAAAADu834k=")</f>
        <v>#REF!</v>
      </c>
      <c r="EI99" t="e">
        <f>AND(Liste!#REF!,"AAAAADu834o=")</f>
        <v>#REF!</v>
      </c>
      <c r="EJ99" t="e">
        <f>AND(Liste!#REF!,"AAAAADu834s=")</f>
        <v>#REF!</v>
      </c>
      <c r="EK99" t="e">
        <f>AND(Liste!#REF!,"AAAAADu834w=")</f>
        <v>#REF!</v>
      </c>
      <c r="EL99" t="e">
        <f>AND(Liste!#REF!,"AAAAADu8340=")</f>
        <v>#REF!</v>
      </c>
      <c r="EM99" t="e">
        <f>AND(Liste!#REF!,"AAAAADu8344=")</f>
        <v>#REF!</v>
      </c>
      <c r="EN99" t="e">
        <f>AND(Liste!#REF!,"AAAAADu8348=")</f>
        <v>#REF!</v>
      </c>
      <c r="EO99" t="e">
        <f>AND(Liste!#REF!,"AAAAADu835A=")</f>
        <v>#REF!</v>
      </c>
      <c r="EP99" t="e">
        <f>AND(Liste!#REF!,"AAAAADu835E=")</f>
        <v>#REF!</v>
      </c>
      <c r="EQ99" t="e">
        <f>IF(Liste!#REF!,"AAAAADu835I=",0)</f>
        <v>#REF!</v>
      </c>
      <c r="ER99" t="e">
        <f>AND(Liste!#REF!,"AAAAADu835M=")</f>
        <v>#REF!</v>
      </c>
      <c r="ES99" t="e">
        <f>AND(Liste!#REF!,"AAAAADu835Q=")</f>
        <v>#REF!</v>
      </c>
      <c r="ET99" t="e">
        <f>AND(Liste!#REF!,"AAAAADu835U=")</f>
        <v>#REF!</v>
      </c>
      <c r="EU99" t="e">
        <f>AND(Liste!#REF!,"AAAAADu835Y=")</f>
        <v>#REF!</v>
      </c>
      <c r="EV99" t="e">
        <f>AND(Liste!#REF!,"AAAAADu835c=")</f>
        <v>#REF!</v>
      </c>
      <c r="EW99" t="e">
        <f>AND(Liste!#REF!,"AAAAADu835g=")</f>
        <v>#REF!</v>
      </c>
      <c r="EX99" t="e">
        <f>AND(Liste!#REF!,"AAAAADu835k=")</f>
        <v>#REF!</v>
      </c>
      <c r="EY99" t="e">
        <f>AND(Liste!#REF!,"AAAAADu835o=")</f>
        <v>#REF!</v>
      </c>
      <c r="EZ99" t="e">
        <f>AND(Liste!#REF!,"AAAAADu835s=")</f>
        <v>#REF!</v>
      </c>
      <c r="FA99" t="e">
        <f>AND(Liste!#REF!,"AAAAADu835w=")</f>
        <v>#REF!</v>
      </c>
      <c r="FB99" t="e">
        <f>AND(Liste!#REF!,"AAAAADu8350=")</f>
        <v>#REF!</v>
      </c>
      <c r="FC99" t="e">
        <f>AND(Liste!#REF!,"AAAAADu8354=")</f>
        <v>#REF!</v>
      </c>
      <c r="FD99" t="e">
        <f>AND(Liste!#REF!,"AAAAADu8358=")</f>
        <v>#REF!</v>
      </c>
      <c r="FE99" t="e">
        <f>AND(Liste!#REF!,"AAAAADu836A=")</f>
        <v>#REF!</v>
      </c>
      <c r="FF99" t="e">
        <f>AND(Liste!#REF!,"AAAAADu836E=")</f>
        <v>#REF!</v>
      </c>
      <c r="FG99" t="e">
        <f>AND(Liste!#REF!,"AAAAADu836I=")</f>
        <v>#REF!</v>
      </c>
      <c r="FH99" t="e">
        <f>AND(Liste!#REF!,"AAAAADu836M=")</f>
        <v>#REF!</v>
      </c>
      <c r="FI99" t="e">
        <f>AND(Liste!#REF!,"AAAAADu836Q=")</f>
        <v>#REF!</v>
      </c>
      <c r="FJ99" t="e">
        <f>AND(Liste!#REF!,"AAAAADu836U=")</f>
        <v>#REF!</v>
      </c>
      <c r="FK99" t="e">
        <f>AND(Liste!#REF!,"AAAAADu836Y=")</f>
        <v>#REF!</v>
      </c>
      <c r="FL99" t="e">
        <f>AND(Liste!#REF!,"AAAAADu836c=")</f>
        <v>#REF!</v>
      </c>
      <c r="FM99" t="e">
        <f>AND(Liste!#REF!,"AAAAADu836g=")</f>
        <v>#REF!</v>
      </c>
      <c r="FN99" t="e">
        <f>AND(Liste!#REF!,"AAAAADu836k=")</f>
        <v>#REF!</v>
      </c>
      <c r="FO99" t="e">
        <f>AND(Liste!#REF!,"AAAAADu836o=")</f>
        <v>#REF!</v>
      </c>
      <c r="FP99" t="e">
        <f>AND(Liste!#REF!,"AAAAADu836s=")</f>
        <v>#REF!</v>
      </c>
      <c r="FQ99" t="e">
        <f>AND(Liste!#REF!,"AAAAADu836w=")</f>
        <v>#REF!</v>
      </c>
      <c r="FR99" t="e">
        <f>AND(Liste!#REF!,"AAAAADu8360=")</f>
        <v>#REF!</v>
      </c>
      <c r="FS99" t="e">
        <f>AND(Liste!#REF!,"AAAAADu8364=")</f>
        <v>#REF!</v>
      </c>
      <c r="FT99" t="e">
        <f>AND(Liste!#REF!,"AAAAADu8368=")</f>
        <v>#REF!</v>
      </c>
      <c r="FU99" t="e">
        <f>AND(Liste!#REF!,"AAAAADu837A=")</f>
        <v>#REF!</v>
      </c>
      <c r="FV99" t="e">
        <f>IF(Liste!#REF!,"AAAAADu837E=",0)</f>
        <v>#REF!</v>
      </c>
      <c r="FW99" t="e">
        <f>AND(Liste!#REF!,"AAAAADu837I=")</f>
        <v>#REF!</v>
      </c>
      <c r="FX99" t="e">
        <f>AND(Liste!#REF!,"AAAAADu837M=")</f>
        <v>#REF!</v>
      </c>
      <c r="FY99" t="e">
        <f>AND(Liste!#REF!,"AAAAADu837Q=")</f>
        <v>#REF!</v>
      </c>
      <c r="FZ99" t="e">
        <f>AND(Liste!#REF!,"AAAAADu837U=")</f>
        <v>#REF!</v>
      </c>
      <c r="GA99" t="e">
        <f>AND(Liste!#REF!,"AAAAADu837Y=")</f>
        <v>#REF!</v>
      </c>
      <c r="GB99" t="e">
        <f>AND(Liste!#REF!,"AAAAADu837c=")</f>
        <v>#REF!</v>
      </c>
      <c r="GC99" t="e">
        <f>AND(Liste!#REF!,"AAAAADu837g=")</f>
        <v>#REF!</v>
      </c>
      <c r="GD99" t="e">
        <f>AND(Liste!#REF!,"AAAAADu837k=")</f>
        <v>#REF!</v>
      </c>
      <c r="GE99" t="e">
        <f>AND(Liste!#REF!,"AAAAADu837o=")</f>
        <v>#REF!</v>
      </c>
      <c r="GF99" t="e">
        <f>AND(Liste!#REF!,"AAAAADu837s=")</f>
        <v>#REF!</v>
      </c>
      <c r="GG99" t="e">
        <f>AND(Liste!#REF!,"AAAAADu837w=")</f>
        <v>#REF!</v>
      </c>
      <c r="GH99" t="e">
        <f>AND(Liste!#REF!,"AAAAADu8370=")</f>
        <v>#REF!</v>
      </c>
      <c r="GI99" t="e">
        <f>AND(Liste!#REF!,"AAAAADu8374=")</f>
        <v>#REF!</v>
      </c>
      <c r="GJ99" t="e">
        <f>AND(Liste!#REF!,"AAAAADu8378=")</f>
        <v>#REF!</v>
      </c>
      <c r="GK99" t="e">
        <f>AND(Liste!#REF!,"AAAAADu838A=")</f>
        <v>#REF!</v>
      </c>
      <c r="GL99" t="e">
        <f>AND(Liste!#REF!,"AAAAADu838E=")</f>
        <v>#REF!</v>
      </c>
      <c r="GM99" t="e">
        <f>AND(Liste!#REF!,"AAAAADu838I=")</f>
        <v>#REF!</v>
      </c>
      <c r="GN99" t="e">
        <f>AND(Liste!#REF!,"AAAAADu838M=")</f>
        <v>#REF!</v>
      </c>
      <c r="GO99" t="e">
        <f>AND(Liste!#REF!,"AAAAADu838Q=")</f>
        <v>#REF!</v>
      </c>
      <c r="GP99" t="e">
        <f>AND(Liste!#REF!,"AAAAADu838U=")</f>
        <v>#REF!</v>
      </c>
      <c r="GQ99" t="e">
        <f>AND(Liste!#REF!,"AAAAADu838Y=")</f>
        <v>#REF!</v>
      </c>
      <c r="GR99" t="e">
        <f>AND(Liste!#REF!,"AAAAADu838c=")</f>
        <v>#REF!</v>
      </c>
      <c r="GS99" t="e">
        <f>AND(Liste!#REF!,"AAAAADu838g=")</f>
        <v>#REF!</v>
      </c>
      <c r="GT99" t="e">
        <f>AND(Liste!#REF!,"AAAAADu838k=")</f>
        <v>#REF!</v>
      </c>
      <c r="GU99" t="e">
        <f>AND(Liste!#REF!,"AAAAADu838o=")</f>
        <v>#REF!</v>
      </c>
      <c r="GV99" t="e">
        <f>AND(Liste!#REF!,"AAAAADu838s=")</f>
        <v>#REF!</v>
      </c>
      <c r="GW99" t="e">
        <f>AND(Liste!#REF!,"AAAAADu838w=")</f>
        <v>#REF!</v>
      </c>
      <c r="GX99" t="e">
        <f>AND(Liste!#REF!,"AAAAADu8380=")</f>
        <v>#REF!</v>
      </c>
      <c r="GY99" t="e">
        <f>AND(Liste!#REF!,"AAAAADu8384=")</f>
        <v>#REF!</v>
      </c>
      <c r="GZ99" t="e">
        <f>AND(Liste!#REF!,"AAAAADu8388=")</f>
        <v>#REF!</v>
      </c>
      <c r="HA99" t="e">
        <f>IF(Liste!#REF!,"AAAAADu839A=",0)</f>
        <v>#REF!</v>
      </c>
      <c r="HB99" t="e">
        <f>AND(Liste!#REF!,"AAAAADu839E=")</f>
        <v>#REF!</v>
      </c>
      <c r="HC99" t="e">
        <f>AND(Liste!#REF!,"AAAAADu839I=")</f>
        <v>#REF!</v>
      </c>
      <c r="HD99" t="e">
        <f>AND(Liste!#REF!,"AAAAADu839M=")</f>
        <v>#REF!</v>
      </c>
      <c r="HE99" t="e">
        <f>AND(Liste!#REF!,"AAAAADu839Q=")</f>
        <v>#REF!</v>
      </c>
      <c r="HF99" t="e">
        <f>AND(Liste!#REF!,"AAAAADu839U=")</f>
        <v>#REF!</v>
      </c>
      <c r="HG99" t="e">
        <f>AND(Liste!#REF!,"AAAAADu839Y=")</f>
        <v>#REF!</v>
      </c>
      <c r="HH99" t="e">
        <f>AND(Liste!#REF!,"AAAAADu839c=")</f>
        <v>#REF!</v>
      </c>
      <c r="HI99" t="e">
        <f>AND(Liste!#REF!,"AAAAADu839g=")</f>
        <v>#REF!</v>
      </c>
      <c r="HJ99" t="e">
        <f>AND(Liste!#REF!,"AAAAADu839k=")</f>
        <v>#REF!</v>
      </c>
      <c r="HK99" t="e">
        <f>AND(Liste!#REF!,"AAAAADu839o=")</f>
        <v>#REF!</v>
      </c>
      <c r="HL99" t="e">
        <f>AND(Liste!#REF!,"AAAAADu839s=")</f>
        <v>#REF!</v>
      </c>
      <c r="HM99" t="e">
        <f>AND(Liste!#REF!,"AAAAADu839w=")</f>
        <v>#REF!</v>
      </c>
      <c r="HN99" t="e">
        <f>AND(Liste!#REF!,"AAAAADu8390=")</f>
        <v>#REF!</v>
      </c>
      <c r="HO99" t="e">
        <f>AND(Liste!#REF!,"AAAAADu8394=")</f>
        <v>#REF!</v>
      </c>
      <c r="HP99" t="e">
        <f>AND(Liste!#REF!,"AAAAADu8398=")</f>
        <v>#REF!</v>
      </c>
      <c r="HQ99" t="e">
        <f>AND(Liste!#REF!,"AAAAADu83+A=")</f>
        <v>#REF!</v>
      </c>
      <c r="HR99" t="e">
        <f>AND(Liste!#REF!,"AAAAADu83+E=")</f>
        <v>#REF!</v>
      </c>
      <c r="HS99" t="e">
        <f>AND(Liste!#REF!,"AAAAADu83+I=")</f>
        <v>#REF!</v>
      </c>
      <c r="HT99" t="e">
        <f>AND(Liste!#REF!,"AAAAADu83+M=")</f>
        <v>#REF!</v>
      </c>
      <c r="HU99" t="e">
        <f>AND(Liste!#REF!,"AAAAADu83+Q=")</f>
        <v>#REF!</v>
      </c>
      <c r="HV99" t="e">
        <f>AND(Liste!#REF!,"AAAAADu83+U=")</f>
        <v>#REF!</v>
      </c>
      <c r="HW99" t="e">
        <f>AND(Liste!#REF!,"AAAAADu83+Y=")</f>
        <v>#REF!</v>
      </c>
      <c r="HX99" t="e">
        <f>AND(Liste!#REF!,"AAAAADu83+c=")</f>
        <v>#REF!</v>
      </c>
      <c r="HY99" t="e">
        <f>AND(Liste!#REF!,"AAAAADu83+g=")</f>
        <v>#REF!</v>
      </c>
      <c r="HZ99" t="e">
        <f>AND(Liste!#REF!,"AAAAADu83+k=")</f>
        <v>#REF!</v>
      </c>
      <c r="IA99" t="e">
        <f>AND(Liste!#REF!,"AAAAADu83+o=")</f>
        <v>#REF!</v>
      </c>
      <c r="IB99" t="e">
        <f>AND(Liste!#REF!,"AAAAADu83+s=")</f>
        <v>#REF!</v>
      </c>
      <c r="IC99" t="e">
        <f>AND(Liste!#REF!,"AAAAADu83+w=")</f>
        <v>#REF!</v>
      </c>
      <c r="ID99" t="e">
        <f>AND(Liste!#REF!,"AAAAADu83+0=")</f>
        <v>#REF!</v>
      </c>
      <c r="IE99" t="e">
        <f>AND(Liste!#REF!,"AAAAADu83+4=")</f>
        <v>#REF!</v>
      </c>
      <c r="IF99" t="e">
        <f>IF(Liste!#REF!,"AAAAADu83+8=",0)</f>
        <v>#REF!</v>
      </c>
      <c r="IG99" t="e">
        <f>AND(Liste!#REF!,"AAAAADu83/A=")</f>
        <v>#REF!</v>
      </c>
      <c r="IH99" t="e">
        <f>AND(Liste!#REF!,"AAAAADu83/E=")</f>
        <v>#REF!</v>
      </c>
      <c r="II99" t="e">
        <f>AND(Liste!#REF!,"AAAAADu83/I=")</f>
        <v>#REF!</v>
      </c>
      <c r="IJ99" t="e">
        <f>AND(Liste!#REF!,"AAAAADu83/M=")</f>
        <v>#REF!</v>
      </c>
      <c r="IK99" t="e">
        <f>AND(Liste!#REF!,"AAAAADu83/Q=")</f>
        <v>#REF!</v>
      </c>
      <c r="IL99" t="e">
        <f>AND(Liste!#REF!,"AAAAADu83/U=")</f>
        <v>#REF!</v>
      </c>
      <c r="IM99" t="e">
        <f>AND(Liste!#REF!,"AAAAADu83/Y=")</f>
        <v>#REF!</v>
      </c>
      <c r="IN99" t="e">
        <f>AND(Liste!#REF!,"AAAAADu83/c=")</f>
        <v>#REF!</v>
      </c>
      <c r="IO99" t="e">
        <f>AND(Liste!#REF!,"AAAAADu83/g=")</f>
        <v>#REF!</v>
      </c>
      <c r="IP99" t="e">
        <f>AND(Liste!#REF!,"AAAAADu83/k=")</f>
        <v>#REF!</v>
      </c>
      <c r="IQ99" t="e">
        <f>AND(Liste!#REF!,"AAAAADu83/o=")</f>
        <v>#REF!</v>
      </c>
      <c r="IR99" t="e">
        <f>AND(Liste!#REF!,"AAAAADu83/s=")</f>
        <v>#REF!</v>
      </c>
      <c r="IS99" t="e">
        <f>AND(Liste!#REF!,"AAAAADu83/w=")</f>
        <v>#REF!</v>
      </c>
      <c r="IT99" t="e">
        <f>AND(Liste!#REF!,"AAAAADu83/0=")</f>
        <v>#REF!</v>
      </c>
      <c r="IU99" t="e">
        <f>AND(Liste!#REF!,"AAAAADu83/4=")</f>
        <v>#REF!</v>
      </c>
      <c r="IV99" t="e">
        <f>AND(Liste!#REF!,"AAAAADu83/8=")</f>
        <v>#REF!</v>
      </c>
    </row>
    <row r="100" spans="1:256" x14ac:dyDescent="0.2">
      <c r="A100" t="e">
        <f>AND(Liste!#REF!,"AAAAAC//hwA=")</f>
        <v>#REF!</v>
      </c>
      <c r="B100" t="e">
        <f>AND(Liste!#REF!,"AAAAAC//hwE=")</f>
        <v>#REF!</v>
      </c>
      <c r="C100" t="e">
        <f>AND(Liste!#REF!,"AAAAAC//hwI=")</f>
        <v>#REF!</v>
      </c>
      <c r="D100" t="e">
        <f>AND(Liste!#REF!,"AAAAAC//hwM=")</f>
        <v>#REF!</v>
      </c>
      <c r="E100" t="e">
        <f>AND(Liste!#REF!,"AAAAAC//hwQ=")</f>
        <v>#REF!</v>
      </c>
      <c r="F100" t="e">
        <f>AND(Liste!#REF!,"AAAAAC//hwU=")</f>
        <v>#REF!</v>
      </c>
      <c r="G100" t="e">
        <f>AND(Liste!#REF!,"AAAAAC//hwY=")</f>
        <v>#REF!</v>
      </c>
      <c r="H100" t="e">
        <f>AND(Liste!#REF!,"AAAAAC//hwc=")</f>
        <v>#REF!</v>
      </c>
      <c r="I100" t="e">
        <f>AND(Liste!#REF!,"AAAAAC//hwg=")</f>
        <v>#REF!</v>
      </c>
      <c r="J100" t="e">
        <f>AND(Liste!#REF!,"AAAAAC//hwk=")</f>
        <v>#REF!</v>
      </c>
      <c r="K100" t="e">
        <f>AND(Liste!#REF!,"AAAAAC//hwo=")</f>
        <v>#REF!</v>
      </c>
      <c r="L100" t="e">
        <f>AND(Liste!#REF!,"AAAAAC//hws=")</f>
        <v>#REF!</v>
      </c>
      <c r="M100" t="e">
        <f>AND(Liste!#REF!,"AAAAAC//hww=")</f>
        <v>#REF!</v>
      </c>
      <c r="N100" t="e">
        <f>AND(Liste!#REF!,"AAAAAC//hw0=")</f>
        <v>#REF!</v>
      </c>
      <c r="O100" t="e">
        <f>IF(Liste!#REF!,"AAAAAC//hw4=",0)</f>
        <v>#REF!</v>
      </c>
      <c r="P100" t="e">
        <f>AND(Liste!#REF!,"AAAAAC//hw8=")</f>
        <v>#REF!</v>
      </c>
      <c r="Q100" t="e">
        <f>AND(Liste!#REF!,"AAAAAC//hxA=")</f>
        <v>#REF!</v>
      </c>
      <c r="R100" t="e">
        <f>AND(Liste!#REF!,"AAAAAC//hxE=")</f>
        <v>#REF!</v>
      </c>
      <c r="S100" t="e">
        <f>AND(Liste!#REF!,"AAAAAC//hxI=")</f>
        <v>#REF!</v>
      </c>
      <c r="T100" t="e">
        <f>AND(Liste!#REF!,"AAAAAC//hxM=")</f>
        <v>#REF!</v>
      </c>
      <c r="U100" t="e">
        <f>AND(Liste!#REF!,"AAAAAC//hxQ=")</f>
        <v>#REF!</v>
      </c>
      <c r="V100" t="e">
        <f>AND(Liste!#REF!,"AAAAAC//hxU=")</f>
        <v>#REF!</v>
      </c>
      <c r="W100" t="e">
        <f>AND(Liste!#REF!,"AAAAAC//hxY=")</f>
        <v>#REF!</v>
      </c>
      <c r="X100" t="e">
        <f>AND(Liste!#REF!,"AAAAAC//hxc=")</f>
        <v>#REF!</v>
      </c>
      <c r="Y100" t="e">
        <f>AND(Liste!#REF!,"AAAAAC//hxg=")</f>
        <v>#REF!</v>
      </c>
      <c r="Z100" t="e">
        <f>AND(Liste!#REF!,"AAAAAC//hxk=")</f>
        <v>#REF!</v>
      </c>
      <c r="AA100" t="e">
        <f>AND(Liste!#REF!,"AAAAAC//hxo=")</f>
        <v>#REF!</v>
      </c>
      <c r="AB100" t="e">
        <f>AND(Liste!#REF!,"AAAAAC//hxs=")</f>
        <v>#REF!</v>
      </c>
      <c r="AC100" t="e">
        <f>AND(Liste!#REF!,"AAAAAC//hxw=")</f>
        <v>#REF!</v>
      </c>
      <c r="AD100" t="e">
        <f>AND(Liste!#REF!,"AAAAAC//hx0=")</f>
        <v>#REF!</v>
      </c>
      <c r="AE100" t="e">
        <f>AND(Liste!#REF!,"AAAAAC//hx4=")</f>
        <v>#REF!</v>
      </c>
      <c r="AF100" t="e">
        <f>AND(Liste!#REF!,"AAAAAC//hx8=")</f>
        <v>#REF!</v>
      </c>
      <c r="AG100" t="e">
        <f>AND(Liste!#REF!,"AAAAAC//hyA=")</f>
        <v>#REF!</v>
      </c>
      <c r="AH100" t="e">
        <f>AND(Liste!#REF!,"AAAAAC//hyE=")</f>
        <v>#REF!</v>
      </c>
      <c r="AI100" t="e">
        <f>AND(Liste!#REF!,"AAAAAC//hyI=")</f>
        <v>#REF!</v>
      </c>
      <c r="AJ100" t="e">
        <f>AND(Liste!#REF!,"AAAAAC//hyM=")</f>
        <v>#REF!</v>
      </c>
      <c r="AK100" t="e">
        <f>AND(Liste!#REF!,"AAAAAC//hyQ=")</f>
        <v>#REF!</v>
      </c>
      <c r="AL100" t="e">
        <f>AND(Liste!#REF!,"AAAAAC//hyU=")</f>
        <v>#REF!</v>
      </c>
      <c r="AM100" t="e">
        <f>AND(Liste!#REF!,"AAAAAC//hyY=")</f>
        <v>#REF!</v>
      </c>
      <c r="AN100" t="e">
        <f>AND(Liste!#REF!,"AAAAAC//hyc=")</f>
        <v>#REF!</v>
      </c>
      <c r="AO100" t="e">
        <f>AND(Liste!#REF!,"AAAAAC//hyg=")</f>
        <v>#REF!</v>
      </c>
      <c r="AP100" t="e">
        <f>AND(Liste!#REF!,"AAAAAC//hyk=")</f>
        <v>#REF!</v>
      </c>
      <c r="AQ100" t="e">
        <f>AND(Liste!#REF!,"AAAAAC//hyo=")</f>
        <v>#REF!</v>
      </c>
      <c r="AR100" t="e">
        <f>AND(Liste!#REF!,"AAAAAC//hys=")</f>
        <v>#REF!</v>
      </c>
      <c r="AS100" t="e">
        <f>AND(Liste!#REF!,"AAAAAC//hyw=")</f>
        <v>#REF!</v>
      </c>
      <c r="AT100" t="e">
        <f>IF(Liste!#REF!,"AAAAAC//hy0=",0)</f>
        <v>#REF!</v>
      </c>
      <c r="AU100" t="e">
        <f>AND(Liste!#REF!,"AAAAAC//hy4=")</f>
        <v>#REF!</v>
      </c>
      <c r="AV100" t="e">
        <f>AND(Liste!#REF!,"AAAAAC//hy8=")</f>
        <v>#REF!</v>
      </c>
      <c r="AW100" t="e">
        <f>AND(Liste!#REF!,"AAAAAC//hzA=")</f>
        <v>#REF!</v>
      </c>
      <c r="AX100" t="e">
        <f>AND(Liste!#REF!,"AAAAAC//hzE=")</f>
        <v>#REF!</v>
      </c>
      <c r="AY100" t="e">
        <f>AND(Liste!#REF!,"AAAAAC//hzI=")</f>
        <v>#REF!</v>
      </c>
      <c r="AZ100" t="e">
        <f>AND(Liste!#REF!,"AAAAAC//hzM=")</f>
        <v>#REF!</v>
      </c>
      <c r="BA100" t="e">
        <f>AND(Liste!#REF!,"AAAAAC//hzQ=")</f>
        <v>#REF!</v>
      </c>
      <c r="BB100" t="e">
        <f>AND(Liste!#REF!,"AAAAAC//hzU=")</f>
        <v>#REF!</v>
      </c>
      <c r="BC100" t="e">
        <f>AND(Liste!#REF!,"AAAAAC//hzY=")</f>
        <v>#REF!</v>
      </c>
      <c r="BD100" t="e">
        <f>AND(Liste!#REF!,"AAAAAC//hzc=")</f>
        <v>#REF!</v>
      </c>
      <c r="BE100" t="e">
        <f>AND(Liste!#REF!,"AAAAAC//hzg=")</f>
        <v>#REF!</v>
      </c>
      <c r="BF100" t="e">
        <f>AND(Liste!#REF!,"AAAAAC//hzk=")</f>
        <v>#REF!</v>
      </c>
      <c r="BG100" t="e">
        <f>AND(Liste!#REF!,"AAAAAC//hzo=")</f>
        <v>#REF!</v>
      </c>
      <c r="BH100" t="e">
        <f>AND(Liste!#REF!,"AAAAAC//hzs=")</f>
        <v>#REF!</v>
      </c>
      <c r="BI100" t="e">
        <f>AND(Liste!#REF!,"AAAAAC//hzw=")</f>
        <v>#REF!</v>
      </c>
      <c r="BJ100" t="e">
        <f>AND(Liste!#REF!,"AAAAAC//hz0=")</f>
        <v>#REF!</v>
      </c>
      <c r="BK100" t="e">
        <f>AND(Liste!#REF!,"AAAAAC//hz4=")</f>
        <v>#REF!</v>
      </c>
      <c r="BL100" t="e">
        <f>AND(Liste!#REF!,"AAAAAC//hz8=")</f>
        <v>#REF!</v>
      </c>
      <c r="BM100" t="e">
        <f>AND(Liste!#REF!,"AAAAAC//h0A=")</f>
        <v>#REF!</v>
      </c>
      <c r="BN100" t="e">
        <f>AND(Liste!#REF!,"AAAAAC//h0E=")</f>
        <v>#REF!</v>
      </c>
      <c r="BO100" t="e">
        <f>AND(Liste!#REF!,"AAAAAC//h0I=")</f>
        <v>#REF!</v>
      </c>
      <c r="BP100" t="e">
        <f>AND(Liste!#REF!,"AAAAAC//h0M=")</f>
        <v>#REF!</v>
      </c>
      <c r="BQ100" t="e">
        <f>AND(Liste!#REF!,"AAAAAC//h0Q=")</f>
        <v>#REF!</v>
      </c>
      <c r="BR100" t="e">
        <f>AND(Liste!#REF!,"AAAAAC//h0U=")</f>
        <v>#REF!</v>
      </c>
      <c r="BS100" t="e">
        <f>AND(Liste!#REF!,"AAAAAC//h0Y=")</f>
        <v>#REF!</v>
      </c>
      <c r="BT100" t="e">
        <f>AND(Liste!#REF!,"AAAAAC//h0c=")</f>
        <v>#REF!</v>
      </c>
      <c r="BU100" t="e">
        <f>AND(Liste!#REF!,"AAAAAC//h0g=")</f>
        <v>#REF!</v>
      </c>
      <c r="BV100" t="e">
        <f>AND(Liste!#REF!,"AAAAAC//h0k=")</f>
        <v>#REF!</v>
      </c>
      <c r="BW100" t="e">
        <f>AND(Liste!#REF!,"AAAAAC//h0o=")</f>
        <v>#REF!</v>
      </c>
      <c r="BX100" t="e">
        <f>AND(Liste!#REF!,"AAAAAC//h0s=")</f>
        <v>#REF!</v>
      </c>
      <c r="BY100" t="e">
        <f>IF(Liste!#REF!,"AAAAAC//h0w=",0)</f>
        <v>#REF!</v>
      </c>
      <c r="BZ100" t="e">
        <f>AND(Liste!#REF!,"AAAAAC//h00=")</f>
        <v>#REF!</v>
      </c>
      <c r="CA100" t="e">
        <f>AND(Liste!#REF!,"AAAAAC//h04=")</f>
        <v>#REF!</v>
      </c>
      <c r="CB100" t="e">
        <f>AND(Liste!#REF!,"AAAAAC//h08=")</f>
        <v>#REF!</v>
      </c>
      <c r="CC100" t="e">
        <f>AND(Liste!#REF!,"AAAAAC//h1A=")</f>
        <v>#REF!</v>
      </c>
      <c r="CD100" t="e">
        <f>AND(Liste!#REF!,"AAAAAC//h1E=")</f>
        <v>#REF!</v>
      </c>
      <c r="CE100" t="e">
        <f>AND(Liste!#REF!,"AAAAAC//h1I=")</f>
        <v>#REF!</v>
      </c>
      <c r="CF100" t="e">
        <f>AND(Liste!#REF!,"AAAAAC//h1M=")</f>
        <v>#REF!</v>
      </c>
      <c r="CG100" t="e">
        <f>AND(Liste!#REF!,"AAAAAC//h1Q=")</f>
        <v>#REF!</v>
      </c>
      <c r="CH100" t="e">
        <f>AND(Liste!#REF!,"AAAAAC//h1U=")</f>
        <v>#REF!</v>
      </c>
      <c r="CI100" t="e">
        <f>AND(Liste!#REF!,"AAAAAC//h1Y=")</f>
        <v>#REF!</v>
      </c>
      <c r="CJ100" t="e">
        <f>AND(Liste!#REF!,"AAAAAC//h1c=")</f>
        <v>#REF!</v>
      </c>
      <c r="CK100" t="e">
        <f>AND(Liste!#REF!,"AAAAAC//h1g=")</f>
        <v>#REF!</v>
      </c>
      <c r="CL100" t="e">
        <f>AND(Liste!#REF!,"AAAAAC//h1k=")</f>
        <v>#REF!</v>
      </c>
      <c r="CM100" t="e">
        <f>AND(Liste!#REF!,"AAAAAC//h1o=")</f>
        <v>#REF!</v>
      </c>
      <c r="CN100" t="e">
        <f>AND(Liste!#REF!,"AAAAAC//h1s=")</f>
        <v>#REF!</v>
      </c>
      <c r="CO100" t="e">
        <f>AND(Liste!#REF!,"AAAAAC//h1w=")</f>
        <v>#REF!</v>
      </c>
      <c r="CP100" t="e">
        <f>AND(Liste!#REF!,"AAAAAC//h10=")</f>
        <v>#REF!</v>
      </c>
      <c r="CQ100" t="e">
        <f>AND(Liste!#REF!,"AAAAAC//h14=")</f>
        <v>#REF!</v>
      </c>
      <c r="CR100" t="e">
        <f>AND(Liste!#REF!,"AAAAAC//h18=")</f>
        <v>#REF!</v>
      </c>
      <c r="CS100" t="e">
        <f>AND(Liste!#REF!,"AAAAAC//h2A=")</f>
        <v>#REF!</v>
      </c>
      <c r="CT100" t="e">
        <f>AND(Liste!#REF!,"AAAAAC//h2E=")</f>
        <v>#REF!</v>
      </c>
      <c r="CU100" t="e">
        <f>AND(Liste!#REF!,"AAAAAC//h2I=")</f>
        <v>#REF!</v>
      </c>
      <c r="CV100" t="e">
        <f>AND(Liste!#REF!,"AAAAAC//h2M=")</f>
        <v>#REF!</v>
      </c>
      <c r="CW100" t="e">
        <f>AND(Liste!#REF!,"AAAAAC//h2Q=")</f>
        <v>#REF!</v>
      </c>
      <c r="CX100" t="e">
        <f>AND(Liste!#REF!,"AAAAAC//h2U=")</f>
        <v>#REF!</v>
      </c>
      <c r="CY100" t="e">
        <f>AND(Liste!#REF!,"AAAAAC//h2Y=")</f>
        <v>#REF!</v>
      </c>
      <c r="CZ100" t="e">
        <f>AND(Liste!#REF!,"AAAAAC//h2c=")</f>
        <v>#REF!</v>
      </c>
      <c r="DA100" t="e">
        <f>AND(Liste!#REF!,"AAAAAC//h2g=")</f>
        <v>#REF!</v>
      </c>
      <c r="DB100" t="e">
        <f>AND(Liste!#REF!,"AAAAAC//h2k=")</f>
        <v>#REF!</v>
      </c>
      <c r="DC100" t="e">
        <f>AND(Liste!#REF!,"AAAAAC//h2o=")</f>
        <v>#REF!</v>
      </c>
      <c r="DD100" t="e">
        <f>IF(Liste!#REF!,"AAAAAC//h2s=",0)</f>
        <v>#REF!</v>
      </c>
      <c r="DE100" t="e">
        <f>AND(Liste!#REF!,"AAAAAC//h2w=")</f>
        <v>#REF!</v>
      </c>
      <c r="DF100" t="e">
        <f>AND(Liste!#REF!,"AAAAAC//h20=")</f>
        <v>#REF!</v>
      </c>
      <c r="DG100" t="e">
        <f>AND(Liste!#REF!,"AAAAAC//h24=")</f>
        <v>#REF!</v>
      </c>
      <c r="DH100" t="e">
        <f>AND(Liste!#REF!,"AAAAAC//h28=")</f>
        <v>#REF!</v>
      </c>
      <c r="DI100" t="e">
        <f>AND(Liste!#REF!,"AAAAAC//h3A=")</f>
        <v>#REF!</v>
      </c>
      <c r="DJ100" t="e">
        <f>AND(Liste!#REF!,"AAAAAC//h3E=")</f>
        <v>#REF!</v>
      </c>
      <c r="DK100" t="e">
        <f>AND(Liste!#REF!,"AAAAAC//h3I=")</f>
        <v>#REF!</v>
      </c>
      <c r="DL100" t="e">
        <f>AND(Liste!#REF!,"AAAAAC//h3M=")</f>
        <v>#REF!</v>
      </c>
      <c r="DM100" t="e">
        <f>AND(Liste!#REF!,"AAAAAC//h3Q=")</f>
        <v>#REF!</v>
      </c>
      <c r="DN100" t="e">
        <f>AND(Liste!#REF!,"AAAAAC//h3U=")</f>
        <v>#REF!</v>
      </c>
      <c r="DO100" t="e">
        <f>AND(Liste!#REF!,"AAAAAC//h3Y=")</f>
        <v>#REF!</v>
      </c>
      <c r="DP100" t="e">
        <f>AND(Liste!#REF!,"AAAAAC//h3c=")</f>
        <v>#REF!</v>
      </c>
      <c r="DQ100" t="e">
        <f>AND(Liste!#REF!,"AAAAAC//h3g=")</f>
        <v>#REF!</v>
      </c>
      <c r="DR100" t="e">
        <f>AND(Liste!#REF!,"AAAAAC//h3k=")</f>
        <v>#REF!</v>
      </c>
      <c r="DS100" t="e">
        <f>AND(Liste!#REF!,"AAAAAC//h3o=")</f>
        <v>#REF!</v>
      </c>
      <c r="DT100" t="e">
        <f>AND(Liste!#REF!,"AAAAAC//h3s=")</f>
        <v>#REF!</v>
      </c>
      <c r="DU100" t="e">
        <f>AND(Liste!#REF!,"AAAAAC//h3w=")</f>
        <v>#REF!</v>
      </c>
      <c r="DV100" t="e">
        <f>AND(Liste!#REF!,"AAAAAC//h30=")</f>
        <v>#REF!</v>
      </c>
      <c r="DW100" t="e">
        <f>AND(Liste!#REF!,"AAAAAC//h34=")</f>
        <v>#REF!</v>
      </c>
      <c r="DX100" t="e">
        <f>AND(Liste!#REF!,"AAAAAC//h38=")</f>
        <v>#REF!</v>
      </c>
      <c r="DY100" t="e">
        <f>AND(Liste!#REF!,"AAAAAC//h4A=")</f>
        <v>#REF!</v>
      </c>
      <c r="DZ100" t="e">
        <f>AND(Liste!#REF!,"AAAAAC//h4E=")</f>
        <v>#REF!</v>
      </c>
      <c r="EA100" t="e">
        <f>AND(Liste!#REF!,"AAAAAC//h4I=")</f>
        <v>#REF!</v>
      </c>
      <c r="EB100" t="e">
        <f>AND(Liste!#REF!,"AAAAAC//h4M=")</f>
        <v>#REF!</v>
      </c>
      <c r="EC100" t="e">
        <f>AND(Liste!#REF!,"AAAAAC//h4Q=")</f>
        <v>#REF!</v>
      </c>
      <c r="ED100" t="e">
        <f>AND(Liste!#REF!,"AAAAAC//h4U=")</f>
        <v>#REF!</v>
      </c>
      <c r="EE100" t="e">
        <f>AND(Liste!#REF!,"AAAAAC//h4Y=")</f>
        <v>#REF!</v>
      </c>
      <c r="EF100" t="e">
        <f>AND(Liste!#REF!,"AAAAAC//h4c=")</f>
        <v>#REF!</v>
      </c>
      <c r="EG100" t="e">
        <f>AND(Liste!#REF!,"AAAAAC//h4g=")</f>
        <v>#REF!</v>
      </c>
      <c r="EH100" t="e">
        <f>AND(Liste!#REF!,"AAAAAC//h4k=")</f>
        <v>#REF!</v>
      </c>
      <c r="EI100" t="e">
        <f>IF(Liste!#REF!,"AAAAAC//h4o=",0)</f>
        <v>#REF!</v>
      </c>
      <c r="EJ100" t="e">
        <f>AND(Liste!#REF!,"AAAAAC//h4s=")</f>
        <v>#REF!</v>
      </c>
      <c r="EK100" t="e">
        <f>AND(Liste!#REF!,"AAAAAC//h4w=")</f>
        <v>#REF!</v>
      </c>
      <c r="EL100" t="e">
        <f>AND(Liste!#REF!,"AAAAAC//h40=")</f>
        <v>#REF!</v>
      </c>
      <c r="EM100" t="e">
        <f>AND(Liste!#REF!,"AAAAAC//h44=")</f>
        <v>#REF!</v>
      </c>
      <c r="EN100" t="e">
        <f>AND(Liste!#REF!,"AAAAAC//h48=")</f>
        <v>#REF!</v>
      </c>
      <c r="EO100" t="e">
        <f>AND(Liste!#REF!,"AAAAAC//h5A=")</f>
        <v>#REF!</v>
      </c>
      <c r="EP100" t="e">
        <f>AND(Liste!#REF!,"AAAAAC//h5E=")</f>
        <v>#REF!</v>
      </c>
      <c r="EQ100" t="e">
        <f>AND(Liste!#REF!,"AAAAAC//h5I=")</f>
        <v>#REF!</v>
      </c>
      <c r="ER100" t="e">
        <f>AND(Liste!#REF!,"AAAAAC//h5M=")</f>
        <v>#REF!</v>
      </c>
      <c r="ES100" t="e">
        <f>AND(Liste!#REF!,"AAAAAC//h5Q=")</f>
        <v>#REF!</v>
      </c>
      <c r="ET100" t="e">
        <f>AND(Liste!#REF!,"AAAAAC//h5U=")</f>
        <v>#REF!</v>
      </c>
      <c r="EU100" t="e">
        <f>AND(Liste!#REF!,"AAAAAC//h5Y=")</f>
        <v>#REF!</v>
      </c>
      <c r="EV100" t="e">
        <f>AND(Liste!#REF!,"AAAAAC//h5c=")</f>
        <v>#REF!</v>
      </c>
      <c r="EW100" t="e">
        <f>AND(Liste!#REF!,"AAAAAC//h5g=")</f>
        <v>#REF!</v>
      </c>
      <c r="EX100" t="e">
        <f>AND(Liste!#REF!,"AAAAAC//h5k=")</f>
        <v>#REF!</v>
      </c>
      <c r="EY100" t="e">
        <f>AND(Liste!#REF!,"AAAAAC//h5o=")</f>
        <v>#REF!</v>
      </c>
      <c r="EZ100" t="e">
        <f>AND(Liste!#REF!,"AAAAAC//h5s=")</f>
        <v>#REF!</v>
      </c>
      <c r="FA100" t="e">
        <f>AND(Liste!#REF!,"AAAAAC//h5w=")</f>
        <v>#REF!</v>
      </c>
      <c r="FB100" t="e">
        <f>AND(Liste!#REF!,"AAAAAC//h50=")</f>
        <v>#REF!</v>
      </c>
      <c r="FC100" t="e">
        <f>AND(Liste!#REF!,"AAAAAC//h54=")</f>
        <v>#REF!</v>
      </c>
      <c r="FD100" t="e">
        <f>AND(Liste!#REF!,"AAAAAC//h58=")</f>
        <v>#REF!</v>
      </c>
      <c r="FE100" t="e">
        <f>AND(Liste!#REF!,"AAAAAC//h6A=")</f>
        <v>#REF!</v>
      </c>
      <c r="FF100" t="e">
        <f>AND(Liste!#REF!,"AAAAAC//h6E=")</f>
        <v>#REF!</v>
      </c>
      <c r="FG100" t="e">
        <f>AND(Liste!#REF!,"AAAAAC//h6I=")</f>
        <v>#REF!</v>
      </c>
      <c r="FH100" t="e">
        <f>AND(Liste!#REF!,"AAAAAC//h6M=")</f>
        <v>#REF!</v>
      </c>
      <c r="FI100" t="e">
        <f>AND(Liste!#REF!,"AAAAAC//h6Q=")</f>
        <v>#REF!</v>
      </c>
      <c r="FJ100" t="e">
        <f>AND(Liste!#REF!,"AAAAAC//h6U=")</f>
        <v>#REF!</v>
      </c>
      <c r="FK100" t="e">
        <f>AND(Liste!#REF!,"AAAAAC//h6Y=")</f>
        <v>#REF!</v>
      </c>
      <c r="FL100" t="e">
        <f>AND(Liste!#REF!,"AAAAAC//h6c=")</f>
        <v>#REF!</v>
      </c>
      <c r="FM100" t="e">
        <f>AND(Liste!#REF!,"AAAAAC//h6g=")</f>
        <v>#REF!</v>
      </c>
      <c r="FN100" t="e">
        <f>IF(Liste!#REF!,"AAAAAC//h6k=",0)</f>
        <v>#REF!</v>
      </c>
      <c r="FO100" t="e">
        <f>AND(Liste!#REF!,"AAAAAC//h6o=")</f>
        <v>#REF!</v>
      </c>
      <c r="FP100" t="e">
        <f>AND(Liste!#REF!,"AAAAAC//h6s=")</f>
        <v>#REF!</v>
      </c>
      <c r="FQ100" t="e">
        <f>AND(Liste!#REF!,"AAAAAC//h6w=")</f>
        <v>#REF!</v>
      </c>
      <c r="FR100" t="e">
        <f>AND(Liste!#REF!,"AAAAAC//h60=")</f>
        <v>#REF!</v>
      </c>
      <c r="FS100" t="e">
        <f>AND(Liste!#REF!,"AAAAAC//h64=")</f>
        <v>#REF!</v>
      </c>
      <c r="FT100" t="e">
        <f>AND(Liste!#REF!,"AAAAAC//h68=")</f>
        <v>#REF!</v>
      </c>
      <c r="FU100" t="e">
        <f>AND(Liste!#REF!,"AAAAAC//h7A=")</f>
        <v>#REF!</v>
      </c>
      <c r="FV100" t="e">
        <f>AND(Liste!#REF!,"AAAAAC//h7E=")</f>
        <v>#REF!</v>
      </c>
      <c r="FW100" t="e">
        <f>AND(Liste!#REF!,"AAAAAC//h7I=")</f>
        <v>#REF!</v>
      </c>
      <c r="FX100" t="e">
        <f>AND(Liste!#REF!,"AAAAAC//h7M=")</f>
        <v>#REF!</v>
      </c>
      <c r="FY100" t="e">
        <f>AND(Liste!#REF!,"AAAAAC//h7Q=")</f>
        <v>#REF!</v>
      </c>
      <c r="FZ100" t="e">
        <f>AND(Liste!#REF!,"AAAAAC//h7U=")</f>
        <v>#REF!</v>
      </c>
      <c r="GA100" t="e">
        <f>AND(Liste!#REF!,"AAAAAC//h7Y=")</f>
        <v>#REF!</v>
      </c>
      <c r="GB100" t="e">
        <f>AND(Liste!#REF!,"AAAAAC//h7c=")</f>
        <v>#REF!</v>
      </c>
      <c r="GC100" t="e">
        <f>AND(Liste!#REF!,"AAAAAC//h7g=")</f>
        <v>#REF!</v>
      </c>
      <c r="GD100" t="e">
        <f>AND(Liste!#REF!,"AAAAAC//h7k=")</f>
        <v>#REF!</v>
      </c>
      <c r="GE100" t="e">
        <f>AND(Liste!#REF!,"AAAAAC//h7o=")</f>
        <v>#REF!</v>
      </c>
      <c r="GF100" t="e">
        <f>AND(Liste!#REF!,"AAAAAC//h7s=")</f>
        <v>#REF!</v>
      </c>
      <c r="GG100" t="e">
        <f>AND(Liste!#REF!,"AAAAAC//h7w=")</f>
        <v>#REF!</v>
      </c>
      <c r="GH100" t="e">
        <f>AND(Liste!#REF!,"AAAAAC//h70=")</f>
        <v>#REF!</v>
      </c>
      <c r="GI100" t="e">
        <f>AND(Liste!#REF!,"AAAAAC//h74=")</f>
        <v>#REF!</v>
      </c>
      <c r="GJ100" t="e">
        <f>AND(Liste!#REF!,"AAAAAC//h78=")</f>
        <v>#REF!</v>
      </c>
      <c r="GK100" t="e">
        <f>AND(Liste!#REF!,"AAAAAC//h8A=")</f>
        <v>#REF!</v>
      </c>
      <c r="GL100" t="e">
        <f>AND(Liste!#REF!,"AAAAAC//h8E=")</f>
        <v>#REF!</v>
      </c>
      <c r="GM100" t="e">
        <f>AND(Liste!#REF!,"AAAAAC//h8I=")</f>
        <v>#REF!</v>
      </c>
      <c r="GN100" t="e">
        <f>AND(Liste!#REF!,"AAAAAC//h8M=")</f>
        <v>#REF!</v>
      </c>
      <c r="GO100" t="e">
        <f>AND(Liste!#REF!,"AAAAAC//h8Q=")</f>
        <v>#REF!</v>
      </c>
      <c r="GP100" t="e">
        <f>AND(Liste!#REF!,"AAAAAC//h8U=")</f>
        <v>#REF!</v>
      </c>
      <c r="GQ100" t="e">
        <f>AND(Liste!#REF!,"AAAAAC//h8Y=")</f>
        <v>#REF!</v>
      </c>
      <c r="GR100" t="e">
        <f>AND(Liste!#REF!,"AAAAAC//h8c=")</f>
        <v>#REF!</v>
      </c>
      <c r="GS100" t="e">
        <f>IF(Liste!#REF!,"AAAAAC//h8g=",0)</f>
        <v>#REF!</v>
      </c>
      <c r="GT100" t="e">
        <f>AND(Liste!#REF!,"AAAAAC//h8k=")</f>
        <v>#REF!</v>
      </c>
      <c r="GU100" t="e">
        <f>AND(Liste!#REF!,"AAAAAC//h8o=")</f>
        <v>#REF!</v>
      </c>
      <c r="GV100" t="e">
        <f>AND(Liste!#REF!,"AAAAAC//h8s=")</f>
        <v>#REF!</v>
      </c>
      <c r="GW100" t="e">
        <f>AND(Liste!#REF!,"AAAAAC//h8w=")</f>
        <v>#REF!</v>
      </c>
      <c r="GX100" t="e">
        <f>AND(Liste!#REF!,"AAAAAC//h80=")</f>
        <v>#REF!</v>
      </c>
      <c r="GY100" t="e">
        <f>AND(Liste!#REF!,"AAAAAC//h84=")</f>
        <v>#REF!</v>
      </c>
      <c r="GZ100" t="e">
        <f>AND(Liste!#REF!,"AAAAAC//h88=")</f>
        <v>#REF!</v>
      </c>
      <c r="HA100" t="e">
        <f>AND(Liste!#REF!,"AAAAAC//h9A=")</f>
        <v>#REF!</v>
      </c>
      <c r="HB100" t="e">
        <f>AND(Liste!#REF!,"AAAAAC//h9E=")</f>
        <v>#REF!</v>
      </c>
      <c r="HC100" t="e">
        <f>AND(Liste!#REF!,"AAAAAC//h9I=")</f>
        <v>#REF!</v>
      </c>
      <c r="HD100" t="e">
        <f>AND(Liste!#REF!,"AAAAAC//h9M=")</f>
        <v>#REF!</v>
      </c>
      <c r="HE100" t="e">
        <f>AND(Liste!#REF!,"AAAAAC//h9Q=")</f>
        <v>#REF!</v>
      </c>
      <c r="HF100" t="e">
        <f>AND(Liste!#REF!,"AAAAAC//h9U=")</f>
        <v>#REF!</v>
      </c>
      <c r="HG100" t="e">
        <f>AND(Liste!#REF!,"AAAAAC//h9Y=")</f>
        <v>#REF!</v>
      </c>
      <c r="HH100" t="e">
        <f>AND(Liste!#REF!,"AAAAAC//h9c=")</f>
        <v>#REF!</v>
      </c>
      <c r="HI100" t="e">
        <f>AND(Liste!#REF!,"AAAAAC//h9g=")</f>
        <v>#REF!</v>
      </c>
      <c r="HJ100" t="e">
        <f>AND(Liste!#REF!,"AAAAAC//h9k=")</f>
        <v>#REF!</v>
      </c>
      <c r="HK100" t="e">
        <f>AND(Liste!#REF!,"AAAAAC//h9o=")</f>
        <v>#REF!</v>
      </c>
      <c r="HL100" t="e">
        <f>AND(Liste!#REF!,"AAAAAC//h9s=")</f>
        <v>#REF!</v>
      </c>
      <c r="HM100" t="e">
        <f>AND(Liste!#REF!,"AAAAAC//h9w=")</f>
        <v>#REF!</v>
      </c>
      <c r="HN100" t="e">
        <f>AND(Liste!#REF!,"AAAAAC//h90=")</f>
        <v>#REF!</v>
      </c>
      <c r="HO100" t="e">
        <f>AND(Liste!#REF!,"AAAAAC//h94=")</f>
        <v>#REF!</v>
      </c>
      <c r="HP100" t="e">
        <f>AND(Liste!#REF!,"AAAAAC//h98=")</f>
        <v>#REF!</v>
      </c>
      <c r="HQ100" t="e">
        <f>AND(Liste!#REF!,"AAAAAC//h+A=")</f>
        <v>#REF!</v>
      </c>
      <c r="HR100" t="e">
        <f>AND(Liste!#REF!,"AAAAAC//h+E=")</f>
        <v>#REF!</v>
      </c>
      <c r="HS100" t="e">
        <f>AND(Liste!#REF!,"AAAAAC//h+I=")</f>
        <v>#REF!</v>
      </c>
      <c r="HT100" t="e">
        <f>AND(Liste!#REF!,"AAAAAC//h+M=")</f>
        <v>#REF!</v>
      </c>
      <c r="HU100" t="e">
        <f>AND(Liste!#REF!,"AAAAAC//h+Q=")</f>
        <v>#REF!</v>
      </c>
      <c r="HV100" t="e">
        <f>AND(Liste!#REF!,"AAAAAC//h+U=")</f>
        <v>#REF!</v>
      </c>
      <c r="HW100" t="e">
        <f>AND(Liste!#REF!,"AAAAAC//h+Y=")</f>
        <v>#REF!</v>
      </c>
      <c r="HX100" t="e">
        <f>IF(Liste!#REF!,"AAAAAC//h+c=",0)</f>
        <v>#REF!</v>
      </c>
      <c r="HY100" t="e">
        <f>AND(Liste!#REF!,"AAAAAC//h+g=")</f>
        <v>#REF!</v>
      </c>
      <c r="HZ100" t="e">
        <f>AND(Liste!#REF!,"AAAAAC//h+k=")</f>
        <v>#REF!</v>
      </c>
      <c r="IA100" t="e">
        <f>AND(Liste!#REF!,"AAAAAC//h+o=")</f>
        <v>#REF!</v>
      </c>
      <c r="IB100" t="e">
        <f>AND(Liste!#REF!,"AAAAAC//h+s=")</f>
        <v>#REF!</v>
      </c>
      <c r="IC100" t="e">
        <f>AND(Liste!#REF!,"AAAAAC//h+w=")</f>
        <v>#REF!</v>
      </c>
      <c r="ID100" t="e">
        <f>AND(Liste!#REF!,"AAAAAC//h+0=")</f>
        <v>#REF!</v>
      </c>
      <c r="IE100" t="e">
        <f>AND(Liste!#REF!,"AAAAAC//h+4=")</f>
        <v>#REF!</v>
      </c>
      <c r="IF100" t="e">
        <f>AND(Liste!#REF!,"AAAAAC//h+8=")</f>
        <v>#REF!</v>
      </c>
      <c r="IG100" t="e">
        <f>AND(Liste!#REF!,"AAAAAC//h/A=")</f>
        <v>#REF!</v>
      </c>
      <c r="IH100" t="e">
        <f>AND(Liste!#REF!,"AAAAAC//h/E=")</f>
        <v>#REF!</v>
      </c>
      <c r="II100" t="e">
        <f>AND(Liste!#REF!,"AAAAAC//h/I=")</f>
        <v>#REF!</v>
      </c>
      <c r="IJ100" t="e">
        <f>AND(Liste!#REF!,"AAAAAC//h/M=")</f>
        <v>#REF!</v>
      </c>
      <c r="IK100" t="e">
        <f>AND(Liste!#REF!,"AAAAAC//h/Q=")</f>
        <v>#REF!</v>
      </c>
      <c r="IL100" t="e">
        <f>AND(Liste!#REF!,"AAAAAC//h/U=")</f>
        <v>#REF!</v>
      </c>
      <c r="IM100" t="e">
        <f>AND(Liste!#REF!,"AAAAAC//h/Y=")</f>
        <v>#REF!</v>
      </c>
      <c r="IN100" t="e">
        <f>AND(Liste!#REF!,"AAAAAC//h/c=")</f>
        <v>#REF!</v>
      </c>
      <c r="IO100" t="e">
        <f>AND(Liste!#REF!,"AAAAAC//h/g=")</f>
        <v>#REF!</v>
      </c>
      <c r="IP100" t="e">
        <f>AND(Liste!#REF!,"AAAAAC//h/k=")</f>
        <v>#REF!</v>
      </c>
      <c r="IQ100" t="e">
        <f>AND(Liste!#REF!,"AAAAAC//h/o=")</f>
        <v>#REF!</v>
      </c>
      <c r="IR100" t="e">
        <f>AND(Liste!#REF!,"AAAAAC//h/s=")</f>
        <v>#REF!</v>
      </c>
      <c r="IS100" t="e">
        <f>AND(Liste!#REF!,"AAAAAC//h/w=")</f>
        <v>#REF!</v>
      </c>
      <c r="IT100" t="e">
        <f>AND(Liste!#REF!,"AAAAAC//h/0=")</f>
        <v>#REF!</v>
      </c>
      <c r="IU100" t="e">
        <f>AND(Liste!#REF!,"AAAAAC//h/4=")</f>
        <v>#REF!</v>
      </c>
      <c r="IV100" t="e">
        <f>AND(Liste!#REF!,"AAAAAC//h/8=")</f>
        <v>#REF!</v>
      </c>
    </row>
    <row r="101" spans="1:256" x14ac:dyDescent="0.2">
      <c r="A101" t="e">
        <f>AND(Liste!#REF!,"AAAAAD56/wA=")</f>
        <v>#REF!</v>
      </c>
      <c r="B101" t="e">
        <f>AND(Liste!#REF!,"AAAAAD56/wE=")</f>
        <v>#REF!</v>
      </c>
      <c r="C101" t="e">
        <f>AND(Liste!#REF!,"AAAAAD56/wI=")</f>
        <v>#REF!</v>
      </c>
      <c r="D101" t="e">
        <f>AND(Liste!#REF!,"AAAAAD56/wM=")</f>
        <v>#REF!</v>
      </c>
      <c r="E101" t="e">
        <f>AND(Liste!#REF!,"AAAAAD56/wQ=")</f>
        <v>#REF!</v>
      </c>
      <c r="F101" t="e">
        <f>AND(Liste!#REF!,"AAAAAD56/wU=")</f>
        <v>#REF!</v>
      </c>
      <c r="G101" t="e">
        <f>IF(Liste!#REF!,"AAAAAD56/wY=",0)</f>
        <v>#REF!</v>
      </c>
      <c r="H101" t="e">
        <f>AND(Liste!#REF!,"AAAAAD56/wc=")</f>
        <v>#REF!</v>
      </c>
      <c r="I101" t="e">
        <f>AND(Liste!#REF!,"AAAAAD56/wg=")</f>
        <v>#REF!</v>
      </c>
      <c r="J101" t="e">
        <f>AND(Liste!#REF!,"AAAAAD56/wk=")</f>
        <v>#REF!</v>
      </c>
      <c r="K101" t="e">
        <f>AND(Liste!#REF!,"AAAAAD56/wo=")</f>
        <v>#REF!</v>
      </c>
      <c r="L101" t="e">
        <f>AND(Liste!#REF!,"AAAAAD56/ws=")</f>
        <v>#REF!</v>
      </c>
      <c r="M101" t="e">
        <f>AND(Liste!#REF!,"AAAAAD56/ww=")</f>
        <v>#REF!</v>
      </c>
      <c r="N101" t="e">
        <f>AND(Liste!#REF!,"AAAAAD56/w0=")</f>
        <v>#REF!</v>
      </c>
      <c r="O101" t="e">
        <f>AND(Liste!#REF!,"AAAAAD56/w4=")</f>
        <v>#REF!</v>
      </c>
      <c r="P101" t="e">
        <f>AND(Liste!#REF!,"AAAAAD56/w8=")</f>
        <v>#REF!</v>
      </c>
      <c r="Q101" t="e">
        <f>AND(Liste!#REF!,"AAAAAD56/xA=")</f>
        <v>#REF!</v>
      </c>
      <c r="R101" t="e">
        <f>AND(Liste!#REF!,"AAAAAD56/xE=")</f>
        <v>#REF!</v>
      </c>
      <c r="S101" t="e">
        <f>AND(Liste!#REF!,"AAAAAD56/xI=")</f>
        <v>#REF!</v>
      </c>
      <c r="T101" t="e">
        <f>AND(Liste!#REF!,"AAAAAD56/xM=")</f>
        <v>#REF!</v>
      </c>
      <c r="U101" t="e">
        <f>AND(Liste!#REF!,"AAAAAD56/xQ=")</f>
        <v>#REF!</v>
      </c>
      <c r="V101" t="e">
        <f>AND(Liste!#REF!,"AAAAAD56/xU=")</f>
        <v>#REF!</v>
      </c>
      <c r="W101" t="e">
        <f>AND(Liste!#REF!,"AAAAAD56/xY=")</f>
        <v>#REF!</v>
      </c>
      <c r="X101" t="e">
        <f>AND(Liste!#REF!,"AAAAAD56/xc=")</f>
        <v>#REF!</v>
      </c>
      <c r="Y101" t="e">
        <f>AND(Liste!#REF!,"AAAAAD56/xg=")</f>
        <v>#REF!</v>
      </c>
      <c r="Z101" t="e">
        <f>AND(Liste!#REF!,"AAAAAD56/xk=")</f>
        <v>#REF!</v>
      </c>
      <c r="AA101" t="e">
        <f>AND(Liste!#REF!,"AAAAAD56/xo=")</f>
        <v>#REF!</v>
      </c>
      <c r="AB101" t="e">
        <f>AND(Liste!#REF!,"AAAAAD56/xs=")</f>
        <v>#REF!</v>
      </c>
      <c r="AC101" t="e">
        <f>AND(Liste!#REF!,"AAAAAD56/xw=")</f>
        <v>#REF!</v>
      </c>
      <c r="AD101" t="e">
        <f>AND(Liste!#REF!,"AAAAAD56/x0=")</f>
        <v>#REF!</v>
      </c>
      <c r="AE101" t="e">
        <f>AND(Liste!#REF!,"AAAAAD56/x4=")</f>
        <v>#REF!</v>
      </c>
      <c r="AF101" t="e">
        <f>AND(Liste!#REF!,"AAAAAD56/x8=")</f>
        <v>#REF!</v>
      </c>
      <c r="AG101" t="e">
        <f>AND(Liste!#REF!,"AAAAAD56/yA=")</f>
        <v>#REF!</v>
      </c>
      <c r="AH101" t="e">
        <f>AND(Liste!#REF!,"AAAAAD56/yE=")</f>
        <v>#REF!</v>
      </c>
      <c r="AI101" t="e">
        <f>AND(Liste!#REF!,"AAAAAD56/yI=")</f>
        <v>#REF!</v>
      </c>
      <c r="AJ101" t="e">
        <f>AND(Liste!#REF!,"AAAAAD56/yM=")</f>
        <v>#REF!</v>
      </c>
      <c r="AK101" t="e">
        <f>AND(Liste!#REF!,"AAAAAD56/yQ=")</f>
        <v>#REF!</v>
      </c>
      <c r="AL101" t="e">
        <f>IF(Liste!#REF!,"AAAAAD56/yU=",0)</f>
        <v>#REF!</v>
      </c>
      <c r="AM101" t="e">
        <f>AND(Liste!#REF!,"AAAAAD56/yY=")</f>
        <v>#REF!</v>
      </c>
      <c r="AN101" t="e">
        <f>AND(Liste!#REF!,"AAAAAD56/yc=")</f>
        <v>#REF!</v>
      </c>
      <c r="AO101" t="e">
        <f>AND(Liste!#REF!,"AAAAAD56/yg=")</f>
        <v>#REF!</v>
      </c>
      <c r="AP101" t="e">
        <f>AND(Liste!#REF!,"AAAAAD56/yk=")</f>
        <v>#REF!</v>
      </c>
      <c r="AQ101" t="e">
        <f>AND(Liste!#REF!,"AAAAAD56/yo=")</f>
        <v>#REF!</v>
      </c>
      <c r="AR101" t="e">
        <f>AND(Liste!#REF!,"AAAAAD56/ys=")</f>
        <v>#REF!</v>
      </c>
      <c r="AS101" t="e">
        <f>AND(Liste!#REF!,"AAAAAD56/yw=")</f>
        <v>#REF!</v>
      </c>
      <c r="AT101" t="e">
        <f>AND(Liste!#REF!,"AAAAAD56/y0=")</f>
        <v>#REF!</v>
      </c>
      <c r="AU101" t="e">
        <f>AND(Liste!#REF!,"AAAAAD56/y4=")</f>
        <v>#REF!</v>
      </c>
      <c r="AV101" t="e">
        <f>AND(Liste!#REF!,"AAAAAD56/y8=")</f>
        <v>#REF!</v>
      </c>
      <c r="AW101" t="e">
        <f>AND(Liste!#REF!,"AAAAAD56/zA=")</f>
        <v>#REF!</v>
      </c>
      <c r="AX101" t="e">
        <f>AND(Liste!#REF!,"AAAAAD56/zE=")</f>
        <v>#REF!</v>
      </c>
      <c r="AY101" t="e">
        <f>AND(Liste!#REF!,"AAAAAD56/zI=")</f>
        <v>#REF!</v>
      </c>
      <c r="AZ101" t="e">
        <f>AND(Liste!#REF!,"AAAAAD56/zM=")</f>
        <v>#REF!</v>
      </c>
      <c r="BA101" t="e">
        <f>AND(Liste!#REF!,"AAAAAD56/zQ=")</f>
        <v>#REF!</v>
      </c>
      <c r="BB101" t="e">
        <f>AND(Liste!#REF!,"AAAAAD56/zU=")</f>
        <v>#REF!</v>
      </c>
      <c r="BC101" t="e">
        <f>AND(Liste!#REF!,"AAAAAD56/zY=")</f>
        <v>#REF!</v>
      </c>
      <c r="BD101" t="e">
        <f>AND(Liste!#REF!,"AAAAAD56/zc=")</f>
        <v>#REF!</v>
      </c>
      <c r="BE101" t="e">
        <f>AND(Liste!#REF!,"AAAAAD56/zg=")</f>
        <v>#REF!</v>
      </c>
      <c r="BF101" t="e">
        <f>AND(Liste!#REF!,"AAAAAD56/zk=")</f>
        <v>#REF!</v>
      </c>
      <c r="BG101" t="e">
        <f>AND(Liste!#REF!,"AAAAAD56/zo=")</f>
        <v>#REF!</v>
      </c>
      <c r="BH101" t="e">
        <f>AND(Liste!#REF!,"AAAAAD56/zs=")</f>
        <v>#REF!</v>
      </c>
      <c r="BI101" t="e">
        <f>AND(Liste!#REF!,"AAAAAD56/zw=")</f>
        <v>#REF!</v>
      </c>
      <c r="BJ101" t="e">
        <f>AND(Liste!#REF!,"AAAAAD56/z0=")</f>
        <v>#REF!</v>
      </c>
      <c r="BK101" t="e">
        <f>AND(Liste!#REF!,"AAAAAD56/z4=")</f>
        <v>#REF!</v>
      </c>
      <c r="BL101" t="e">
        <f>AND(Liste!#REF!,"AAAAAD56/z8=")</f>
        <v>#REF!</v>
      </c>
      <c r="BM101" t="e">
        <f>AND(Liste!#REF!,"AAAAAD56/0A=")</f>
        <v>#REF!</v>
      </c>
      <c r="BN101" t="e">
        <f>AND(Liste!#REF!,"AAAAAD56/0E=")</f>
        <v>#REF!</v>
      </c>
      <c r="BO101" t="e">
        <f>AND(Liste!#REF!,"AAAAAD56/0I=")</f>
        <v>#REF!</v>
      </c>
      <c r="BP101" t="e">
        <f>AND(Liste!#REF!,"AAAAAD56/0M=")</f>
        <v>#REF!</v>
      </c>
      <c r="BQ101" t="e">
        <f>IF(Liste!#REF!,"AAAAAD56/0Q=",0)</f>
        <v>#REF!</v>
      </c>
      <c r="BR101" t="e">
        <f>AND(Liste!#REF!,"AAAAAD56/0U=")</f>
        <v>#REF!</v>
      </c>
      <c r="BS101" t="e">
        <f>AND(Liste!#REF!,"AAAAAD56/0Y=")</f>
        <v>#REF!</v>
      </c>
      <c r="BT101" t="e">
        <f>AND(Liste!#REF!,"AAAAAD56/0c=")</f>
        <v>#REF!</v>
      </c>
      <c r="BU101" t="e">
        <f>AND(Liste!#REF!,"AAAAAD56/0g=")</f>
        <v>#REF!</v>
      </c>
      <c r="BV101" t="e">
        <f>AND(Liste!#REF!,"AAAAAD56/0k=")</f>
        <v>#REF!</v>
      </c>
      <c r="BW101" t="e">
        <f>AND(Liste!#REF!,"AAAAAD56/0o=")</f>
        <v>#REF!</v>
      </c>
      <c r="BX101" t="e">
        <f>AND(Liste!#REF!,"AAAAAD56/0s=")</f>
        <v>#REF!</v>
      </c>
      <c r="BY101" t="e">
        <f>AND(Liste!#REF!,"AAAAAD56/0w=")</f>
        <v>#REF!</v>
      </c>
      <c r="BZ101" t="e">
        <f>AND(Liste!#REF!,"AAAAAD56/00=")</f>
        <v>#REF!</v>
      </c>
      <c r="CA101" t="e">
        <f>AND(Liste!#REF!,"AAAAAD56/04=")</f>
        <v>#REF!</v>
      </c>
      <c r="CB101" t="e">
        <f>AND(Liste!#REF!,"AAAAAD56/08=")</f>
        <v>#REF!</v>
      </c>
      <c r="CC101" t="e">
        <f>AND(Liste!#REF!,"AAAAAD56/1A=")</f>
        <v>#REF!</v>
      </c>
      <c r="CD101" t="e">
        <f>AND(Liste!#REF!,"AAAAAD56/1E=")</f>
        <v>#REF!</v>
      </c>
      <c r="CE101" t="e">
        <f>AND(Liste!#REF!,"AAAAAD56/1I=")</f>
        <v>#REF!</v>
      </c>
      <c r="CF101" t="e">
        <f>AND(Liste!#REF!,"AAAAAD56/1M=")</f>
        <v>#REF!</v>
      </c>
      <c r="CG101" t="e">
        <f>AND(Liste!#REF!,"AAAAAD56/1Q=")</f>
        <v>#REF!</v>
      </c>
      <c r="CH101" t="e">
        <f>AND(Liste!#REF!,"AAAAAD56/1U=")</f>
        <v>#REF!</v>
      </c>
      <c r="CI101" t="e">
        <f>AND(Liste!#REF!,"AAAAAD56/1Y=")</f>
        <v>#REF!</v>
      </c>
      <c r="CJ101" t="e">
        <f>AND(Liste!#REF!,"AAAAAD56/1c=")</f>
        <v>#REF!</v>
      </c>
      <c r="CK101" t="e">
        <f>AND(Liste!#REF!,"AAAAAD56/1g=")</f>
        <v>#REF!</v>
      </c>
      <c r="CL101" t="e">
        <f>AND(Liste!#REF!,"AAAAAD56/1k=")</f>
        <v>#REF!</v>
      </c>
      <c r="CM101" t="e">
        <f>AND(Liste!#REF!,"AAAAAD56/1o=")</f>
        <v>#REF!</v>
      </c>
      <c r="CN101" t="e">
        <f>AND(Liste!#REF!,"AAAAAD56/1s=")</f>
        <v>#REF!</v>
      </c>
      <c r="CO101" t="e">
        <f>AND(Liste!#REF!,"AAAAAD56/1w=")</f>
        <v>#REF!</v>
      </c>
      <c r="CP101" t="e">
        <f>AND(Liste!#REF!,"AAAAAD56/10=")</f>
        <v>#REF!</v>
      </c>
      <c r="CQ101" t="e">
        <f>AND(Liste!#REF!,"AAAAAD56/14=")</f>
        <v>#REF!</v>
      </c>
      <c r="CR101" t="e">
        <f>AND(Liste!#REF!,"AAAAAD56/18=")</f>
        <v>#REF!</v>
      </c>
      <c r="CS101" t="e">
        <f>AND(Liste!#REF!,"AAAAAD56/2A=")</f>
        <v>#REF!</v>
      </c>
      <c r="CT101" t="e">
        <f>AND(Liste!#REF!,"AAAAAD56/2E=")</f>
        <v>#REF!</v>
      </c>
      <c r="CU101" t="e">
        <f>AND(Liste!#REF!,"AAAAAD56/2I=")</f>
        <v>#REF!</v>
      </c>
      <c r="CV101" t="e">
        <f>IF(Liste!#REF!,"AAAAAD56/2M=",0)</f>
        <v>#REF!</v>
      </c>
      <c r="CW101" t="e">
        <f>AND(Liste!#REF!,"AAAAAD56/2Q=")</f>
        <v>#REF!</v>
      </c>
      <c r="CX101" t="e">
        <f>AND(Liste!#REF!,"AAAAAD56/2U=")</f>
        <v>#REF!</v>
      </c>
      <c r="CY101" t="e">
        <f>AND(Liste!#REF!,"AAAAAD56/2Y=")</f>
        <v>#REF!</v>
      </c>
      <c r="CZ101" t="e">
        <f>AND(Liste!#REF!,"AAAAAD56/2c=")</f>
        <v>#REF!</v>
      </c>
      <c r="DA101" t="e">
        <f>AND(Liste!#REF!,"AAAAAD56/2g=")</f>
        <v>#REF!</v>
      </c>
      <c r="DB101" t="e">
        <f>AND(Liste!#REF!,"AAAAAD56/2k=")</f>
        <v>#REF!</v>
      </c>
      <c r="DC101" t="e">
        <f>AND(Liste!#REF!,"AAAAAD56/2o=")</f>
        <v>#REF!</v>
      </c>
      <c r="DD101" t="e">
        <f>AND(Liste!#REF!,"AAAAAD56/2s=")</f>
        <v>#REF!</v>
      </c>
      <c r="DE101" t="e">
        <f>AND(Liste!#REF!,"AAAAAD56/2w=")</f>
        <v>#REF!</v>
      </c>
      <c r="DF101" t="e">
        <f>AND(Liste!#REF!,"AAAAAD56/20=")</f>
        <v>#REF!</v>
      </c>
      <c r="DG101" t="e">
        <f>AND(Liste!#REF!,"AAAAAD56/24=")</f>
        <v>#REF!</v>
      </c>
      <c r="DH101" t="e">
        <f>AND(Liste!#REF!,"AAAAAD56/28=")</f>
        <v>#REF!</v>
      </c>
      <c r="DI101" t="e">
        <f>AND(Liste!#REF!,"AAAAAD56/3A=")</f>
        <v>#REF!</v>
      </c>
      <c r="DJ101" t="e">
        <f>AND(Liste!#REF!,"AAAAAD56/3E=")</f>
        <v>#REF!</v>
      </c>
      <c r="DK101" t="e">
        <f>AND(Liste!#REF!,"AAAAAD56/3I=")</f>
        <v>#REF!</v>
      </c>
      <c r="DL101" t="e">
        <f>AND(Liste!#REF!,"AAAAAD56/3M=")</f>
        <v>#REF!</v>
      </c>
      <c r="DM101" t="e">
        <f>AND(Liste!#REF!,"AAAAAD56/3Q=")</f>
        <v>#REF!</v>
      </c>
      <c r="DN101" t="e">
        <f>AND(Liste!#REF!,"AAAAAD56/3U=")</f>
        <v>#REF!</v>
      </c>
      <c r="DO101" t="e">
        <f>AND(Liste!#REF!,"AAAAAD56/3Y=")</f>
        <v>#REF!</v>
      </c>
      <c r="DP101" t="e">
        <f>AND(Liste!#REF!,"AAAAAD56/3c=")</f>
        <v>#REF!</v>
      </c>
      <c r="DQ101" t="e">
        <f>AND(Liste!#REF!,"AAAAAD56/3g=")</f>
        <v>#REF!</v>
      </c>
      <c r="DR101" t="e">
        <f>AND(Liste!#REF!,"AAAAAD56/3k=")</f>
        <v>#REF!</v>
      </c>
      <c r="DS101" t="e">
        <f>AND(Liste!#REF!,"AAAAAD56/3o=")</f>
        <v>#REF!</v>
      </c>
      <c r="DT101" t="e">
        <f>AND(Liste!#REF!,"AAAAAD56/3s=")</f>
        <v>#REF!</v>
      </c>
      <c r="DU101" t="e">
        <f>AND(Liste!#REF!,"AAAAAD56/3w=")</f>
        <v>#REF!</v>
      </c>
      <c r="DV101" t="e">
        <f>AND(Liste!#REF!,"AAAAAD56/30=")</f>
        <v>#REF!</v>
      </c>
      <c r="DW101" t="e">
        <f>AND(Liste!#REF!,"AAAAAD56/34=")</f>
        <v>#REF!</v>
      </c>
      <c r="DX101" t="e">
        <f>AND(Liste!#REF!,"AAAAAD56/38=")</f>
        <v>#REF!</v>
      </c>
      <c r="DY101" t="e">
        <f>AND(Liste!#REF!,"AAAAAD56/4A=")</f>
        <v>#REF!</v>
      </c>
      <c r="DZ101" t="e">
        <f>AND(Liste!#REF!,"AAAAAD56/4E=")</f>
        <v>#REF!</v>
      </c>
      <c r="EA101" t="e">
        <f>IF(Liste!#REF!,"AAAAAD56/4I=",0)</f>
        <v>#REF!</v>
      </c>
      <c r="EB101" t="e">
        <f>AND(Liste!#REF!,"AAAAAD56/4M=")</f>
        <v>#REF!</v>
      </c>
      <c r="EC101" t="e">
        <f>AND(Liste!#REF!,"AAAAAD56/4Q=")</f>
        <v>#REF!</v>
      </c>
      <c r="ED101" t="e">
        <f>AND(Liste!#REF!,"AAAAAD56/4U=")</f>
        <v>#REF!</v>
      </c>
      <c r="EE101" t="e">
        <f>AND(Liste!#REF!,"AAAAAD56/4Y=")</f>
        <v>#REF!</v>
      </c>
      <c r="EF101" t="e">
        <f>AND(Liste!#REF!,"AAAAAD56/4c=")</f>
        <v>#REF!</v>
      </c>
      <c r="EG101" t="e">
        <f>AND(Liste!#REF!,"AAAAAD56/4g=")</f>
        <v>#REF!</v>
      </c>
      <c r="EH101" t="e">
        <f>AND(Liste!#REF!,"AAAAAD56/4k=")</f>
        <v>#REF!</v>
      </c>
      <c r="EI101" t="e">
        <f>AND(Liste!#REF!,"AAAAAD56/4o=")</f>
        <v>#REF!</v>
      </c>
      <c r="EJ101" t="e">
        <f>AND(Liste!#REF!,"AAAAAD56/4s=")</f>
        <v>#REF!</v>
      </c>
      <c r="EK101" t="e">
        <f>AND(Liste!#REF!,"AAAAAD56/4w=")</f>
        <v>#REF!</v>
      </c>
      <c r="EL101" t="e">
        <f>AND(Liste!#REF!,"AAAAAD56/40=")</f>
        <v>#REF!</v>
      </c>
      <c r="EM101" t="e">
        <f>AND(Liste!#REF!,"AAAAAD56/44=")</f>
        <v>#REF!</v>
      </c>
      <c r="EN101" t="e">
        <f>AND(Liste!#REF!,"AAAAAD56/48=")</f>
        <v>#REF!</v>
      </c>
      <c r="EO101" t="e">
        <f>AND(Liste!#REF!,"AAAAAD56/5A=")</f>
        <v>#REF!</v>
      </c>
      <c r="EP101" t="e">
        <f>AND(Liste!#REF!,"AAAAAD56/5E=")</f>
        <v>#REF!</v>
      </c>
      <c r="EQ101" t="e">
        <f>AND(Liste!#REF!,"AAAAAD56/5I=")</f>
        <v>#REF!</v>
      </c>
      <c r="ER101" t="e">
        <f>AND(Liste!#REF!,"AAAAAD56/5M=")</f>
        <v>#REF!</v>
      </c>
      <c r="ES101" t="e">
        <f>AND(Liste!#REF!,"AAAAAD56/5Q=")</f>
        <v>#REF!</v>
      </c>
      <c r="ET101" t="e">
        <f>AND(Liste!#REF!,"AAAAAD56/5U=")</f>
        <v>#REF!</v>
      </c>
      <c r="EU101" t="e">
        <f>AND(Liste!#REF!,"AAAAAD56/5Y=")</f>
        <v>#REF!</v>
      </c>
      <c r="EV101" t="e">
        <f>AND(Liste!#REF!,"AAAAAD56/5c=")</f>
        <v>#REF!</v>
      </c>
      <c r="EW101" t="e">
        <f>AND(Liste!#REF!,"AAAAAD56/5g=")</f>
        <v>#REF!</v>
      </c>
      <c r="EX101" t="e">
        <f>AND(Liste!#REF!,"AAAAAD56/5k=")</f>
        <v>#REF!</v>
      </c>
      <c r="EY101" t="e">
        <f>AND(Liste!#REF!,"AAAAAD56/5o=")</f>
        <v>#REF!</v>
      </c>
      <c r="EZ101" t="e">
        <f>AND(Liste!#REF!,"AAAAAD56/5s=")</f>
        <v>#REF!</v>
      </c>
      <c r="FA101" t="e">
        <f>AND(Liste!#REF!,"AAAAAD56/5w=")</f>
        <v>#REF!</v>
      </c>
      <c r="FB101" t="e">
        <f>AND(Liste!#REF!,"AAAAAD56/50=")</f>
        <v>#REF!</v>
      </c>
      <c r="FC101" t="e">
        <f>AND(Liste!#REF!,"AAAAAD56/54=")</f>
        <v>#REF!</v>
      </c>
      <c r="FD101" t="e">
        <f>AND(Liste!#REF!,"AAAAAD56/58=")</f>
        <v>#REF!</v>
      </c>
      <c r="FE101" t="e">
        <f>AND(Liste!#REF!,"AAAAAD56/6A=")</f>
        <v>#REF!</v>
      </c>
      <c r="FF101" t="e">
        <f>IF(Liste!#REF!,"AAAAAD56/6E=",0)</f>
        <v>#REF!</v>
      </c>
      <c r="FG101" t="e">
        <f>AND(Liste!#REF!,"AAAAAD56/6I=")</f>
        <v>#REF!</v>
      </c>
      <c r="FH101" t="e">
        <f>AND(Liste!#REF!,"AAAAAD56/6M=")</f>
        <v>#REF!</v>
      </c>
      <c r="FI101" t="e">
        <f>AND(Liste!#REF!,"AAAAAD56/6Q=")</f>
        <v>#REF!</v>
      </c>
      <c r="FJ101" t="e">
        <f>AND(Liste!#REF!,"AAAAAD56/6U=")</f>
        <v>#REF!</v>
      </c>
      <c r="FK101" t="e">
        <f>AND(Liste!#REF!,"AAAAAD56/6Y=")</f>
        <v>#REF!</v>
      </c>
      <c r="FL101" t="e">
        <f>AND(Liste!#REF!,"AAAAAD56/6c=")</f>
        <v>#REF!</v>
      </c>
      <c r="FM101" t="e">
        <f>AND(Liste!#REF!,"AAAAAD56/6g=")</f>
        <v>#REF!</v>
      </c>
      <c r="FN101" t="e">
        <f>AND(Liste!#REF!,"AAAAAD56/6k=")</f>
        <v>#REF!</v>
      </c>
      <c r="FO101" t="e">
        <f>AND(Liste!#REF!,"AAAAAD56/6o=")</f>
        <v>#REF!</v>
      </c>
      <c r="FP101" t="e">
        <f>AND(Liste!#REF!,"AAAAAD56/6s=")</f>
        <v>#REF!</v>
      </c>
      <c r="FQ101" t="e">
        <f>AND(Liste!#REF!,"AAAAAD56/6w=")</f>
        <v>#REF!</v>
      </c>
      <c r="FR101" t="e">
        <f>AND(Liste!#REF!,"AAAAAD56/60=")</f>
        <v>#REF!</v>
      </c>
      <c r="FS101" t="e">
        <f>AND(Liste!#REF!,"AAAAAD56/64=")</f>
        <v>#REF!</v>
      </c>
      <c r="FT101" t="e">
        <f>AND(Liste!#REF!,"AAAAAD56/68=")</f>
        <v>#REF!</v>
      </c>
      <c r="FU101" t="e">
        <f>AND(Liste!#REF!,"AAAAAD56/7A=")</f>
        <v>#REF!</v>
      </c>
      <c r="FV101" t="e">
        <f>AND(Liste!#REF!,"AAAAAD56/7E=")</f>
        <v>#REF!</v>
      </c>
      <c r="FW101" t="e">
        <f>AND(Liste!#REF!,"AAAAAD56/7I=")</f>
        <v>#REF!</v>
      </c>
      <c r="FX101" t="e">
        <f>AND(Liste!#REF!,"AAAAAD56/7M=")</f>
        <v>#REF!</v>
      </c>
      <c r="FY101" t="e">
        <f>AND(Liste!#REF!,"AAAAAD56/7Q=")</f>
        <v>#REF!</v>
      </c>
      <c r="FZ101" t="e">
        <f>AND(Liste!#REF!,"AAAAAD56/7U=")</f>
        <v>#REF!</v>
      </c>
      <c r="GA101" t="e">
        <f>AND(Liste!#REF!,"AAAAAD56/7Y=")</f>
        <v>#REF!</v>
      </c>
      <c r="GB101" t="e">
        <f>AND(Liste!#REF!,"AAAAAD56/7c=")</f>
        <v>#REF!</v>
      </c>
      <c r="GC101" t="e">
        <f>AND(Liste!#REF!,"AAAAAD56/7g=")</f>
        <v>#REF!</v>
      </c>
      <c r="GD101" t="e">
        <f>AND(Liste!#REF!,"AAAAAD56/7k=")</f>
        <v>#REF!</v>
      </c>
      <c r="GE101" t="e">
        <f>AND(Liste!#REF!,"AAAAAD56/7o=")</f>
        <v>#REF!</v>
      </c>
      <c r="GF101" t="e">
        <f>AND(Liste!#REF!,"AAAAAD56/7s=")</f>
        <v>#REF!</v>
      </c>
      <c r="GG101" t="e">
        <f>AND(Liste!#REF!,"AAAAAD56/7w=")</f>
        <v>#REF!</v>
      </c>
      <c r="GH101" t="e">
        <f>AND(Liste!#REF!,"AAAAAD56/70=")</f>
        <v>#REF!</v>
      </c>
      <c r="GI101" t="e">
        <f>AND(Liste!#REF!,"AAAAAD56/74=")</f>
        <v>#REF!</v>
      </c>
      <c r="GJ101" t="e">
        <f>AND(Liste!#REF!,"AAAAAD56/78=")</f>
        <v>#REF!</v>
      </c>
      <c r="GK101" t="e">
        <f>IF(Liste!#REF!,"AAAAAD56/8A=",0)</f>
        <v>#REF!</v>
      </c>
      <c r="GL101" t="e">
        <f>AND(Liste!#REF!,"AAAAAD56/8E=")</f>
        <v>#REF!</v>
      </c>
      <c r="GM101" t="e">
        <f>AND(Liste!#REF!,"AAAAAD56/8I=")</f>
        <v>#REF!</v>
      </c>
      <c r="GN101" t="e">
        <f>AND(Liste!#REF!,"AAAAAD56/8M=")</f>
        <v>#REF!</v>
      </c>
      <c r="GO101" t="e">
        <f>AND(Liste!#REF!,"AAAAAD56/8Q=")</f>
        <v>#REF!</v>
      </c>
      <c r="GP101" t="e">
        <f>AND(Liste!#REF!,"AAAAAD56/8U=")</f>
        <v>#REF!</v>
      </c>
      <c r="GQ101" t="e">
        <f>AND(Liste!#REF!,"AAAAAD56/8Y=")</f>
        <v>#REF!</v>
      </c>
      <c r="GR101" t="e">
        <f>AND(Liste!#REF!,"AAAAAD56/8c=")</f>
        <v>#REF!</v>
      </c>
      <c r="GS101" t="e">
        <f>AND(Liste!#REF!,"AAAAAD56/8g=")</f>
        <v>#REF!</v>
      </c>
      <c r="GT101" t="e">
        <f>AND(Liste!#REF!,"AAAAAD56/8k=")</f>
        <v>#REF!</v>
      </c>
      <c r="GU101" t="e">
        <f>AND(Liste!#REF!,"AAAAAD56/8o=")</f>
        <v>#REF!</v>
      </c>
      <c r="GV101" t="e">
        <f>AND(Liste!#REF!,"AAAAAD56/8s=")</f>
        <v>#REF!</v>
      </c>
      <c r="GW101" t="e">
        <f>AND(Liste!#REF!,"AAAAAD56/8w=")</f>
        <v>#REF!</v>
      </c>
      <c r="GX101" t="e">
        <f>AND(Liste!#REF!,"AAAAAD56/80=")</f>
        <v>#REF!</v>
      </c>
      <c r="GY101" t="e">
        <f>AND(Liste!#REF!,"AAAAAD56/84=")</f>
        <v>#REF!</v>
      </c>
      <c r="GZ101" t="e">
        <f>AND(Liste!#REF!,"AAAAAD56/88=")</f>
        <v>#REF!</v>
      </c>
      <c r="HA101" t="e">
        <f>AND(Liste!#REF!,"AAAAAD56/9A=")</f>
        <v>#REF!</v>
      </c>
      <c r="HB101" t="e">
        <f>AND(Liste!#REF!,"AAAAAD56/9E=")</f>
        <v>#REF!</v>
      </c>
      <c r="HC101" t="e">
        <f>AND(Liste!#REF!,"AAAAAD56/9I=")</f>
        <v>#REF!</v>
      </c>
      <c r="HD101" t="e">
        <f>AND(Liste!#REF!,"AAAAAD56/9M=")</f>
        <v>#REF!</v>
      </c>
      <c r="HE101" t="e">
        <f>AND(Liste!#REF!,"AAAAAD56/9Q=")</f>
        <v>#REF!</v>
      </c>
      <c r="HF101" t="e">
        <f>AND(Liste!#REF!,"AAAAAD56/9U=")</f>
        <v>#REF!</v>
      </c>
      <c r="HG101" t="e">
        <f>AND(Liste!#REF!,"AAAAAD56/9Y=")</f>
        <v>#REF!</v>
      </c>
      <c r="HH101" t="e">
        <f>AND(Liste!#REF!,"AAAAAD56/9c=")</f>
        <v>#REF!</v>
      </c>
      <c r="HI101" t="e">
        <f>AND(Liste!#REF!,"AAAAAD56/9g=")</f>
        <v>#REF!</v>
      </c>
      <c r="HJ101" t="e">
        <f>AND(Liste!#REF!,"AAAAAD56/9k=")</f>
        <v>#REF!</v>
      </c>
      <c r="HK101" t="e">
        <f>AND(Liste!#REF!,"AAAAAD56/9o=")</f>
        <v>#REF!</v>
      </c>
      <c r="HL101" t="e">
        <f>AND(Liste!#REF!,"AAAAAD56/9s=")</f>
        <v>#REF!</v>
      </c>
      <c r="HM101" t="e">
        <f>AND(Liste!#REF!,"AAAAAD56/9w=")</f>
        <v>#REF!</v>
      </c>
      <c r="HN101" t="e">
        <f>AND(Liste!#REF!,"AAAAAD56/90=")</f>
        <v>#REF!</v>
      </c>
      <c r="HO101" t="e">
        <f>AND(Liste!#REF!,"AAAAAD56/94=")</f>
        <v>#REF!</v>
      </c>
      <c r="HP101" t="e">
        <f>IF(Liste!#REF!,"AAAAAD56/98=",0)</f>
        <v>#REF!</v>
      </c>
      <c r="HQ101" t="e">
        <f>AND(Liste!#REF!,"AAAAAD56/+A=")</f>
        <v>#REF!</v>
      </c>
      <c r="HR101" t="e">
        <f>AND(Liste!#REF!,"AAAAAD56/+E=")</f>
        <v>#REF!</v>
      </c>
      <c r="HS101" t="e">
        <f>AND(Liste!#REF!,"AAAAAD56/+I=")</f>
        <v>#REF!</v>
      </c>
      <c r="HT101" t="e">
        <f>AND(Liste!#REF!,"AAAAAD56/+M=")</f>
        <v>#REF!</v>
      </c>
      <c r="HU101" t="e">
        <f>AND(Liste!#REF!,"AAAAAD56/+Q=")</f>
        <v>#REF!</v>
      </c>
      <c r="HV101" t="e">
        <f>AND(Liste!#REF!,"AAAAAD56/+U=")</f>
        <v>#REF!</v>
      </c>
      <c r="HW101" t="e">
        <f>AND(Liste!#REF!,"AAAAAD56/+Y=")</f>
        <v>#REF!</v>
      </c>
      <c r="HX101" t="e">
        <f>AND(Liste!#REF!,"AAAAAD56/+c=")</f>
        <v>#REF!</v>
      </c>
      <c r="HY101" t="e">
        <f>AND(Liste!#REF!,"AAAAAD56/+g=")</f>
        <v>#REF!</v>
      </c>
      <c r="HZ101" t="e">
        <f>AND(Liste!#REF!,"AAAAAD56/+k=")</f>
        <v>#REF!</v>
      </c>
      <c r="IA101" t="e">
        <f>AND(Liste!#REF!,"AAAAAD56/+o=")</f>
        <v>#REF!</v>
      </c>
      <c r="IB101" t="e">
        <f>AND(Liste!#REF!,"AAAAAD56/+s=")</f>
        <v>#REF!</v>
      </c>
      <c r="IC101" t="e">
        <f>AND(Liste!#REF!,"AAAAAD56/+w=")</f>
        <v>#REF!</v>
      </c>
      <c r="ID101" t="e">
        <f>AND(Liste!#REF!,"AAAAAD56/+0=")</f>
        <v>#REF!</v>
      </c>
      <c r="IE101" t="e">
        <f>AND(Liste!#REF!,"AAAAAD56/+4=")</f>
        <v>#REF!</v>
      </c>
      <c r="IF101" t="e">
        <f>AND(Liste!#REF!,"AAAAAD56/+8=")</f>
        <v>#REF!</v>
      </c>
      <c r="IG101" t="e">
        <f>AND(Liste!#REF!,"AAAAAD56//A=")</f>
        <v>#REF!</v>
      </c>
      <c r="IH101" t="e">
        <f>AND(Liste!#REF!,"AAAAAD56//E=")</f>
        <v>#REF!</v>
      </c>
      <c r="II101" t="e">
        <f>AND(Liste!#REF!,"AAAAAD56//I=")</f>
        <v>#REF!</v>
      </c>
      <c r="IJ101" t="e">
        <f>AND(Liste!#REF!,"AAAAAD56//M=")</f>
        <v>#REF!</v>
      </c>
      <c r="IK101" t="e">
        <f>AND(Liste!#REF!,"AAAAAD56//Q=")</f>
        <v>#REF!</v>
      </c>
      <c r="IL101" t="e">
        <f>AND(Liste!#REF!,"AAAAAD56//U=")</f>
        <v>#REF!</v>
      </c>
      <c r="IM101" t="e">
        <f>AND(Liste!#REF!,"AAAAAD56//Y=")</f>
        <v>#REF!</v>
      </c>
      <c r="IN101" t="e">
        <f>AND(Liste!#REF!,"AAAAAD56//c=")</f>
        <v>#REF!</v>
      </c>
      <c r="IO101" t="e">
        <f>AND(Liste!#REF!,"AAAAAD56//g=")</f>
        <v>#REF!</v>
      </c>
      <c r="IP101" t="e">
        <f>AND(Liste!#REF!,"AAAAAD56//k=")</f>
        <v>#REF!</v>
      </c>
      <c r="IQ101" t="e">
        <f>AND(Liste!#REF!,"AAAAAD56//o=")</f>
        <v>#REF!</v>
      </c>
      <c r="IR101" t="e">
        <f>AND(Liste!#REF!,"AAAAAD56//s=")</f>
        <v>#REF!</v>
      </c>
      <c r="IS101" t="e">
        <f>AND(Liste!#REF!,"AAAAAD56//w=")</f>
        <v>#REF!</v>
      </c>
      <c r="IT101" t="e">
        <f>AND(Liste!#REF!,"AAAAAD56//0=")</f>
        <v>#REF!</v>
      </c>
      <c r="IU101" t="e">
        <f>IF(Liste!#REF!,"AAAAAD56//4=",0)</f>
        <v>#REF!</v>
      </c>
      <c r="IV101" t="e">
        <f>AND(Liste!#REF!,"AAAAAD56//8=")</f>
        <v>#REF!</v>
      </c>
    </row>
    <row r="102" spans="1:256" x14ac:dyDescent="0.2">
      <c r="A102" t="e">
        <f>AND(Liste!#REF!,"AAAAAH1vvwA=")</f>
        <v>#REF!</v>
      </c>
      <c r="B102" t="e">
        <f>AND(Liste!#REF!,"AAAAAH1vvwE=")</f>
        <v>#REF!</v>
      </c>
      <c r="C102" t="e">
        <f>AND(Liste!#REF!,"AAAAAH1vvwI=")</f>
        <v>#REF!</v>
      </c>
      <c r="D102" t="e">
        <f>AND(Liste!#REF!,"AAAAAH1vvwM=")</f>
        <v>#REF!</v>
      </c>
      <c r="E102" t="e">
        <f>AND(Liste!#REF!,"AAAAAH1vvwQ=")</f>
        <v>#REF!</v>
      </c>
      <c r="F102" t="e">
        <f>AND(Liste!#REF!,"AAAAAH1vvwU=")</f>
        <v>#REF!</v>
      </c>
      <c r="G102" t="e">
        <f>AND(Liste!#REF!,"AAAAAH1vvwY=")</f>
        <v>#REF!</v>
      </c>
      <c r="H102" t="e">
        <f>AND(Liste!#REF!,"AAAAAH1vvwc=")</f>
        <v>#REF!</v>
      </c>
      <c r="I102" t="e">
        <f>AND(Liste!#REF!,"AAAAAH1vvwg=")</f>
        <v>#REF!</v>
      </c>
      <c r="J102" t="e">
        <f>AND(Liste!#REF!,"AAAAAH1vvwk=")</f>
        <v>#REF!</v>
      </c>
      <c r="K102" t="e">
        <f>AND(Liste!#REF!,"AAAAAH1vvwo=")</f>
        <v>#REF!</v>
      </c>
      <c r="L102" t="e">
        <f>AND(Liste!#REF!,"AAAAAH1vvws=")</f>
        <v>#REF!</v>
      </c>
      <c r="M102" t="e">
        <f>AND(Liste!#REF!,"AAAAAH1vvww=")</f>
        <v>#REF!</v>
      </c>
      <c r="N102" t="e">
        <f>AND(Liste!#REF!,"AAAAAH1vvw0=")</f>
        <v>#REF!</v>
      </c>
      <c r="O102" t="e">
        <f>AND(Liste!#REF!,"AAAAAH1vvw4=")</f>
        <v>#REF!</v>
      </c>
      <c r="P102" t="e">
        <f>AND(Liste!#REF!,"AAAAAH1vvw8=")</f>
        <v>#REF!</v>
      </c>
      <c r="Q102" t="e">
        <f>AND(Liste!#REF!,"AAAAAH1vvxA=")</f>
        <v>#REF!</v>
      </c>
      <c r="R102" t="e">
        <f>AND(Liste!#REF!,"AAAAAH1vvxE=")</f>
        <v>#REF!</v>
      </c>
      <c r="S102" t="e">
        <f>AND(Liste!#REF!,"AAAAAH1vvxI=")</f>
        <v>#REF!</v>
      </c>
      <c r="T102" t="e">
        <f>AND(Liste!#REF!,"AAAAAH1vvxM=")</f>
        <v>#REF!</v>
      </c>
      <c r="U102" t="e">
        <f>AND(Liste!#REF!,"AAAAAH1vvxQ=")</f>
        <v>#REF!</v>
      </c>
      <c r="V102" t="e">
        <f>AND(Liste!#REF!,"AAAAAH1vvxU=")</f>
        <v>#REF!</v>
      </c>
      <c r="W102" t="e">
        <f>AND(Liste!#REF!,"AAAAAH1vvxY=")</f>
        <v>#REF!</v>
      </c>
      <c r="X102" t="e">
        <f>AND(Liste!#REF!,"AAAAAH1vvxc=")</f>
        <v>#REF!</v>
      </c>
      <c r="Y102" t="e">
        <f>AND(Liste!#REF!,"AAAAAH1vvxg=")</f>
        <v>#REF!</v>
      </c>
      <c r="Z102" t="e">
        <f>AND(Liste!#REF!,"AAAAAH1vvxk=")</f>
        <v>#REF!</v>
      </c>
      <c r="AA102" t="e">
        <f>AND(Liste!#REF!,"AAAAAH1vvxo=")</f>
        <v>#REF!</v>
      </c>
      <c r="AB102" t="e">
        <f>AND(Liste!#REF!,"AAAAAH1vvxs=")</f>
        <v>#REF!</v>
      </c>
      <c r="AC102" t="e">
        <f>AND(Liste!#REF!,"AAAAAH1vvxw=")</f>
        <v>#REF!</v>
      </c>
      <c r="AD102" t="e">
        <f>IF(Liste!#REF!,"AAAAAH1vvx0=",0)</f>
        <v>#REF!</v>
      </c>
      <c r="AE102" t="e">
        <f>AND(Liste!#REF!,"AAAAAH1vvx4=")</f>
        <v>#REF!</v>
      </c>
      <c r="AF102" t="e">
        <f>AND(Liste!#REF!,"AAAAAH1vvx8=")</f>
        <v>#REF!</v>
      </c>
      <c r="AG102" t="e">
        <f>AND(Liste!#REF!,"AAAAAH1vvyA=")</f>
        <v>#REF!</v>
      </c>
      <c r="AH102" t="e">
        <f>AND(Liste!#REF!,"AAAAAH1vvyE=")</f>
        <v>#REF!</v>
      </c>
      <c r="AI102" t="e">
        <f>AND(Liste!#REF!,"AAAAAH1vvyI=")</f>
        <v>#REF!</v>
      </c>
      <c r="AJ102" t="e">
        <f>AND(Liste!#REF!,"AAAAAH1vvyM=")</f>
        <v>#REF!</v>
      </c>
      <c r="AK102" t="e">
        <f>AND(Liste!#REF!,"AAAAAH1vvyQ=")</f>
        <v>#REF!</v>
      </c>
      <c r="AL102" t="e">
        <f>AND(Liste!#REF!,"AAAAAH1vvyU=")</f>
        <v>#REF!</v>
      </c>
      <c r="AM102" t="e">
        <f>AND(Liste!#REF!,"AAAAAH1vvyY=")</f>
        <v>#REF!</v>
      </c>
      <c r="AN102" t="e">
        <f>AND(Liste!#REF!,"AAAAAH1vvyc=")</f>
        <v>#REF!</v>
      </c>
      <c r="AO102" t="e">
        <f>AND(Liste!#REF!,"AAAAAH1vvyg=")</f>
        <v>#REF!</v>
      </c>
      <c r="AP102" t="e">
        <f>AND(Liste!#REF!,"AAAAAH1vvyk=")</f>
        <v>#REF!</v>
      </c>
      <c r="AQ102" t="e">
        <f>AND(Liste!#REF!,"AAAAAH1vvyo=")</f>
        <v>#REF!</v>
      </c>
      <c r="AR102" t="e">
        <f>AND(Liste!#REF!,"AAAAAH1vvys=")</f>
        <v>#REF!</v>
      </c>
      <c r="AS102" t="e">
        <f>AND(Liste!#REF!,"AAAAAH1vvyw=")</f>
        <v>#REF!</v>
      </c>
      <c r="AT102" t="e">
        <f>AND(Liste!#REF!,"AAAAAH1vvy0=")</f>
        <v>#REF!</v>
      </c>
      <c r="AU102" t="e">
        <f>AND(Liste!#REF!,"AAAAAH1vvy4=")</f>
        <v>#REF!</v>
      </c>
      <c r="AV102" t="e">
        <f>AND(Liste!#REF!,"AAAAAH1vvy8=")</f>
        <v>#REF!</v>
      </c>
      <c r="AW102" t="e">
        <f>AND(Liste!#REF!,"AAAAAH1vvzA=")</f>
        <v>#REF!</v>
      </c>
      <c r="AX102" t="e">
        <f>AND(Liste!#REF!,"AAAAAH1vvzE=")</f>
        <v>#REF!</v>
      </c>
      <c r="AY102" t="e">
        <f>AND(Liste!#REF!,"AAAAAH1vvzI=")</f>
        <v>#REF!</v>
      </c>
      <c r="AZ102" t="e">
        <f>AND(Liste!#REF!,"AAAAAH1vvzM=")</f>
        <v>#REF!</v>
      </c>
      <c r="BA102" t="e">
        <f>AND(Liste!#REF!,"AAAAAH1vvzQ=")</f>
        <v>#REF!</v>
      </c>
      <c r="BB102" t="e">
        <f>AND(Liste!#REF!,"AAAAAH1vvzU=")</f>
        <v>#REF!</v>
      </c>
      <c r="BC102" t="e">
        <f>AND(Liste!#REF!,"AAAAAH1vvzY=")</f>
        <v>#REF!</v>
      </c>
      <c r="BD102" t="e">
        <f>AND(Liste!#REF!,"AAAAAH1vvzc=")</f>
        <v>#REF!</v>
      </c>
      <c r="BE102" t="e">
        <f>AND(Liste!#REF!,"AAAAAH1vvzg=")</f>
        <v>#REF!</v>
      </c>
      <c r="BF102" t="e">
        <f>AND(Liste!#REF!,"AAAAAH1vvzk=")</f>
        <v>#REF!</v>
      </c>
      <c r="BG102" t="e">
        <f>AND(Liste!#REF!,"AAAAAH1vvzo=")</f>
        <v>#REF!</v>
      </c>
      <c r="BH102" t="e">
        <f>AND(Liste!#REF!,"AAAAAH1vvzs=")</f>
        <v>#REF!</v>
      </c>
      <c r="BI102" t="e">
        <f>IF(Liste!#REF!,"AAAAAH1vvzw=",0)</f>
        <v>#REF!</v>
      </c>
      <c r="BJ102" t="e">
        <f>AND(Liste!#REF!,"AAAAAH1vvz0=")</f>
        <v>#REF!</v>
      </c>
      <c r="BK102" t="e">
        <f>AND(Liste!#REF!,"AAAAAH1vvz4=")</f>
        <v>#REF!</v>
      </c>
      <c r="BL102" t="e">
        <f>AND(Liste!#REF!,"AAAAAH1vvz8=")</f>
        <v>#REF!</v>
      </c>
      <c r="BM102" t="e">
        <f>AND(Liste!#REF!,"AAAAAH1vv0A=")</f>
        <v>#REF!</v>
      </c>
      <c r="BN102" t="e">
        <f>AND(Liste!#REF!,"AAAAAH1vv0E=")</f>
        <v>#REF!</v>
      </c>
      <c r="BO102" t="e">
        <f>AND(Liste!#REF!,"AAAAAH1vv0I=")</f>
        <v>#REF!</v>
      </c>
      <c r="BP102" t="e">
        <f>AND(Liste!#REF!,"AAAAAH1vv0M=")</f>
        <v>#REF!</v>
      </c>
      <c r="BQ102" t="e">
        <f>AND(Liste!#REF!,"AAAAAH1vv0Q=")</f>
        <v>#REF!</v>
      </c>
      <c r="BR102" t="e">
        <f>AND(Liste!#REF!,"AAAAAH1vv0U=")</f>
        <v>#REF!</v>
      </c>
      <c r="BS102" t="e">
        <f>AND(Liste!#REF!,"AAAAAH1vv0Y=")</f>
        <v>#REF!</v>
      </c>
      <c r="BT102" t="e">
        <f>AND(Liste!#REF!,"AAAAAH1vv0c=")</f>
        <v>#REF!</v>
      </c>
      <c r="BU102" t="e">
        <f>AND(Liste!#REF!,"AAAAAH1vv0g=")</f>
        <v>#REF!</v>
      </c>
      <c r="BV102" t="e">
        <f>AND(Liste!#REF!,"AAAAAH1vv0k=")</f>
        <v>#REF!</v>
      </c>
      <c r="BW102" t="e">
        <f>AND(Liste!#REF!,"AAAAAH1vv0o=")</f>
        <v>#REF!</v>
      </c>
      <c r="BX102" t="e">
        <f>AND(Liste!#REF!,"AAAAAH1vv0s=")</f>
        <v>#REF!</v>
      </c>
      <c r="BY102" t="e">
        <f>AND(Liste!#REF!,"AAAAAH1vv0w=")</f>
        <v>#REF!</v>
      </c>
      <c r="BZ102" t="e">
        <f>AND(Liste!#REF!,"AAAAAH1vv00=")</f>
        <v>#REF!</v>
      </c>
      <c r="CA102" t="e">
        <f>AND(Liste!#REF!,"AAAAAH1vv04=")</f>
        <v>#REF!</v>
      </c>
      <c r="CB102" t="e">
        <f>AND(Liste!#REF!,"AAAAAH1vv08=")</f>
        <v>#REF!</v>
      </c>
      <c r="CC102" t="e">
        <f>AND(Liste!#REF!,"AAAAAH1vv1A=")</f>
        <v>#REF!</v>
      </c>
      <c r="CD102" t="e">
        <f>AND(Liste!#REF!,"AAAAAH1vv1E=")</f>
        <v>#REF!</v>
      </c>
      <c r="CE102" t="e">
        <f>AND(Liste!#REF!,"AAAAAH1vv1I=")</f>
        <v>#REF!</v>
      </c>
      <c r="CF102" t="e">
        <f>AND(Liste!#REF!,"AAAAAH1vv1M=")</f>
        <v>#REF!</v>
      </c>
      <c r="CG102" t="e">
        <f>AND(Liste!#REF!,"AAAAAH1vv1Q=")</f>
        <v>#REF!</v>
      </c>
      <c r="CH102" t="e">
        <f>AND(Liste!#REF!,"AAAAAH1vv1U=")</f>
        <v>#REF!</v>
      </c>
      <c r="CI102" t="e">
        <f>AND(Liste!#REF!,"AAAAAH1vv1Y=")</f>
        <v>#REF!</v>
      </c>
      <c r="CJ102" t="e">
        <f>AND(Liste!#REF!,"AAAAAH1vv1c=")</f>
        <v>#REF!</v>
      </c>
      <c r="CK102" t="e">
        <f>AND(Liste!#REF!,"AAAAAH1vv1g=")</f>
        <v>#REF!</v>
      </c>
      <c r="CL102" t="e">
        <f>AND(Liste!#REF!,"AAAAAH1vv1k=")</f>
        <v>#REF!</v>
      </c>
      <c r="CM102" t="e">
        <f>AND(Liste!#REF!,"AAAAAH1vv1o=")</f>
        <v>#REF!</v>
      </c>
      <c r="CN102" t="e">
        <f>IF(Liste!#REF!,"AAAAAH1vv1s=",0)</f>
        <v>#REF!</v>
      </c>
      <c r="CO102" t="e">
        <f>AND(Liste!#REF!,"AAAAAH1vv1w=")</f>
        <v>#REF!</v>
      </c>
      <c r="CP102" t="e">
        <f>AND(Liste!#REF!,"AAAAAH1vv10=")</f>
        <v>#REF!</v>
      </c>
      <c r="CQ102" t="e">
        <f>AND(Liste!#REF!,"AAAAAH1vv14=")</f>
        <v>#REF!</v>
      </c>
      <c r="CR102" t="e">
        <f>AND(Liste!#REF!,"AAAAAH1vv18=")</f>
        <v>#REF!</v>
      </c>
      <c r="CS102" t="e">
        <f>AND(Liste!#REF!,"AAAAAH1vv2A=")</f>
        <v>#REF!</v>
      </c>
      <c r="CT102" t="e">
        <f>AND(Liste!#REF!,"AAAAAH1vv2E=")</f>
        <v>#REF!</v>
      </c>
      <c r="CU102" t="e">
        <f>AND(Liste!#REF!,"AAAAAH1vv2I=")</f>
        <v>#REF!</v>
      </c>
      <c r="CV102" t="e">
        <f>AND(Liste!#REF!,"AAAAAH1vv2M=")</f>
        <v>#REF!</v>
      </c>
      <c r="CW102" t="e">
        <f>AND(Liste!#REF!,"AAAAAH1vv2Q=")</f>
        <v>#REF!</v>
      </c>
      <c r="CX102" t="e">
        <f>AND(Liste!#REF!,"AAAAAH1vv2U=")</f>
        <v>#REF!</v>
      </c>
      <c r="CY102" t="e">
        <f>AND(Liste!#REF!,"AAAAAH1vv2Y=")</f>
        <v>#REF!</v>
      </c>
      <c r="CZ102" t="e">
        <f>AND(Liste!#REF!,"AAAAAH1vv2c=")</f>
        <v>#REF!</v>
      </c>
      <c r="DA102" t="e">
        <f>AND(Liste!#REF!,"AAAAAH1vv2g=")</f>
        <v>#REF!</v>
      </c>
      <c r="DB102" t="e">
        <f>AND(Liste!#REF!,"AAAAAH1vv2k=")</f>
        <v>#REF!</v>
      </c>
      <c r="DC102" t="e">
        <f>AND(Liste!#REF!,"AAAAAH1vv2o=")</f>
        <v>#REF!</v>
      </c>
      <c r="DD102" t="e">
        <f>AND(Liste!#REF!,"AAAAAH1vv2s=")</f>
        <v>#REF!</v>
      </c>
      <c r="DE102" t="e">
        <f>AND(Liste!#REF!,"AAAAAH1vv2w=")</f>
        <v>#REF!</v>
      </c>
      <c r="DF102" t="e">
        <f>AND(Liste!#REF!,"AAAAAH1vv20=")</f>
        <v>#REF!</v>
      </c>
      <c r="DG102" t="e">
        <f>AND(Liste!#REF!,"AAAAAH1vv24=")</f>
        <v>#REF!</v>
      </c>
      <c r="DH102" t="e">
        <f>AND(Liste!#REF!,"AAAAAH1vv28=")</f>
        <v>#REF!</v>
      </c>
      <c r="DI102" t="e">
        <f>AND(Liste!#REF!,"AAAAAH1vv3A=")</f>
        <v>#REF!</v>
      </c>
      <c r="DJ102" t="e">
        <f>AND(Liste!#REF!,"AAAAAH1vv3E=")</f>
        <v>#REF!</v>
      </c>
      <c r="DK102" t="e">
        <f>AND(Liste!#REF!,"AAAAAH1vv3I=")</f>
        <v>#REF!</v>
      </c>
      <c r="DL102" t="e">
        <f>AND(Liste!#REF!,"AAAAAH1vv3M=")</f>
        <v>#REF!</v>
      </c>
      <c r="DM102" t="e">
        <f>AND(Liste!#REF!,"AAAAAH1vv3Q=")</f>
        <v>#REF!</v>
      </c>
      <c r="DN102" t="e">
        <f>AND(Liste!#REF!,"AAAAAH1vv3U=")</f>
        <v>#REF!</v>
      </c>
      <c r="DO102" t="e">
        <f>AND(Liste!#REF!,"AAAAAH1vv3Y=")</f>
        <v>#REF!</v>
      </c>
      <c r="DP102" t="e">
        <f>AND(Liste!#REF!,"AAAAAH1vv3c=")</f>
        <v>#REF!</v>
      </c>
      <c r="DQ102" t="e">
        <f>AND(Liste!#REF!,"AAAAAH1vv3g=")</f>
        <v>#REF!</v>
      </c>
      <c r="DR102" t="e">
        <f>AND(Liste!#REF!,"AAAAAH1vv3k=")</f>
        <v>#REF!</v>
      </c>
      <c r="DS102" t="e">
        <f>IF(Liste!#REF!,"AAAAAH1vv3o=",0)</f>
        <v>#REF!</v>
      </c>
      <c r="DT102" t="e">
        <f>AND(Liste!#REF!,"AAAAAH1vv3s=")</f>
        <v>#REF!</v>
      </c>
      <c r="DU102" t="e">
        <f>AND(Liste!#REF!,"AAAAAH1vv3w=")</f>
        <v>#REF!</v>
      </c>
      <c r="DV102" t="e">
        <f>AND(Liste!#REF!,"AAAAAH1vv30=")</f>
        <v>#REF!</v>
      </c>
      <c r="DW102" t="e">
        <f>AND(Liste!#REF!,"AAAAAH1vv34=")</f>
        <v>#REF!</v>
      </c>
      <c r="DX102" t="e">
        <f>AND(Liste!#REF!,"AAAAAH1vv38=")</f>
        <v>#REF!</v>
      </c>
      <c r="DY102" t="e">
        <f>AND(Liste!#REF!,"AAAAAH1vv4A=")</f>
        <v>#REF!</v>
      </c>
      <c r="DZ102" t="e">
        <f>AND(Liste!#REF!,"AAAAAH1vv4E=")</f>
        <v>#REF!</v>
      </c>
      <c r="EA102" t="e">
        <f>AND(Liste!#REF!,"AAAAAH1vv4I=")</f>
        <v>#REF!</v>
      </c>
      <c r="EB102" t="e">
        <f>AND(Liste!#REF!,"AAAAAH1vv4M=")</f>
        <v>#REF!</v>
      </c>
      <c r="EC102" t="e">
        <f>AND(Liste!#REF!,"AAAAAH1vv4Q=")</f>
        <v>#REF!</v>
      </c>
      <c r="ED102" t="e">
        <f>AND(Liste!#REF!,"AAAAAH1vv4U=")</f>
        <v>#REF!</v>
      </c>
      <c r="EE102" t="e">
        <f>AND(Liste!#REF!,"AAAAAH1vv4Y=")</f>
        <v>#REF!</v>
      </c>
      <c r="EF102" t="e">
        <f>AND(Liste!#REF!,"AAAAAH1vv4c=")</f>
        <v>#REF!</v>
      </c>
      <c r="EG102" t="e">
        <f>AND(Liste!#REF!,"AAAAAH1vv4g=")</f>
        <v>#REF!</v>
      </c>
      <c r="EH102" t="e">
        <f>AND(Liste!#REF!,"AAAAAH1vv4k=")</f>
        <v>#REF!</v>
      </c>
      <c r="EI102" t="e">
        <f>AND(Liste!#REF!,"AAAAAH1vv4o=")</f>
        <v>#REF!</v>
      </c>
      <c r="EJ102" t="e">
        <f>AND(Liste!#REF!,"AAAAAH1vv4s=")</f>
        <v>#REF!</v>
      </c>
      <c r="EK102" t="e">
        <f>AND(Liste!#REF!,"AAAAAH1vv4w=")</f>
        <v>#REF!</v>
      </c>
      <c r="EL102" t="e">
        <f>AND(Liste!#REF!,"AAAAAH1vv40=")</f>
        <v>#REF!</v>
      </c>
      <c r="EM102" t="e">
        <f>AND(Liste!#REF!,"AAAAAH1vv44=")</f>
        <v>#REF!</v>
      </c>
      <c r="EN102" t="e">
        <f>AND(Liste!#REF!,"AAAAAH1vv48=")</f>
        <v>#REF!</v>
      </c>
      <c r="EO102" t="e">
        <f>AND(Liste!#REF!,"AAAAAH1vv5A=")</f>
        <v>#REF!</v>
      </c>
      <c r="EP102" t="e">
        <f>AND(Liste!#REF!,"AAAAAH1vv5E=")</f>
        <v>#REF!</v>
      </c>
      <c r="EQ102" t="e">
        <f>AND(Liste!#REF!,"AAAAAH1vv5I=")</f>
        <v>#REF!</v>
      </c>
      <c r="ER102" t="e">
        <f>AND(Liste!#REF!,"AAAAAH1vv5M=")</f>
        <v>#REF!</v>
      </c>
      <c r="ES102" t="e">
        <f>AND(Liste!#REF!,"AAAAAH1vv5Q=")</f>
        <v>#REF!</v>
      </c>
      <c r="ET102" t="e">
        <f>AND(Liste!#REF!,"AAAAAH1vv5U=")</f>
        <v>#REF!</v>
      </c>
      <c r="EU102" t="e">
        <f>AND(Liste!#REF!,"AAAAAH1vv5Y=")</f>
        <v>#REF!</v>
      </c>
      <c r="EV102" t="e">
        <f>AND(Liste!#REF!,"AAAAAH1vv5c=")</f>
        <v>#REF!</v>
      </c>
      <c r="EW102" t="e">
        <f>AND(Liste!#REF!,"AAAAAH1vv5g=")</f>
        <v>#REF!</v>
      </c>
      <c r="EX102" t="e">
        <f>IF(Liste!#REF!,"AAAAAH1vv5k=",0)</f>
        <v>#REF!</v>
      </c>
      <c r="EY102" t="e">
        <f>AND(Liste!#REF!,"AAAAAH1vv5o=")</f>
        <v>#REF!</v>
      </c>
      <c r="EZ102" t="e">
        <f>AND(Liste!#REF!,"AAAAAH1vv5s=")</f>
        <v>#REF!</v>
      </c>
      <c r="FA102" t="e">
        <f>AND(Liste!#REF!,"AAAAAH1vv5w=")</f>
        <v>#REF!</v>
      </c>
      <c r="FB102" t="e">
        <f>AND(Liste!#REF!,"AAAAAH1vv50=")</f>
        <v>#REF!</v>
      </c>
      <c r="FC102" t="e">
        <f>AND(Liste!#REF!,"AAAAAH1vv54=")</f>
        <v>#REF!</v>
      </c>
      <c r="FD102" t="e">
        <f>AND(Liste!#REF!,"AAAAAH1vv58=")</f>
        <v>#REF!</v>
      </c>
      <c r="FE102" t="e">
        <f>AND(Liste!#REF!,"AAAAAH1vv6A=")</f>
        <v>#REF!</v>
      </c>
      <c r="FF102" t="e">
        <f>AND(Liste!#REF!,"AAAAAH1vv6E=")</f>
        <v>#REF!</v>
      </c>
      <c r="FG102" t="e">
        <f>AND(Liste!#REF!,"AAAAAH1vv6I=")</f>
        <v>#REF!</v>
      </c>
      <c r="FH102" t="e">
        <f>AND(Liste!#REF!,"AAAAAH1vv6M=")</f>
        <v>#REF!</v>
      </c>
      <c r="FI102" t="e">
        <f>AND(Liste!#REF!,"AAAAAH1vv6Q=")</f>
        <v>#REF!</v>
      </c>
      <c r="FJ102" t="e">
        <f>AND(Liste!#REF!,"AAAAAH1vv6U=")</f>
        <v>#REF!</v>
      </c>
      <c r="FK102" t="e">
        <f>AND(Liste!#REF!,"AAAAAH1vv6Y=")</f>
        <v>#REF!</v>
      </c>
      <c r="FL102" t="e">
        <f>AND(Liste!#REF!,"AAAAAH1vv6c=")</f>
        <v>#REF!</v>
      </c>
      <c r="FM102" t="e">
        <f>AND(Liste!#REF!,"AAAAAH1vv6g=")</f>
        <v>#REF!</v>
      </c>
      <c r="FN102" t="e">
        <f>AND(Liste!#REF!,"AAAAAH1vv6k=")</f>
        <v>#REF!</v>
      </c>
      <c r="FO102" t="e">
        <f>AND(Liste!#REF!,"AAAAAH1vv6o=")</f>
        <v>#REF!</v>
      </c>
      <c r="FP102" t="e">
        <f>AND(Liste!#REF!,"AAAAAH1vv6s=")</f>
        <v>#REF!</v>
      </c>
      <c r="FQ102" t="e">
        <f>AND(Liste!#REF!,"AAAAAH1vv6w=")</f>
        <v>#REF!</v>
      </c>
      <c r="FR102" t="e">
        <f>AND(Liste!#REF!,"AAAAAH1vv60=")</f>
        <v>#REF!</v>
      </c>
      <c r="FS102" t="e">
        <f>AND(Liste!#REF!,"AAAAAH1vv64=")</f>
        <v>#REF!</v>
      </c>
      <c r="FT102" t="e">
        <f>AND(Liste!#REF!,"AAAAAH1vv68=")</f>
        <v>#REF!</v>
      </c>
      <c r="FU102" t="e">
        <f>AND(Liste!#REF!,"AAAAAH1vv7A=")</f>
        <v>#REF!</v>
      </c>
      <c r="FV102" t="e">
        <f>AND(Liste!#REF!,"AAAAAH1vv7E=")</f>
        <v>#REF!</v>
      </c>
      <c r="FW102" t="e">
        <f>AND(Liste!#REF!,"AAAAAH1vv7I=")</f>
        <v>#REF!</v>
      </c>
      <c r="FX102" t="e">
        <f>AND(Liste!#REF!,"AAAAAH1vv7M=")</f>
        <v>#REF!</v>
      </c>
      <c r="FY102" t="e">
        <f>AND(Liste!#REF!,"AAAAAH1vv7Q=")</f>
        <v>#REF!</v>
      </c>
      <c r="FZ102" t="e">
        <f>AND(Liste!#REF!,"AAAAAH1vv7U=")</f>
        <v>#REF!</v>
      </c>
      <c r="GA102" t="e">
        <f>AND(Liste!#REF!,"AAAAAH1vv7Y=")</f>
        <v>#REF!</v>
      </c>
      <c r="GB102" t="e">
        <f>AND(Liste!#REF!,"AAAAAH1vv7c=")</f>
        <v>#REF!</v>
      </c>
      <c r="GC102" t="e">
        <f>IF(Liste!#REF!,"AAAAAH1vv7g=",0)</f>
        <v>#REF!</v>
      </c>
      <c r="GD102" t="e">
        <f>AND(Liste!#REF!,"AAAAAH1vv7k=")</f>
        <v>#REF!</v>
      </c>
      <c r="GE102" t="e">
        <f>AND(Liste!#REF!,"AAAAAH1vv7o=")</f>
        <v>#REF!</v>
      </c>
      <c r="GF102" t="e">
        <f>AND(Liste!#REF!,"AAAAAH1vv7s=")</f>
        <v>#REF!</v>
      </c>
      <c r="GG102" t="e">
        <f>AND(Liste!#REF!,"AAAAAH1vv7w=")</f>
        <v>#REF!</v>
      </c>
      <c r="GH102" t="e">
        <f>AND(Liste!#REF!,"AAAAAH1vv70=")</f>
        <v>#REF!</v>
      </c>
      <c r="GI102" t="e">
        <f>AND(Liste!#REF!,"AAAAAH1vv74=")</f>
        <v>#REF!</v>
      </c>
      <c r="GJ102" t="e">
        <f>AND(Liste!#REF!,"AAAAAH1vv78=")</f>
        <v>#REF!</v>
      </c>
      <c r="GK102" t="e">
        <f>AND(Liste!#REF!,"AAAAAH1vv8A=")</f>
        <v>#REF!</v>
      </c>
      <c r="GL102" t="e">
        <f>AND(Liste!#REF!,"AAAAAH1vv8E=")</f>
        <v>#REF!</v>
      </c>
      <c r="GM102" t="e">
        <f>AND(Liste!#REF!,"AAAAAH1vv8I=")</f>
        <v>#REF!</v>
      </c>
      <c r="GN102" t="e">
        <f>AND(Liste!#REF!,"AAAAAH1vv8M=")</f>
        <v>#REF!</v>
      </c>
      <c r="GO102" t="e">
        <f>AND(Liste!#REF!,"AAAAAH1vv8Q=")</f>
        <v>#REF!</v>
      </c>
      <c r="GP102" t="e">
        <f>AND(Liste!#REF!,"AAAAAH1vv8U=")</f>
        <v>#REF!</v>
      </c>
      <c r="GQ102" t="e">
        <f>AND(Liste!#REF!,"AAAAAH1vv8Y=")</f>
        <v>#REF!</v>
      </c>
      <c r="GR102" t="e">
        <f>AND(Liste!#REF!,"AAAAAH1vv8c=")</f>
        <v>#REF!</v>
      </c>
      <c r="GS102" t="e">
        <f>AND(Liste!#REF!,"AAAAAH1vv8g=")</f>
        <v>#REF!</v>
      </c>
      <c r="GT102" t="e">
        <f>AND(Liste!#REF!,"AAAAAH1vv8k=")</f>
        <v>#REF!</v>
      </c>
      <c r="GU102" t="e">
        <f>AND(Liste!#REF!,"AAAAAH1vv8o=")</f>
        <v>#REF!</v>
      </c>
      <c r="GV102" t="e">
        <f>AND(Liste!#REF!,"AAAAAH1vv8s=")</f>
        <v>#REF!</v>
      </c>
      <c r="GW102" t="e">
        <f>AND(Liste!#REF!,"AAAAAH1vv8w=")</f>
        <v>#REF!</v>
      </c>
      <c r="GX102" t="e">
        <f>AND(Liste!#REF!,"AAAAAH1vv80=")</f>
        <v>#REF!</v>
      </c>
      <c r="GY102" t="e">
        <f>AND(Liste!#REF!,"AAAAAH1vv84=")</f>
        <v>#REF!</v>
      </c>
      <c r="GZ102" t="e">
        <f>AND(Liste!#REF!,"AAAAAH1vv88=")</f>
        <v>#REF!</v>
      </c>
      <c r="HA102" t="e">
        <f>AND(Liste!#REF!,"AAAAAH1vv9A=")</f>
        <v>#REF!</v>
      </c>
      <c r="HB102" t="e">
        <f>AND(Liste!#REF!,"AAAAAH1vv9E=")</f>
        <v>#REF!</v>
      </c>
      <c r="HC102" t="e">
        <f>AND(Liste!#REF!,"AAAAAH1vv9I=")</f>
        <v>#REF!</v>
      </c>
      <c r="HD102" t="e">
        <f>AND(Liste!#REF!,"AAAAAH1vv9M=")</f>
        <v>#REF!</v>
      </c>
      <c r="HE102" t="e">
        <f>AND(Liste!#REF!,"AAAAAH1vv9Q=")</f>
        <v>#REF!</v>
      </c>
      <c r="HF102" t="e">
        <f>AND(Liste!#REF!,"AAAAAH1vv9U=")</f>
        <v>#REF!</v>
      </c>
      <c r="HG102" t="e">
        <f>AND(Liste!#REF!,"AAAAAH1vv9Y=")</f>
        <v>#REF!</v>
      </c>
      <c r="HH102" t="e">
        <f>IF(Liste!#REF!,"AAAAAH1vv9c=",0)</f>
        <v>#REF!</v>
      </c>
      <c r="HI102" t="e">
        <f>AND(Liste!#REF!,"AAAAAH1vv9g=")</f>
        <v>#REF!</v>
      </c>
      <c r="HJ102" t="e">
        <f>AND(Liste!#REF!,"AAAAAH1vv9k=")</f>
        <v>#REF!</v>
      </c>
      <c r="HK102" t="e">
        <f>AND(Liste!#REF!,"AAAAAH1vv9o=")</f>
        <v>#REF!</v>
      </c>
      <c r="HL102" t="e">
        <f>AND(Liste!#REF!,"AAAAAH1vv9s=")</f>
        <v>#REF!</v>
      </c>
      <c r="HM102" t="e">
        <f>AND(Liste!#REF!,"AAAAAH1vv9w=")</f>
        <v>#REF!</v>
      </c>
      <c r="HN102" t="e">
        <f>AND(Liste!#REF!,"AAAAAH1vv90=")</f>
        <v>#REF!</v>
      </c>
      <c r="HO102" t="e">
        <f>AND(Liste!#REF!,"AAAAAH1vv94=")</f>
        <v>#REF!</v>
      </c>
      <c r="HP102" t="e">
        <f>AND(Liste!#REF!,"AAAAAH1vv98=")</f>
        <v>#REF!</v>
      </c>
      <c r="HQ102" t="e">
        <f>AND(Liste!#REF!,"AAAAAH1vv+A=")</f>
        <v>#REF!</v>
      </c>
      <c r="HR102" t="e">
        <f>AND(Liste!#REF!,"AAAAAH1vv+E=")</f>
        <v>#REF!</v>
      </c>
      <c r="HS102" t="e">
        <f>AND(Liste!#REF!,"AAAAAH1vv+I=")</f>
        <v>#REF!</v>
      </c>
      <c r="HT102" t="e">
        <f>AND(Liste!#REF!,"AAAAAH1vv+M=")</f>
        <v>#REF!</v>
      </c>
      <c r="HU102" t="e">
        <f>AND(Liste!#REF!,"AAAAAH1vv+Q=")</f>
        <v>#REF!</v>
      </c>
      <c r="HV102" t="e">
        <f>AND(Liste!#REF!,"AAAAAH1vv+U=")</f>
        <v>#REF!</v>
      </c>
      <c r="HW102" t="e">
        <f>AND(Liste!#REF!,"AAAAAH1vv+Y=")</f>
        <v>#REF!</v>
      </c>
      <c r="HX102" t="e">
        <f>AND(Liste!#REF!,"AAAAAH1vv+c=")</f>
        <v>#REF!</v>
      </c>
      <c r="HY102" t="e">
        <f>AND(Liste!#REF!,"AAAAAH1vv+g=")</f>
        <v>#REF!</v>
      </c>
      <c r="HZ102" t="e">
        <f>AND(Liste!#REF!,"AAAAAH1vv+k=")</f>
        <v>#REF!</v>
      </c>
      <c r="IA102" t="e">
        <f>AND(Liste!#REF!,"AAAAAH1vv+o=")</f>
        <v>#REF!</v>
      </c>
      <c r="IB102" t="e">
        <f>AND(Liste!#REF!,"AAAAAH1vv+s=")</f>
        <v>#REF!</v>
      </c>
      <c r="IC102" t="e">
        <f>AND(Liste!#REF!,"AAAAAH1vv+w=")</f>
        <v>#REF!</v>
      </c>
      <c r="ID102" t="e">
        <f>AND(Liste!#REF!,"AAAAAH1vv+0=")</f>
        <v>#REF!</v>
      </c>
      <c r="IE102" t="e">
        <f>AND(Liste!#REF!,"AAAAAH1vv+4=")</f>
        <v>#REF!</v>
      </c>
      <c r="IF102" t="e">
        <f>AND(Liste!#REF!,"AAAAAH1vv+8=")</f>
        <v>#REF!</v>
      </c>
      <c r="IG102" t="e">
        <f>AND(Liste!#REF!,"AAAAAH1vv/A=")</f>
        <v>#REF!</v>
      </c>
      <c r="IH102" t="e">
        <f>AND(Liste!#REF!,"AAAAAH1vv/E=")</f>
        <v>#REF!</v>
      </c>
      <c r="II102" t="e">
        <f>AND(Liste!#REF!,"AAAAAH1vv/I=")</f>
        <v>#REF!</v>
      </c>
      <c r="IJ102" t="e">
        <f>AND(Liste!#REF!,"AAAAAH1vv/M=")</f>
        <v>#REF!</v>
      </c>
      <c r="IK102" t="e">
        <f>AND(Liste!#REF!,"AAAAAH1vv/Q=")</f>
        <v>#REF!</v>
      </c>
      <c r="IL102" t="e">
        <f>AND(Liste!#REF!,"AAAAAH1vv/U=")</f>
        <v>#REF!</v>
      </c>
      <c r="IM102" t="e">
        <f>IF(Liste!#REF!,"AAAAAH1vv/Y=",0)</f>
        <v>#REF!</v>
      </c>
      <c r="IN102" t="e">
        <f>AND(Liste!#REF!,"AAAAAH1vv/c=")</f>
        <v>#REF!</v>
      </c>
      <c r="IO102" t="e">
        <f>AND(Liste!#REF!,"AAAAAH1vv/g=")</f>
        <v>#REF!</v>
      </c>
      <c r="IP102" t="e">
        <f>AND(Liste!#REF!,"AAAAAH1vv/k=")</f>
        <v>#REF!</v>
      </c>
      <c r="IQ102" t="e">
        <f>AND(Liste!#REF!,"AAAAAH1vv/o=")</f>
        <v>#REF!</v>
      </c>
      <c r="IR102" t="e">
        <f>AND(Liste!#REF!,"AAAAAH1vv/s=")</f>
        <v>#REF!</v>
      </c>
      <c r="IS102" t="e">
        <f>AND(Liste!#REF!,"AAAAAH1vv/w=")</f>
        <v>#REF!</v>
      </c>
      <c r="IT102" t="e">
        <f>AND(Liste!#REF!,"AAAAAH1vv/0=")</f>
        <v>#REF!</v>
      </c>
      <c r="IU102" t="e">
        <f>AND(Liste!#REF!,"AAAAAH1vv/4=")</f>
        <v>#REF!</v>
      </c>
      <c r="IV102" t="e">
        <f>AND(Liste!#REF!,"AAAAAH1vv/8=")</f>
        <v>#REF!</v>
      </c>
    </row>
    <row r="103" spans="1:256" x14ac:dyDescent="0.2">
      <c r="A103" t="e">
        <f>AND(Liste!#REF!,"AAAAAHv+OwA=")</f>
        <v>#REF!</v>
      </c>
      <c r="B103" t="e">
        <f>AND(Liste!#REF!,"AAAAAHv+OwE=")</f>
        <v>#REF!</v>
      </c>
      <c r="C103" t="e">
        <f>AND(Liste!#REF!,"AAAAAHv+OwI=")</f>
        <v>#REF!</v>
      </c>
      <c r="D103" t="e">
        <f>AND(Liste!#REF!,"AAAAAHv+OwM=")</f>
        <v>#REF!</v>
      </c>
      <c r="E103" t="e">
        <f>AND(Liste!#REF!,"AAAAAHv+OwQ=")</f>
        <v>#REF!</v>
      </c>
      <c r="F103" t="e">
        <f>AND(Liste!#REF!,"AAAAAHv+OwU=")</f>
        <v>#REF!</v>
      </c>
      <c r="G103" t="e">
        <f>AND(Liste!#REF!,"AAAAAHv+OwY=")</f>
        <v>#REF!</v>
      </c>
      <c r="H103" t="e">
        <f>AND(Liste!#REF!,"AAAAAHv+Owc=")</f>
        <v>#REF!</v>
      </c>
      <c r="I103" t="e">
        <f>AND(Liste!#REF!,"AAAAAHv+Owg=")</f>
        <v>#REF!</v>
      </c>
      <c r="J103" t="e">
        <f>AND(Liste!#REF!,"AAAAAHv+Owk=")</f>
        <v>#REF!</v>
      </c>
      <c r="K103" t="e">
        <f>AND(Liste!#REF!,"AAAAAHv+Owo=")</f>
        <v>#REF!</v>
      </c>
      <c r="L103" t="e">
        <f>AND(Liste!#REF!,"AAAAAHv+Ows=")</f>
        <v>#REF!</v>
      </c>
      <c r="M103" t="e">
        <f>AND(Liste!#REF!,"AAAAAHv+Oww=")</f>
        <v>#REF!</v>
      </c>
      <c r="N103" t="e">
        <f>AND(Liste!#REF!,"AAAAAHv+Ow0=")</f>
        <v>#REF!</v>
      </c>
      <c r="O103" t="e">
        <f>AND(Liste!#REF!,"AAAAAHv+Ow4=")</f>
        <v>#REF!</v>
      </c>
      <c r="P103" t="e">
        <f>AND(Liste!#REF!,"AAAAAHv+Ow8=")</f>
        <v>#REF!</v>
      </c>
      <c r="Q103" t="e">
        <f>AND(Liste!#REF!,"AAAAAHv+OxA=")</f>
        <v>#REF!</v>
      </c>
      <c r="R103" t="e">
        <f>AND(Liste!#REF!,"AAAAAHv+OxE=")</f>
        <v>#REF!</v>
      </c>
      <c r="S103" t="e">
        <f>AND(Liste!#REF!,"AAAAAHv+OxI=")</f>
        <v>#REF!</v>
      </c>
      <c r="T103" t="e">
        <f>AND(Liste!#REF!,"AAAAAHv+OxM=")</f>
        <v>#REF!</v>
      </c>
      <c r="U103" t="e">
        <f>AND(Liste!#REF!,"AAAAAHv+OxQ=")</f>
        <v>#REF!</v>
      </c>
      <c r="V103" t="e">
        <f>IF(Liste!#REF!,"AAAAAHv+OxU=",0)</f>
        <v>#REF!</v>
      </c>
      <c r="W103" t="e">
        <f>AND(Liste!#REF!,"AAAAAHv+OxY=")</f>
        <v>#REF!</v>
      </c>
      <c r="X103" t="e">
        <f>AND(Liste!#REF!,"AAAAAHv+Oxc=")</f>
        <v>#REF!</v>
      </c>
      <c r="Y103" t="e">
        <f>AND(Liste!#REF!,"AAAAAHv+Oxg=")</f>
        <v>#REF!</v>
      </c>
      <c r="Z103" t="e">
        <f>AND(Liste!#REF!,"AAAAAHv+Oxk=")</f>
        <v>#REF!</v>
      </c>
      <c r="AA103" t="e">
        <f>AND(Liste!#REF!,"AAAAAHv+Oxo=")</f>
        <v>#REF!</v>
      </c>
      <c r="AB103" t="e">
        <f>AND(Liste!#REF!,"AAAAAHv+Oxs=")</f>
        <v>#REF!</v>
      </c>
      <c r="AC103" t="e">
        <f>AND(Liste!#REF!,"AAAAAHv+Oxw=")</f>
        <v>#REF!</v>
      </c>
      <c r="AD103" t="e">
        <f>AND(Liste!#REF!,"AAAAAHv+Ox0=")</f>
        <v>#REF!</v>
      </c>
      <c r="AE103" t="e">
        <f>AND(Liste!#REF!,"AAAAAHv+Ox4=")</f>
        <v>#REF!</v>
      </c>
      <c r="AF103" t="e">
        <f>AND(Liste!#REF!,"AAAAAHv+Ox8=")</f>
        <v>#REF!</v>
      </c>
      <c r="AG103" t="e">
        <f>AND(Liste!#REF!,"AAAAAHv+OyA=")</f>
        <v>#REF!</v>
      </c>
      <c r="AH103" t="e">
        <f>AND(Liste!#REF!,"AAAAAHv+OyE=")</f>
        <v>#REF!</v>
      </c>
      <c r="AI103" t="e">
        <f>AND(Liste!#REF!,"AAAAAHv+OyI=")</f>
        <v>#REF!</v>
      </c>
      <c r="AJ103" t="e">
        <f>AND(Liste!#REF!,"AAAAAHv+OyM=")</f>
        <v>#REF!</v>
      </c>
      <c r="AK103" t="e">
        <f>AND(Liste!#REF!,"AAAAAHv+OyQ=")</f>
        <v>#REF!</v>
      </c>
      <c r="AL103" t="e">
        <f>AND(Liste!#REF!,"AAAAAHv+OyU=")</f>
        <v>#REF!</v>
      </c>
      <c r="AM103" t="e">
        <f>AND(Liste!#REF!,"AAAAAHv+OyY=")</f>
        <v>#REF!</v>
      </c>
      <c r="AN103" t="e">
        <f>AND(Liste!#REF!,"AAAAAHv+Oyc=")</f>
        <v>#REF!</v>
      </c>
      <c r="AO103" t="e">
        <f>AND(Liste!#REF!,"AAAAAHv+Oyg=")</f>
        <v>#REF!</v>
      </c>
      <c r="AP103" t="e">
        <f>AND(Liste!#REF!,"AAAAAHv+Oyk=")</f>
        <v>#REF!</v>
      </c>
      <c r="AQ103" t="e">
        <f>AND(Liste!#REF!,"AAAAAHv+Oyo=")</f>
        <v>#REF!</v>
      </c>
      <c r="AR103" t="e">
        <f>AND(Liste!#REF!,"AAAAAHv+Oys=")</f>
        <v>#REF!</v>
      </c>
      <c r="AS103" t="e">
        <f>AND(Liste!#REF!,"AAAAAHv+Oyw=")</f>
        <v>#REF!</v>
      </c>
      <c r="AT103" t="e">
        <f>AND(Liste!#REF!,"AAAAAHv+Oy0=")</f>
        <v>#REF!</v>
      </c>
      <c r="AU103" t="e">
        <f>AND(Liste!#REF!,"AAAAAHv+Oy4=")</f>
        <v>#REF!</v>
      </c>
      <c r="AV103" t="e">
        <f>AND(Liste!#REF!,"AAAAAHv+Oy8=")</f>
        <v>#REF!</v>
      </c>
      <c r="AW103" t="e">
        <f>AND(Liste!#REF!,"AAAAAHv+OzA=")</f>
        <v>#REF!</v>
      </c>
      <c r="AX103" t="e">
        <f>AND(Liste!#REF!,"AAAAAHv+OzE=")</f>
        <v>#REF!</v>
      </c>
      <c r="AY103" t="e">
        <f>AND(Liste!#REF!,"AAAAAHv+OzI=")</f>
        <v>#REF!</v>
      </c>
      <c r="AZ103" t="e">
        <f>AND(Liste!#REF!,"AAAAAHv+OzM=")</f>
        <v>#REF!</v>
      </c>
      <c r="BA103" t="e">
        <f>IF(Liste!#REF!,"AAAAAHv+OzQ=",0)</f>
        <v>#REF!</v>
      </c>
      <c r="BB103" t="e">
        <f>AND(Liste!#REF!,"AAAAAHv+OzU=")</f>
        <v>#REF!</v>
      </c>
      <c r="BC103" t="e">
        <f>AND(Liste!#REF!,"AAAAAHv+OzY=")</f>
        <v>#REF!</v>
      </c>
      <c r="BD103" t="e">
        <f>AND(Liste!#REF!,"AAAAAHv+Ozc=")</f>
        <v>#REF!</v>
      </c>
      <c r="BE103" t="e">
        <f>AND(Liste!#REF!,"AAAAAHv+Ozg=")</f>
        <v>#REF!</v>
      </c>
      <c r="BF103" t="e">
        <f>AND(Liste!#REF!,"AAAAAHv+Ozk=")</f>
        <v>#REF!</v>
      </c>
      <c r="BG103" t="e">
        <f>AND(Liste!#REF!,"AAAAAHv+Ozo=")</f>
        <v>#REF!</v>
      </c>
      <c r="BH103" t="e">
        <f>AND(Liste!#REF!,"AAAAAHv+Ozs=")</f>
        <v>#REF!</v>
      </c>
      <c r="BI103" t="e">
        <f>AND(Liste!#REF!,"AAAAAHv+Ozw=")</f>
        <v>#REF!</v>
      </c>
      <c r="BJ103" t="e">
        <f>AND(Liste!#REF!,"AAAAAHv+Oz0=")</f>
        <v>#REF!</v>
      </c>
      <c r="BK103" t="e">
        <f>AND(Liste!#REF!,"AAAAAHv+Oz4=")</f>
        <v>#REF!</v>
      </c>
      <c r="BL103" t="e">
        <f>AND(Liste!#REF!,"AAAAAHv+Oz8=")</f>
        <v>#REF!</v>
      </c>
      <c r="BM103" t="e">
        <f>AND(Liste!#REF!,"AAAAAHv+O0A=")</f>
        <v>#REF!</v>
      </c>
      <c r="BN103" t="e">
        <f>AND(Liste!#REF!,"AAAAAHv+O0E=")</f>
        <v>#REF!</v>
      </c>
      <c r="BO103" t="e">
        <f>AND(Liste!#REF!,"AAAAAHv+O0I=")</f>
        <v>#REF!</v>
      </c>
      <c r="BP103" t="e">
        <f>AND(Liste!#REF!,"AAAAAHv+O0M=")</f>
        <v>#REF!</v>
      </c>
      <c r="BQ103" t="e">
        <f>AND(Liste!#REF!,"AAAAAHv+O0Q=")</f>
        <v>#REF!</v>
      </c>
      <c r="BR103" t="e">
        <f>AND(Liste!#REF!,"AAAAAHv+O0U=")</f>
        <v>#REF!</v>
      </c>
      <c r="BS103" t="e">
        <f>AND(Liste!#REF!,"AAAAAHv+O0Y=")</f>
        <v>#REF!</v>
      </c>
      <c r="BT103" t="e">
        <f>AND(Liste!#REF!,"AAAAAHv+O0c=")</f>
        <v>#REF!</v>
      </c>
      <c r="BU103" t="e">
        <f>AND(Liste!#REF!,"AAAAAHv+O0g=")</f>
        <v>#REF!</v>
      </c>
      <c r="BV103" t="e">
        <f>AND(Liste!#REF!,"AAAAAHv+O0k=")</f>
        <v>#REF!</v>
      </c>
      <c r="BW103" t="e">
        <f>AND(Liste!#REF!,"AAAAAHv+O0o=")</f>
        <v>#REF!</v>
      </c>
      <c r="BX103" t="e">
        <f>AND(Liste!#REF!,"AAAAAHv+O0s=")</f>
        <v>#REF!</v>
      </c>
      <c r="BY103" t="e">
        <f>AND(Liste!#REF!,"AAAAAHv+O0w=")</f>
        <v>#REF!</v>
      </c>
      <c r="BZ103" t="e">
        <f>AND(Liste!#REF!,"AAAAAHv+O00=")</f>
        <v>#REF!</v>
      </c>
      <c r="CA103" t="e">
        <f>AND(Liste!#REF!,"AAAAAHv+O04=")</f>
        <v>#REF!</v>
      </c>
      <c r="CB103" t="e">
        <f>AND(Liste!#REF!,"AAAAAHv+O08=")</f>
        <v>#REF!</v>
      </c>
      <c r="CC103" t="e">
        <f>AND(Liste!#REF!,"AAAAAHv+O1A=")</f>
        <v>#REF!</v>
      </c>
      <c r="CD103" t="e">
        <f>AND(Liste!#REF!,"AAAAAHv+O1E=")</f>
        <v>#REF!</v>
      </c>
      <c r="CE103" t="e">
        <f>AND(Liste!#REF!,"AAAAAHv+O1I=")</f>
        <v>#REF!</v>
      </c>
      <c r="CF103" t="e">
        <f>IF(Liste!#REF!,"AAAAAHv+O1M=",0)</f>
        <v>#REF!</v>
      </c>
      <c r="CG103" t="e">
        <f>AND(Liste!#REF!,"AAAAAHv+O1Q=")</f>
        <v>#REF!</v>
      </c>
      <c r="CH103" t="e">
        <f>AND(Liste!#REF!,"AAAAAHv+O1U=")</f>
        <v>#REF!</v>
      </c>
      <c r="CI103" t="e">
        <f>AND(Liste!#REF!,"AAAAAHv+O1Y=")</f>
        <v>#REF!</v>
      </c>
      <c r="CJ103" t="e">
        <f>AND(Liste!#REF!,"AAAAAHv+O1c=")</f>
        <v>#REF!</v>
      </c>
      <c r="CK103" t="e">
        <f>AND(Liste!#REF!,"AAAAAHv+O1g=")</f>
        <v>#REF!</v>
      </c>
      <c r="CL103" t="e">
        <f>AND(Liste!#REF!,"AAAAAHv+O1k=")</f>
        <v>#REF!</v>
      </c>
      <c r="CM103" t="e">
        <f>AND(Liste!#REF!,"AAAAAHv+O1o=")</f>
        <v>#REF!</v>
      </c>
      <c r="CN103" t="e">
        <f>AND(Liste!#REF!,"AAAAAHv+O1s=")</f>
        <v>#REF!</v>
      </c>
      <c r="CO103" t="e">
        <f>AND(Liste!#REF!,"AAAAAHv+O1w=")</f>
        <v>#REF!</v>
      </c>
      <c r="CP103" t="e">
        <f>AND(Liste!#REF!,"AAAAAHv+O10=")</f>
        <v>#REF!</v>
      </c>
      <c r="CQ103" t="e">
        <f>AND(Liste!#REF!,"AAAAAHv+O14=")</f>
        <v>#REF!</v>
      </c>
      <c r="CR103" t="e">
        <f>AND(Liste!#REF!,"AAAAAHv+O18=")</f>
        <v>#REF!</v>
      </c>
      <c r="CS103" t="e">
        <f>AND(Liste!#REF!,"AAAAAHv+O2A=")</f>
        <v>#REF!</v>
      </c>
      <c r="CT103" t="e">
        <f>AND(Liste!#REF!,"AAAAAHv+O2E=")</f>
        <v>#REF!</v>
      </c>
      <c r="CU103" t="e">
        <f>AND(Liste!#REF!,"AAAAAHv+O2I=")</f>
        <v>#REF!</v>
      </c>
      <c r="CV103" t="e">
        <f>AND(Liste!#REF!,"AAAAAHv+O2M=")</f>
        <v>#REF!</v>
      </c>
      <c r="CW103" t="e">
        <f>AND(Liste!#REF!,"AAAAAHv+O2Q=")</f>
        <v>#REF!</v>
      </c>
      <c r="CX103" t="e">
        <f>AND(Liste!#REF!,"AAAAAHv+O2U=")</f>
        <v>#REF!</v>
      </c>
      <c r="CY103" t="e">
        <f>AND(Liste!#REF!,"AAAAAHv+O2Y=")</f>
        <v>#REF!</v>
      </c>
      <c r="CZ103" t="e">
        <f>AND(Liste!#REF!,"AAAAAHv+O2c=")</f>
        <v>#REF!</v>
      </c>
      <c r="DA103" t="e">
        <f>AND(Liste!#REF!,"AAAAAHv+O2g=")</f>
        <v>#REF!</v>
      </c>
      <c r="DB103" t="e">
        <f>AND(Liste!#REF!,"AAAAAHv+O2k=")</f>
        <v>#REF!</v>
      </c>
      <c r="DC103" t="e">
        <f>AND(Liste!#REF!,"AAAAAHv+O2o=")</f>
        <v>#REF!</v>
      </c>
      <c r="DD103" t="e">
        <f>AND(Liste!#REF!,"AAAAAHv+O2s=")</f>
        <v>#REF!</v>
      </c>
      <c r="DE103" t="e">
        <f>AND(Liste!#REF!,"AAAAAHv+O2w=")</f>
        <v>#REF!</v>
      </c>
      <c r="DF103" t="e">
        <f>AND(Liste!#REF!,"AAAAAHv+O20=")</f>
        <v>#REF!</v>
      </c>
      <c r="DG103" t="e">
        <f>AND(Liste!#REF!,"AAAAAHv+O24=")</f>
        <v>#REF!</v>
      </c>
      <c r="DH103" t="e">
        <f>AND(Liste!#REF!,"AAAAAHv+O28=")</f>
        <v>#REF!</v>
      </c>
      <c r="DI103" t="e">
        <f>AND(Liste!#REF!,"AAAAAHv+O3A=")</f>
        <v>#REF!</v>
      </c>
      <c r="DJ103" t="e">
        <f>AND(Liste!#REF!,"AAAAAHv+O3E=")</f>
        <v>#REF!</v>
      </c>
      <c r="DK103" t="e">
        <f>IF(Liste!#REF!,"AAAAAHv+O3I=",0)</f>
        <v>#REF!</v>
      </c>
      <c r="DL103" t="e">
        <f>AND(Liste!#REF!,"AAAAAHv+O3M=")</f>
        <v>#REF!</v>
      </c>
      <c r="DM103" t="e">
        <f>AND(Liste!#REF!,"AAAAAHv+O3Q=")</f>
        <v>#REF!</v>
      </c>
      <c r="DN103" t="e">
        <f>AND(Liste!#REF!,"AAAAAHv+O3U=")</f>
        <v>#REF!</v>
      </c>
      <c r="DO103" t="e">
        <f>AND(Liste!#REF!,"AAAAAHv+O3Y=")</f>
        <v>#REF!</v>
      </c>
      <c r="DP103" t="e">
        <f>AND(Liste!#REF!,"AAAAAHv+O3c=")</f>
        <v>#REF!</v>
      </c>
      <c r="DQ103" t="e">
        <f>AND(Liste!#REF!,"AAAAAHv+O3g=")</f>
        <v>#REF!</v>
      </c>
      <c r="DR103" t="e">
        <f>AND(Liste!#REF!,"AAAAAHv+O3k=")</f>
        <v>#REF!</v>
      </c>
      <c r="DS103" t="e">
        <f>AND(Liste!#REF!,"AAAAAHv+O3o=")</f>
        <v>#REF!</v>
      </c>
      <c r="DT103" t="e">
        <f>AND(Liste!#REF!,"AAAAAHv+O3s=")</f>
        <v>#REF!</v>
      </c>
      <c r="DU103" t="e">
        <f>AND(Liste!#REF!,"AAAAAHv+O3w=")</f>
        <v>#REF!</v>
      </c>
      <c r="DV103" t="e">
        <f>AND(Liste!#REF!,"AAAAAHv+O30=")</f>
        <v>#REF!</v>
      </c>
      <c r="DW103" t="e">
        <f>AND(Liste!#REF!,"AAAAAHv+O34=")</f>
        <v>#REF!</v>
      </c>
      <c r="DX103" t="e">
        <f>AND(Liste!#REF!,"AAAAAHv+O38=")</f>
        <v>#REF!</v>
      </c>
      <c r="DY103" t="e">
        <f>AND(Liste!#REF!,"AAAAAHv+O4A=")</f>
        <v>#REF!</v>
      </c>
      <c r="DZ103" t="e">
        <f>AND(Liste!#REF!,"AAAAAHv+O4E=")</f>
        <v>#REF!</v>
      </c>
      <c r="EA103" t="e">
        <f>AND(Liste!#REF!,"AAAAAHv+O4I=")</f>
        <v>#REF!</v>
      </c>
      <c r="EB103" t="e">
        <f>AND(Liste!#REF!,"AAAAAHv+O4M=")</f>
        <v>#REF!</v>
      </c>
      <c r="EC103" t="e">
        <f>AND(Liste!#REF!,"AAAAAHv+O4Q=")</f>
        <v>#REF!</v>
      </c>
      <c r="ED103" t="e">
        <f>AND(Liste!#REF!,"AAAAAHv+O4U=")</f>
        <v>#REF!</v>
      </c>
      <c r="EE103" t="e">
        <f>AND(Liste!#REF!,"AAAAAHv+O4Y=")</f>
        <v>#REF!</v>
      </c>
      <c r="EF103" t="e">
        <f>AND(Liste!#REF!,"AAAAAHv+O4c=")</f>
        <v>#REF!</v>
      </c>
      <c r="EG103" t="e">
        <f>AND(Liste!#REF!,"AAAAAHv+O4g=")</f>
        <v>#REF!</v>
      </c>
      <c r="EH103" t="e">
        <f>AND(Liste!#REF!,"AAAAAHv+O4k=")</f>
        <v>#REF!</v>
      </c>
      <c r="EI103" t="e">
        <f>AND(Liste!#REF!,"AAAAAHv+O4o=")</f>
        <v>#REF!</v>
      </c>
      <c r="EJ103" t="e">
        <f>AND(Liste!#REF!,"AAAAAHv+O4s=")</f>
        <v>#REF!</v>
      </c>
      <c r="EK103" t="e">
        <f>AND(Liste!#REF!,"AAAAAHv+O4w=")</f>
        <v>#REF!</v>
      </c>
      <c r="EL103" t="e">
        <f>AND(Liste!#REF!,"AAAAAHv+O40=")</f>
        <v>#REF!</v>
      </c>
      <c r="EM103" t="e">
        <f>AND(Liste!#REF!,"AAAAAHv+O44=")</f>
        <v>#REF!</v>
      </c>
      <c r="EN103" t="e">
        <f>AND(Liste!#REF!,"AAAAAHv+O48=")</f>
        <v>#REF!</v>
      </c>
      <c r="EO103" t="e">
        <f>AND(Liste!#REF!,"AAAAAHv+O5A=")</f>
        <v>#REF!</v>
      </c>
      <c r="EP103" t="e">
        <f>IF(Liste!#REF!,"AAAAAHv+O5E=",0)</f>
        <v>#REF!</v>
      </c>
      <c r="EQ103" t="e">
        <f>AND(Liste!#REF!,"AAAAAHv+O5I=")</f>
        <v>#REF!</v>
      </c>
      <c r="ER103" t="e">
        <f>AND(Liste!#REF!,"AAAAAHv+O5M=")</f>
        <v>#REF!</v>
      </c>
      <c r="ES103" t="e">
        <f>AND(Liste!#REF!,"AAAAAHv+O5Q=")</f>
        <v>#REF!</v>
      </c>
      <c r="ET103" t="e">
        <f>AND(Liste!#REF!,"AAAAAHv+O5U=")</f>
        <v>#REF!</v>
      </c>
      <c r="EU103" t="e">
        <f>AND(Liste!#REF!,"AAAAAHv+O5Y=")</f>
        <v>#REF!</v>
      </c>
      <c r="EV103" t="e">
        <f>AND(Liste!#REF!,"AAAAAHv+O5c=")</f>
        <v>#REF!</v>
      </c>
      <c r="EW103" t="e">
        <f>AND(Liste!#REF!,"AAAAAHv+O5g=")</f>
        <v>#REF!</v>
      </c>
      <c r="EX103" t="e">
        <f>AND(Liste!#REF!,"AAAAAHv+O5k=")</f>
        <v>#REF!</v>
      </c>
      <c r="EY103" t="e">
        <f>AND(Liste!#REF!,"AAAAAHv+O5o=")</f>
        <v>#REF!</v>
      </c>
      <c r="EZ103" t="e">
        <f>AND(Liste!#REF!,"AAAAAHv+O5s=")</f>
        <v>#REF!</v>
      </c>
      <c r="FA103" t="e">
        <f>AND(Liste!#REF!,"AAAAAHv+O5w=")</f>
        <v>#REF!</v>
      </c>
      <c r="FB103" t="e">
        <f>AND(Liste!#REF!,"AAAAAHv+O50=")</f>
        <v>#REF!</v>
      </c>
      <c r="FC103" t="e">
        <f>AND(Liste!#REF!,"AAAAAHv+O54=")</f>
        <v>#REF!</v>
      </c>
      <c r="FD103" t="e">
        <f>AND(Liste!#REF!,"AAAAAHv+O58=")</f>
        <v>#REF!</v>
      </c>
      <c r="FE103" t="e">
        <f>AND(Liste!#REF!,"AAAAAHv+O6A=")</f>
        <v>#REF!</v>
      </c>
      <c r="FF103" t="e">
        <f>AND(Liste!#REF!,"AAAAAHv+O6E=")</f>
        <v>#REF!</v>
      </c>
      <c r="FG103" t="e">
        <f>AND(Liste!#REF!,"AAAAAHv+O6I=")</f>
        <v>#REF!</v>
      </c>
      <c r="FH103" t="e">
        <f>AND(Liste!#REF!,"AAAAAHv+O6M=")</f>
        <v>#REF!</v>
      </c>
      <c r="FI103" t="e">
        <f>AND(Liste!#REF!,"AAAAAHv+O6Q=")</f>
        <v>#REF!</v>
      </c>
      <c r="FJ103" t="e">
        <f>AND(Liste!#REF!,"AAAAAHv+O6U=")</f>
        <v>#REF!</v>
      </c>
      <c r="FK103" t="e">
        <f>AND(Liste!#REF!,"AAAAAHv+O6Y=")</f>
        <v>#REF!</v>
      </c>
      <c r="FL103" t="e">
        <f>AND(Liste!#REF!,"AAAAAHv+O6c=")</f>
        <v>#REF!</v>
      </c>
      <c r="FM103" t="e">
        <f>AND(Liste!#REF!,"AAAAAHv+O6g=")</f>
        <v>#REF!</v>
      </c>
      <c r="FN103" t="e">
        <f>AND(Liste!#REF!,"AAAAAHv+O6k=")</f>
        <v>#REF!</v>
      </c>
      <c r="FO103" t="e">
        <f>AND(Liste!#REF!,"AAAAAHv+O6o=")</f>
        <v>#REF!</v>
      </c>
      <c r="FP103" t="e">
        <f>AND(Liste!#REF!,"AAAAAHv+O6s=")</f>
        <v>#REF!</v>
      </c>
      <c r="FQ103" t="e">
        <f>AND(Liste!#REF!,"AAAAAHv+O6w=")</f>
        <v>#REF!</v>
      </c>
      <c r="FR103" t="e">
        <f>AND(Liste!#REF!,"AAAAAHv+O60=")</f>
        <v>#REF!</v>
      </c>
      <c r="FS103" t="e">
        <f>AND(Liste!#REF!,"AAAAAHv+O64=")</f>
        <v>#REF!</v>
      </c>
      <c r="FT103" t="e">
        <f>AND(Liste!#REF!,"AAAAAHv+O68=")</f>
        <v>#REF!</v>
      </c>
      <c r="FU103" t="e">
        <f>IF(Liste!#REF!,"AAAAAHv+O7A=",0)</f>
        <v>#REF!</v>
      </c>
      <c r="FV103" t="e">
        <f>AND(Liste!#REF!,"AAAAAHv+O7E=")</f>
        <v>#REF!</v>
      </c>
      <c r="FW103" t="e">
        <f>AND(Liste!#REF!,"AAAAAHv+O7I=")</f>
        <v>#REF!</v>
      </c>
      <c r="FX103" t="e">
        <f>AND(Liste!#REF!,"AAAAAHv+O7M=")</f>
        <v>#REF!</v>
      </c>
      <c r="FY103" t="e">
        <f>AND(Liste!#REF!,"AAAAAHv+O7Q=")</f>
        <v>#REF!</v>
      </c>
      <c r="FZ103" t="e">
        <f>AND(Liste!#REF!,"AAAAAHv+O7U=")</f>
        <v>#REF!</v>
      </c>
      <c r="GA103" t="e">
        <f>AND(Liste!#REF!,"AAAAAHv+O7Y=")</f>
        <v>#REF!</v>
      </c>
      <c r="GB103" t="e">
        <f>AND(Liste!#REF!,"AAAAAHv+O7c=")</f>
        <v>#REF!</v>
      </c>
      <c r="GC103" t="e">
        <f>AND(Liste!#REF!,"AAAAAHv+O7g=")</f>
        <v>#REF!</v>
      </c>
      <c r="GD103" t="e">
        <f>AND(Liste!#REF!,"AAAAAHv+O7k=")</f>
        <v>#REF!</v>
      </c>
      <c r="GE103" t="e">
        <f>AND(Liste!#REF!,"AAAAAHv+O7o=")</f>
        <v>#REF!</v>
      </c>
      <c r="GF103" t="e">
        <f>AND(Liste!#REF!,"AAAAAHv+O7s=")</f>
        <v>#REF!</v>
      </c>
      <c r="GG103" t="e">
        <f>AND(Liste!#REF!,"AAAAAHv+O7w=")</f>
        <v>#REF!</v>
      </c>
      <c r="GH103" t="e">
        <f>AND(Liste!#REF!,"AAAAAHv+O70=")</f>
        <v>#REF!</v>
      </c>
      <c r="GI103" t="e">
        <f>AND(Liste!#REF!,"AAAAAHv+O74=")</f>
        <v>#REF!</v>
      </c>
      <c r="GJ103" t="e">
        <f>AND(Liste!#REF!,"AAAAAHv+O78=")</f>
        <v>#REF!</v>
      </c>
      <c r="GK103" t="e">
        <f>AND(Liste!#REF!,"AAAAAHv+O8A=")</f>
        <v>#REF!</v>
      </c>
      <c r="GL103" t="e">
        <f>AND(Liste!#REF!,"AAAAAHv+O8E=")</f>
        <v>#REF!</v>
      </c>
      <c r="GM103" t="e">
        <f>AND(Liste!#REF!,"AAAAAHv+O8I=")</f>
        <v>#REF!</v>
      </c>
      <c r="GN103" t="e">
        <f>AND(Liste!#REF!,"AAAAAHv+O8M=")</f>
        <v>#REF!</v>
      </c>
      <c r="GO103" t="e">
        <f>AND(Liste!#REF!,"AAAAAHv+O8Q=")</f>
        <v>#REF!</v>
      </c>
      <c r="GP103" t="e">
        <f>AND(Liste!#REF!,"AAAAAHv+O8U=")</f>
        <v>#REF!</v>
      </c>
      <c r="GQ103" t="e">
        <f>AND(Liste!#REF!,"AAAAAHv+O8Y=")</f>
        <v>#REF!</v>
      </c>
      <c r="GR103" t="e">
        <f>AND(Liste!#REF!,"AAAAAHv+O8c=")</f>
        <v>#REF!</v>
      </c>
      <c r="GS103" t="e">
        <f>AND(Liste!#REF!,"AAAAAHv+O8g=")</f>
        <v>#REF!</v>
      </c>
      <c r="GT103" t="e">
        <f>AND(Liste!#REF!,"AAAAAHv+O8k=")</f>
        <v>#REF!</v>
      </c>
      <c r="GU103" t="e">
        <f>AND(Liste!#REF!,"AAAAAHv+O8o=")</f>
        <v>#REF!</v>
      </c>
      <c r="GV103" t="e">
        <f>AND(Liste!#REF!,"AAAAAHv+O8s=")</f>
        <v>#REF!</v>
      </c>
      <c r="GW103" t="e">
        <f>AND(Liste!#REF!,"AAAAAHv+O8w=")</f>
        <v>#REF!</v>
      </c>
      <c r="GX103" t="e">
        <f>AND(Liste!#REF!,"AAAAAHv+O80=")</f>
        <v>#REF!</v>
      </c>
      <c r="GY103" t="e">
        <f>AND(Liste!#REF!,"AAAAAHv+O84=")</f>
        <v>#REF!</v>
      </c>
      <c r="GZ103" t="e">
        <f>IF(Liste!#REF!,"AAAAAHv+O88=",0)</f>
        <v>#REF!</v>
      </c>
      <c r="HA103" t="e">
        <f>AND(Liste!#REF!,"AAAAAHv+O9A=")</f>
        <v>#REF!</v>
      </c>
      <c r="HB103" t="e">
        <f>AND(Liste!#REF!,"AAAAAHv+O9E=")</f>
        <v>#REF!</v>
      </c>
      <c r="HC103" t="e">
        <f>AND(Liste!#REF!,"AAAAAHv+O9I=")</f>
        <v>#REF!</v>
      </c>
      <c r="HD103" t="e">
        <f>AND(Liste!#REF!,"AAAAAHv+O9M=")</f>
        <v>#REF!</v>
      </c>
      <c r="HE103" t="e">
        <f>AND(Liste!#REF!,"AAAAAHv+O9Q=")</f>
        <v>#REF!</v>
      </c>
      <c r="HF103" t="e">
        <f>AND(Liste!#REF!,"AAAAAHv+O9U=")</f>
        <v>#REF!</v>
      </c>
      <c r="HG103" t="e">
        <f>AND(Liste!#REF!,"AAAAAHv+O9Y=")</f>
        <v>#REF!</v>
      </c>
      <c r="HH103" t="e">
        <f>AND(Liste!#REF!,"AAAAAHv+O9c=")</f>
        <v>#REF!</v>
      </c>
      <c r="HI103" t="e">
        <f>AND(Liste!#REF!,"AAAAAHv+O9g=")</f>
        <v>#REF!</v>
      </c>
      <c r="HJ103" t="e">
        <f>AND(Liste!#REF!,"AAAAAHv+O9k=")</f>
        <v>#REF!</v>
      </c>
      <c r="HK103" t="e">
        <f>AND(Liste!#REF!,"AAAAAHv+O9o=")</f>
        <v>#REF!</v>
      </c>
      <c r="HL103" t="e">
        <f>AND(Liste!#REF!,"AAAAAHv+O9s=")</f>
        <v>#REF!</v>
      </c>
      <c r="HM103" t="e">
        <f>AND(Liste!#REF!,"AAAAAHv+O9w=")</f>
        <v>#REF!</v>
      </c>
      <c r="HN103" t="e">
        <f>AND(Liste!#REF!,"AAAAAHv+O90=")</f>
        <v>#REF!</v>
      </c>
      <c r="HO103" t="e">
        <f>AND(Liste!#REF!,"AAAAAHv+O94=")</f>
        <v>#REF!</v>
      </c>
      <c r="HP103" t="e">
        <f>AND(Liste!#REF!,"AAAAAHv+O98=")</f>
        <v>#REF!</v>
      </c>
      <c r="HQ103" t="e">
        <f>AND(Liste!#REF!,"AAAAAHv+O+A=")</f>
        <v>#REF!</v>
      </c>
      <c r="HR103" t="e">
        <f>AND(Liste!#REF!,"AAAAAHv+O+E=")</f>
        <v>#REF!</v>
      </c>
      <c r="HS103" t="e">
        <f>AND(Liste!#REF!,"AAAAAHv+O+I=")</f>
        <v>#REF!</v>
      </c>
      <c r="HT103" t="e">
        <f>AND(Liste!#REF!,"AAAAAHv+O+M=")</f>
        <v>#REF!</v>
      </c>
      <c r="HU103" t="e">
        <f>AND(Liste!#REF!,"AAAAAHv+O+Q=")</f>
        <v>#REF!</v>
      </c>
      <c r="HV103" t="e">
        <f>AND(Liste!#REF!,"AAAAAHv+O+U=")</f>
        <v>#REF!</v>
      </c>
      <c r="HW103" t="e">
        <f>AND(Liste!#REF!,"AAAAAHv+O+Y=")</f>
        <v>#REF!</v>
      </c>
      <c r="HX103" t="e">
        <f>AND(Liste!#REF!,"AAAAAHv+O+c=")</f>
        <v>#REF!</v>
      </c>
      <c r="HY103" t="e">
        <f>AND(Liste!#REF!,"AAAAAHv+O+g=")</f>
        <v>#REF!</v>
      </c>
      <c r="HZ103" t="e">
        <f>AND(Liste!#REF!,"AAAAAHv+O+k=")</f>
        <v>#REF!</v>
      </c>
      <c r="IA103" t="e">
        <f>AND(Liste!#REF!,"AAAAAHv+O+o=")</f>
        <v>#REF!</v>
      </c>
      <c r="IB103" t="e">
        <f>AND(Liste!#REF!,"AAAAAHv+O+s=")</f>
        <v>#REF!</v>
      </c>
      <c r="IC103" t="e">
        <f>AND(Liste!#REF!,"AAAAAHv+O+w=")</f>
        <v>#REF!</v>
      </c>
      <c r="ID103" t="e">
        <f>AND(Liste!#REF!,"AAAAAHv+O+0=")</f>
        <v>#REF!</v>
      </c>
      <c r="IE103" t="e">
        <f>IF(Liste!#REF!,"AAAAAHv+O+4=",0)</f>
        <v>#REF!</v>
      </c>
      <c r="IF103" t="e">
        <f>AND(Liste!#REF!,"AAAAAHv+O+8=")</f>
        <v>#REF!</v>
      </c>
      <c r="IG103" t="e">
        <f>AND(Liste!#REF!,"AAAAAHv+O/A=")</f>
        <v>#REF!</v>
      </c>
      <c r="IH103" t="e">
        <f>AND(Liste!#REF!,"AAAAAHv+O/E=")</f>
        <v>#REF!</v>
      </c>
      <c r="II103" t="e">
        <f>AND(Liste!#REF!,"AAAAAHv+O/I=")</f>
        <v>#REF!</v>
      </c>
      <c r="IJ103" t="e">
        <f>AND(Liste!#REF!,"AAAAAHv+O/M=")</f>
        <v>#REF!</v>
      </c>
      <c r="IK103" t="e">
        <f>AND(Liste!#REF!,"AAAAAHv+O/Q=")</f>
        <v>#REF!</v>
      </c>
      <c r="IL103" t="e">
        <f>AND(Liste!#REF!,"AAAAAHv+O/U=")</f>
        <v>#REF!</v>
      </c>
      <c r="IM103" t="e">
        <f>AND(Liste!#REF!,"AAAAAHv+O/Y=")</f>
        <v>#REF!</v>
      </c>
      <c r="IN103" t="e">
        <f>AND(Liste!#REF!,"AAAAAHv+O/c=")</f>
        <v>#REF!</v>
      </c>
      <c r="IO103" t="e">
        <f>AND(Liste!#REF!,"AAAAAHv+O/g=")</f>
        <v>#REF!</v>
      </c>
      <c r="IP103" t="e">
        <f>AND(Liste!#REF!,"AAAAAHv+O/k=")</f>
        <v>#REF!</v>
      </c>
      <c r="IQ103" t="e">
        <f>AND(Liste!#REF!,"AAAAAHv+O/o=")</f>
        <v>#REF!</v>
      </c>
      <c r="IR103" t="e">
        <f>AND(Liste!#REF!,"AAAAAHv+O/s=")</f>
        <v>#REF!</v>
      </c>
      <c r="IS103" t="e">
        <f>AND(Liste!#REF!,"AAAAAHv+O/w=")</f>
        <v>#REF!</v>
      </c>
      <c r="IT103" t="e">
        <f>AND(Liste!#REF!,"AAAAAHv+O/0=")</f>
        <v>#REF!</v>
      </c>
      <c r="IU103" t="e">
        <f>AND(Liste!#REF!,"AAAAAHv+O/4=")</f>
        <v>#REF!</v>
      </c>
      <c r="IV103" t="e">
        <f>AND(Liste!#REF!,"AAAAAHv+O/8=")</f>
        <v>#REF!</v>
      </c>
    </row>
    <row r="104" spans="1:256" x14ac:dyDescent="0.2">
      <c r="A104" t="e">
        <f>AND(Liste!#REF!,"AAAAAH+27wA=")</f>
        <v>#REF!</v>
      </c>
      <c r="B104" t="e">
        <f>AND(Liste!#REF!,"AAAAAH+27wE=")</f>
        <v>#REF!</v>
      </c>
      <c r="C104" t="e">
        <f>AND(Liste!#REF!,"AAAAAH+27wI=")</f>
        <v>#REF!</v>
      </c>
      <c r="D104" t="e">
        <f>AND(Liste!#REF!,"AAAAAH+27wM=")</f>
        <v>#REF!</v>
      </c>
      <c r="E104" t="e">
        <f>AND(Liste!#REF!,"AAAAAH+27wQ=")</f>
        <v>#REF!</v>
      </c>
      <c r="F104" t="e">
        <f>AND(Liste!#REF!,"AAAAAH+27wU=")</f>
        <v>#REF!</v>
      </c>
      <c r="G104" t="e">
        <f>AND(Liste!#REF!,"AAAAAH+27wY=")</f>
        <v>#REF!</v>
      </c>
      <c r="H104" t="e">
        <f>AND(Liste!#REF!,"AAAAAH+27wc=")</f>
        <v>#REF!</v>
      </c>
      <c r="I104" t="e">
        <f>AND(Liste!#REF!,"AAAAAH+27wg=")</f>
        <v>#REF!</v>
      </c>
      <c r="J104" t="e">
        <f>AND(Liste!#REF!,"AAAAAH+27wk=")</f>
        <v>#REF!</v>
      </c>
      <c r="K104" t="e">
        <f>AND(Liste!#REF!,"AAAAAH+27wo=")</f>
        <v>#REF!</v>
      </c>
      <c r="L104" t="e">
        <f>AND(Liste!#REF!,"AAAAAH+27ws=")</f>
        <v>#REF!</v>
      </c>
      <c r="M104" t="e">
        <f>AND(Liste!#REF!,"AAAAAH+27ww=")</f>
        <v>#REF!</v>
      </c>
      <c r="N104" t="e">
        <f>IF(Liste!#REF!,"AAAAAH+27w0=",0)</f>
        <v>#REF!</v>
      </c>
      <c r="O104" t="e">
        <f>AND(Liste!#REF!,"AAAAAH+27w4=")</f>
        <v>#REF!</v>
      </c>
      <c r="P104" t="e">
        <f>AND(Liste!#REF!,"AAAAAH+27w8=")</f>
        <v>#REF!</v>
      </c>
      <c r="Q104" t="e">
        <f>AND(Liste!#REF!,"AAAAAH+27xA=")</f>
        <v>#REF!</v>
      </c>
      <c r="R104" t="e">
        <f>AND(Liste!#REF!,"AAAAAH+27xE=")</f>
        <v>#REF!</v>
      </c>
      <c r="S104" t="e">
        <f>AND(Liste!#REF!,"AAAAAH+27xI=")</f>
        <v>#REF!</v>
      </c>
      <c r="T104" t="e">
        <f>AND(Liste!#REF!,"AAAAAH+27xM=")</f>
        <v>#REF!</v>
      </c>
      <c r="U104" t="e">
        <f>AND(Liste!#REF!,"AAAAAH+27xQ=")</f>
        <v>#REF!</v>
      </c>
      <c r="V104" t="e">
        <f>AND(Liste!#REF!,"AAAAAH+27xU=")</f>
        <v>#REF!</v>
      </c>
      <c r="W104" t="e">
        <f>AND(Liste!#REF!,"AAAAAH+27xY=")</f>
        <v>#REF!</v>
      </c>
      <c r="X104" t="e">
        <f>AND(Liste!#REF!,"AAAAAH+27xc=")</f>
        <v>#REF!</v>
      </c>
      <c r="Y104" t="e">
        <f>AND(Liste!#REF!,"AAAAAH+27xg=")</f>
        <v>#REF!</v>
      </c>
      <c r="Z104" t="e">
        <f>AND(Liste!#REF!,"AAAAAH+27xk=")</f>
        <v>#REF!</v>
      </c>
      <c r="AA104" t="e">
        <f>AND(Liste!#REF!,"AAAAAH+27xo=")</f>
        <v>#REF!</v>
      </c>
      <c r="AB104" t="e">
        <f>AND(Liste!#REF!,"AAAAAH+27xs=")</f>
        <v>#REF!</v>
      </c>
      <c r="AC104" t="e">
        <f>AND(Liste!#REF!,"AAAAAH+27xw=")</f>
        <v>#REF!</v>
      </c>
      <c r="AD104" t="e">
        <f>AND(Liste!#REF!,"AAAAAH+27x0=")</f>
        <v>#REF!</v>
      </c>
      <c r="AE104" t="e">
        <f>AND(Liste!#REF!,"AAAAAH+27x4=")</f>
        <v>#REF!</v>
      </c>
      <c r="AF104" t="e">
        <f>AND(Liste!#REF!,"AAAAAH+27x8=")</f>
        <v>#REF!</v>
      </c>
      <c r="AG104" t="e">
        <f>AND(Liste!#REF!,"AAAAAH+27yA=")</f>
        <v>#REF!</v>
      </c>
      <c r="AH104" t="e">
        <f>AND(Liste!#REF!,"AAAAAH+27yE=")</f>
        <v>#REF!</v>
      </c>
      <c r="AI104" t="e">
        <f>AND(Liste!#REF!,"AAAAAH+27yI=")</f>
        <v>#REF!</v>
      </c>
      <c r="AJ104" t="e">
        <f>AND(Liste!#REF!,"AAAAAH+27yM=")</f>
        <v>#REF!</v>
      </c>
      <c r="AK104" t="e">
        <f>AND(Liste!#REF!,"AAAAAH+27yQ=")</f>
        <v>#REF!</v>
      </c>
      <c r="AL104" t="e">
        <f>AND(Liste!#REF!,"AAAAAH+27yU=")</f>
        <v>#REF!</v>
      </c>
      <c r="AM104" t="e">
        <f>AND(Liste!#REF!,"AAAAAH+27yY=")</f>
        <v>#REF!</v>
      </c>
      <c r="AN104" t="e">
        <f>AND(Liste!#REF!,"AAAAAH+27yc=")</f>
        <v>#REF!</v>
      </c>
      <c r="AO104" t="e">
        <f>AND(Liste!#REF!,"AAAAAH+27yg=")</f>
        <v>#REF!</v>
      </c>
      <c r="AP104" t="e">
        <f>AND(Liste!#REF!,"AAAAAH+27yk=")</f>
        <v>#REF!</v>
      </c>
      <c r="AQ104" t="e">
        <f>AND(Liste!#REF!,"AAAAAH+27yo=")</f>
        <v>#REF!</v>
      </c>
      <c r="AR104" t="e">
        <f>AND(Liste!#REF!,"AAAAAH+27ys=")</f>
        <v>#REF!</v>
      </c>
      <c r="AS104" t="e">
        <f>IF(Liste!#REF!,"AAAAAH+27yw=",0)</f>
        <v>#REF!</v>
      </c>
      <c r="AT104" t="e">
        <f>AND(Liste!#REF!,"AAAAAH+27y0=")</f>
        <v>#REF!</v>
      </c>
      <c r="AU104" t="e">
        <f>AND(Liste!#REF!,"AAAAAH+27y4=")</f>
        <v>#REF!</v>
      </c>
      <c r="AV104" t="e">
        <f>AND(Liste!#REF!,"AAAAAH+27y8=")</f>
        <v>#REF!</v>
      </c>
      <c r="AW104" t="e">
        <f>AND(Liste!#REF!,"AAAAAH+27zA=")</f>
        <v>#REF!</v>
      </c>
      <c r="AX104" t="e">
        <f>AND(Liste!#REF!,"AAAAAH+27zE=")</f>
        <v>#REF!</v>
      </c>
      <c r="AY104" t="e">
        <f>AND(Liste!#REF!,"AAAAAH+27zI=")</f>
        <v>#REF!</v>
      </c>
      <c r="AZ104" t="e">
        <f>AND(Liste!#REF!,"AAAAAH+27zM=")</f>
        <v>#REF!</v>
      </c>
      <c r="BA104" t="e">
        <f>AND(Liste!#REF!,"AAAAAH+27zQ=")</f>
        <v>#REF!</v>
      </c>
      <c r="BB104" t="e">
        <f>AND(Liste!#REF!,"AAAAAH+27zU=")</f>
        <v>#REF!</v>
      </c>
      <c r="BC104" t="e">
        <f>AND(Liste!#REF!,"AAAAAH+27zY=")</f>
        <v>#REF!</v>
      </c>
      <c r="BD104" t="e">
        <f>AND(Liste!#REF!,"AAAAAH+27zc=")</f>
        <v>#REF!</v>
      </c>
      <c r="BE104" t="e">
        <f>AND(Liste!#REF!,"AAAAAH+27zg=")</f>
        <v>#REF!</v>
      </c>
      <c r="BF104" t="e">
        <f>AND(Liste!#REF!,"AAAAAH+27zk=")</f>
        <v>#REF!</v>
      </c>
      <c r="BG104" t="e">
        <f>AND(Liste!#REF!,"AAAAAH+27zo=")</f>
        <v>#REF!</v>
      </c>
      <c r="BH104" t="e">
        <f>AND(Liste!#REF!,"AAAAAH+27zs=")</f>
        <v>#REF!</v>
      </c>
      <c r="BI104" t="e">
        <f>AND(Liste!#REF!,"AAAAAH+27zw=")</f>
        <v>#REF!</v>
      </c>
      <c r="BJ104" t="e">
        <f>AND(Liste!#REF!,"AAAAAH+27z0=")</f>
        <v>#REF!</v>
      </c>
      <c r="BK104" t="e">
        <f>AND(Liste!#REF!,"AAAAAH+27z4=")</f>
        <v>#REF!</v>
      </c>
      <c r="BL104" t="e">
        <f>AND(Liste!#REF!,"AAAAAH+27z8=")</f>
        <v>#REF!</v>
      </c>
      <c r="BM104" t="e">
        <f>AND(Liste!#REF!,"AAAAAH+270A=")</f>
        <v>#REF!</v>
      </c>
      <c r="BN104" t="e">
        <f>AND(Liste!#REF!,"AAAAAH+270E=")</f>
        <v>#REF!</v>
      </c>
      <c r="BO104" t="e">
        <f>AND(Liste!#REF!,"AAAAAH+270I=")</f>
        <v>#REF!</v>
      </c>
      <c r="BP104" t="e">
        <f>AND(Liste!#REF!,"AAAAAH+270M=")</f>
        <v>#REF!</v>
      </c>
      <c r="BQ104" t="e">
        <f>AND(Liste!#REF!,"AAAAAH+270Q=")</f>
        <v>#REF!</v>
      </c>
      <c r="BR104" t="e">
        <f>AND(Liste!#REF!,"AAAAAH+270U=")</f>
        <v>#REF!</v>
      </c>
      <c r="BS104" t="e">
        <f>AND(Liste!#REF!,"AAAAAH+270Y=")</f>
        <v>#REF!</v>
      </c>
      <c r="BT104" t="e">
        <f>AND(Liste!#REF!,"AAAAAH+270c=")</f>
        <v>#REF!</v>
      </c>
      <c r="BU104" t="e">
        <f>AND(Liste!#REF!,"AAAAAH+270g=")</f>
        <v>#REF!</v>
      </c>
      <c r="BV104" t="e">
        <f>AND(Liste!#REF!,"AAAAAH+270k=")</f>
        <v>#REF!</v>
      </c>
      <c r="BW104" t="e">
        <f>AND(Liste!#REF!,"AAAAAH+270o=")</f>
        <v>#REF!</v>
      </c>
      <c r="BX104" t="e">
        <f>IF(Liste!#REF!,"AAAAAH+270s=",0)</f>
        <v>#REF!</v>
      </c>
      <c r="BY104" t="e">
        <f>AND(Liste!#REF!,"AAAAAH+270w=")</f>
        <v>#REF!</v>
      </c>
      <c r="BZ104" t="e">
        <f>AND(Liste!#REF!,"AAAAAH+2700=")</f>
        <v>#REF!</v>
      </c>
      <c r="CA104" t="e">
        <f>AND(Liste!#REF!,"AAAAAH+2704=")</f>
        <v>#REF!</v>
      </c>
      <c r="CB104" t="e">
        <f>AND(Liste!#REF!,"AAAAAH+2708=")</f>
        <v>#REF!</v>
      </c>
      <c r="CC104" t="e">
        <f>AND(Liste!#REF!,"AAAAAH+271A=")</f>
        <v>#REF!</v>
      </c>
      <c r="CD104" t="e">
        <f>AND(Liste!#REF!,"AAAAAH+271E=")</f>
        <v>#REF!</v>
      </c>
      <c r="CE104" t="e">
        <f>AND(Liste!#REF!,"AAAAAH+271I=")</f>
        <v>#REF!</v>
      </c>
      <c r="CF104" t="e">
        <f>AND(Liste!#REF!,"AAAAAH+271M=")</f>
        <v>#REF!</v>
      </c>
      <c r="CG104" t="e">
        <f>AND(Liste!#REF!,"AAAAAH+271Q=")</f>
        <v>#REF!</v>
      </c>
      <c r="CH104" t="e">
        <f>AND(Liste!#REF!,"AAAAAH+271U=")</f>
        <v>#REF!</v>
      </c>
      <c r="CI104" t="e">
        <f>AND(Liste!#REF!,"AAAAAH+271Y=")</f>
        <v>#REF!</v>
      </c>
      <c r="CJ104" t="e">
        <f>AND(Liste!#REF!,"AAAAAH+271c=")</f>
        <v>#REF!</v>
      </c>
      <c r="CK104" t="e">
        <f>AND(Liste!#REF!,"AAAAAH+271g=")</f>
        <v>#REF!</v>
      </c>
      <c r="CL104" t="e">
        <f>AND(Liste!#REF!,"AAAAAH+271k=")</f>
        <v>#REF!</v>
      </c>
      <c r="CM104" t="e">
        <f>AND(Liste!#REF!,"AAAAAH+271o=")</f>
        <v>#REF!</v>
      </c>
      <c r="CN104" t="e">
        <f>AND(Liste!#REF!,"AAAAAH+271s=")</f>
        <v>#REF!</v>
      </c>
      <c r="CO104" t="e">
        <f>AND(Liste!#REF!,"AAAAAH+271w=")</f>
        <v>#REF!</v>
      </c>
      <c r="CP104" t="e">
        <f>AND(Liste!#REF!,"AAAAAH+2710=")</f>
        <v>#REF!</v>
      </c>
      <c r="CQ104" t="e">
        <f>AND(Liste!#REF!,"AAAAAH+2714=")</f>
        <v>#REF!</v>
      </c>
      <c r="CR104" t="e">
        <f>AND(Liste!#REF!,"AAAAAH+2718=")</f>
        <v>#REF!</v>
      </c>
      <c r="CS104" t="e">
        <f>AND(Liste!#REF!,"AAAAAH+272A=")</f>
        <v>#REF!</v>
      </c>
      <c r="CT104" t="e">
        <f>AND(Liste!#REF!,"AAAAAH+272E=")</f>
        <v>#REF!</v>
      </c>
      <c r="CU104" t="e">
        <f>AND(Liste!#REF!,"AAAAAH+272I=")</f>
        <v>#REF!</v>
      </c>
      <c r="CV104" t="e">
        <f>AND(Liste!#REF!,"AAAAAH+272M=")</f>
        <v>#REF!</v>
      </c>
      <c r="CW104" t="e">
        <f>AND(Liste!#REF!,"AAAAAH+272Q=")</f>
        <v>#REF!</v>
      </c>
      <c r="CX104" t="e">
        <f>AND(Liste!#REF!,"AAAAAH+272U=")</f>
        <v>#REF!</v>
      </c>
      <c r="CY104" t="e">
        <f>AND(Liste!#REF!,"AAAAAH+272Y=")</f>
        <v>#REF!</v>
      </c>
      <c r="CZ104" t="e">
        <f>AND(Liste!#REF!,"AAAAAH+272c=")</f>
        <v>#REF!</v>
      </c>
      <c r="DA104" t="e">
        <f>AND(Liste!#REF!,"AAAAAH+272g=")</f>
        <v>#REF!</v>
      </c>
      <c r="DB104" t="e">
        <f>AND(Liste!#REF!,"AAAAAH+272k=")</f>
        <v>#REF!</v>
      </c>
      <c r="DC104">
        <f>IF(Liste!545:545,"AAAAAH+272o=",0)</f>
        <v>0</v>
      </c>
      <c r="DD104" t="e">
        <f>AND(Liste!A545,"AAAAAH+272s=")</f>
        <v>#VALUE!</v>
      </c>
      <c r="DE104" t="e">
        <f>AND(Liste!#REF!,"AAAAAH+272w=")</f>
        <v>#REF!</v>
      </c>
      <c r="DF104" t="e">
        <f>AND(Liste!#REF!,"AAAAAH+2720=")</f>
        <v>#REF!</v>
      </c>
      <c r="DG104" t="e">
        <f>AND(Liste!#REF!,"AAAAAH+2724=")</f>
        <v>#REF!</v>
      </c>
      <c r="DH104" t="e">
        <f>AND(Liste!F545,"AAAAAH+2728=")</f>
        <v>#VALUE!</v>
      </c>
      <c r="DI104" t="e">
        <f>AND(Liste!G545,"AAAAAH+273A=")</f>
        <v>#VALUE!</v>
      </c>
      <c r="DJ104" t="e">
        <f>AND(Liste!H545,"AAAAAH+273E=")</f>
        <v>#VALUE!</v>
      </c>
      <c r="DK104" t="e">
        <f>AND(Liste!I545,"AAAAAH+273I=")</f>
        <v>#VALUE!</v>
      </c>
      <c r="DL104" t="e">
        <f>AND(Liste!J545,"AAAAAH+273M=")</f>
        <v>#VALUE!</v>
      </c>
      <c r="DM104" t="e">
        <f>AND(Liste!#REF!,"AAAAAH+273Q=")</f>
        <v>#REF!</v>
      </c>
      <c r="DN104" t="e">
        <f>AND(Liste!#REF!,"AAAAAH+273U=")</f>
        <v>#REF!</v>
      </c>
      <c r="DO104" t="e">
        <f>AND(Liste!#REF!,"AAAAAH+273Y=")</f>
        <v>#REF!</v>
      </c>
      <c r="DP104" t="e">
        <f>AND(Liste!#REF!,"AAAAAH+273c=")</f>
        <v>#REF!</v>
      </c>
      <c r="DQ104" t="e">
        <f>AND(Liste!#REF!,"AAAAAH+273g=")</f>
        <v>#REF!</v>
      </c>
      <c r="DR104" t="e">
        <f>AND(Liste!#REF!,"AAAAAH+273k=")</f>
        <v>#REF!</v>
      </c>
      <c r="DS104" t="e">
        <f>AND(Liste!#REF!,"AAAAAH+273o=")</f>
        <v>#REF!</v>
      </c>
      <c r="DT104" t="e">
        <f>AND(Liste!#REF!,"AAAAAH+273s=")</f>
        <v>#REF!</v>
      </c>
      <c r="DU104" t="e">
        <f>AND(Liste!#REF!,"AAAAAH+273w=")</f>
        <v>#REF!</v>
      </c>
      <c r="DV104" t="e">
        <f>AND(Liste!#REF!,"AAAAAH+2730=")</f>
        <v>#REF!</v>
      </c>
      <c r="DW104" t="e">
        <f>AND(Liste!#REF!,"AAAAAH+2734=")</f>
        <v>#REF!</v>
      </c>
      <c r="DX104" t="e">
        <f>AND(Liste!#REF!,"AAAAAH+2738=")</f>
        <v>#REF!</v>
      </c>
      <c r="DY104" t="e">
        <f>AND(Liste!#REF!,"AAAAAH+274A=")</f>
        <v>#REF!</v>
      </c>
      <c r="DZ104" t="e">
        <f>AND(Liste!#REF!,"AAAAAH+274E=")</f>
        <v>#REF!</v>
      </c>
      <c r="EA104" t="e">
        <f>AND(Liste!#REF!,"AAAAAH+274I=")</f>
        <v>#REF!</v>
      </c>
      <c r="EB104" t="e">
        <f>AND(Liste!#REF!,"AAAAAH+274M=")</f>
        <v>#REF!</v>
      </c>
      <c r="EC104" t="e">
        <f>AND(Liste!#REF!,"AAAAAH+274Q=")</f>
        <v>#REF!</v>
      </c>
      <c r="ED104" t="e">
        <f>AND(Liste!#REF!,"AAAAAH+274U=")</f>
        <v>#REF!</v>
      </c>
      <c r="EE104" t="e">
        <f>AND(Liste!#REF!,"AAAAAH+274Y=")</f>
        <v>#REF!</v>
      </c>
      <c r="EF104" t="e">
        <f>AND(Liste!#REF!,"AAAAAH+274c=")</f>
        <v>#REF!</v>
      </c>
      <c r="EG104" t="e">
        <f>AND(Liste!#REF!,"AAAAAH+274g=")</f>
        <v>#REF!</v>
      </c>
      <c r="EH104">
        <f>IF(Liste!546:546,"AAAAAH+274k=",0)</f>
        <v>0</v>
      </c>
      <c r="EI104" t="e">
        <f>AND(Liste!A546,"AAAAAH+274o=")</f>
        <v>#VALUE!</v>
      </c>
      <c r="EJ104" t="e">
        <f>AND(Liste!#REF!,"AAAAAH+274s=")</f>
        <v>#REF!</v>
      </c>
      <c r="EK104" t="e">
        <f>AND(Liste!#REF!,"AAAAAH+274w=")</f>
        <v>#REF!</v>
      </c>
      <c r="EL104" t="e">
        <f>AND(Liste!#REF!,"AAAAAH+2740=")</f>
        <v>#REF!</v>
      </c>
      <c r="EM104" t="e">
        <f>AND(Liste!F546,"AAAAAH+2744=")</f>
        <v>#VALUE!</v>
      </c>
      <c r="EN104" t="e">
        <f>AND(Liste!G546,"AAAAAH+2748=")</f>
        <v>#VALUE!</v>
      </c>
      <c r="EO104" t="e">
        <f>AND(Liste!H546,"AAAAAH+275A=")</f>
        <v>#VALUE!</v>
      </c>
      <c r="EP104" t="e">
        <f>AND(Liste!I546,"AAAAAH+275E=")</f>
        <v>#VALUE!</v>
      </c>
      <c r="EQ104" t="e">
        <f>AND(Liste!J546,"AAAAAH+275I=")</f>
        <v>#VALUE!</v>
      </c>
      <c r="ER104" t="e">
        <f>AND(Liste!#REF!,"AAAAAH+275M=")</f>
        <v>#REF!</v>
      </c>
      <c r="ES104" t="e">
        <f>AND(Liste!#REF!,"AAAAAH+275Q=")</f>
        <v>#REF!</v>
      </c>
      <c r="ET104" t="e">
        <f>AND(Liste!#REF!,"AAAAAH+275U=")</f>
        <v>#REF!</v>
      </c>
      <c r="EU104" t="e">
        <f>AND(Liste!#REF!,"AAAAAH+275Y=")</f>
        <v>#REF!</v>
      </c>
      <c r="EV104" t="e">
        <f>AND(Liste!#REF!,"AAAAAH+275c=")</f>
        <v>#REF!</v>
      </c>
      <c r="EW104" t="e">
        <f>AND(Liste!#REF!,"AAAAAH+275g=")</f>
        <v>#REF!</v>
      </c>
      <c r="EX104" t="e">
        <f>AND(Liste!#REF!,"AAAAAH+275k=")</f>
        <v>#REF!</v>
      </c>
      <c r="EY104" t="e">
        <f>AND(Liste!#REF!,"AAAAAH+275o=")</f>
        <v>#REF!</v>
      </c>
      <c r="EZ104" t="e">
        <f>AND(Liste!#REF!,"AAAAAH+275s=")</f>
        <v>#REF!</v>
      </c>
      <c r="FA104" t="e">
        <f>AND(Liste!#REF!,"AAAAAH+275w=")</f>
        <v>#REF!</v>
      </c>
      <c r="FB104" t="e">
        <f>AND(Liste!#REF!,"AAAAAH+2750=")</f>
        <v>#REF!</v>
      </c>
      <c r="FC104" t="e">
        <f>AND(Liste!#REF!,"AAAAAH+2754=")</f>
        <v>#REF!</v>
      </c>
      <c r="FD104" t="e">
        <f>AND(Liste!#REF!,"AAAAAH+2758=")</f>
        <v>#REF!</v>
      </c>
      <c r="FE104" t="e">
        <f>AND(Liste!#REF!,"AAAAAH+276A=")</f>
        <v>#REF!</v>
      </c>
      <c r="FF104" t="e">
        <f>AND(Liste!#REF!,"AAAAAH+276E=")</f>
        <v>#REF!</v>
      </c>
      <c r="FG104" t="e">
        <f>AND(Liste!#REF!,"AAAAAH+276I=")</f>
        <v>#REF!</v>
      </c>
      <c r="FH104" t="e">
        <f>AND(Liste!#REF!,"AAAAAH+276M=")</f>
        <v>#REF!</v>
      </c>
      <c r="FI104" t="e">
        <f>AND(Liste!#REF!,"AAAAAH+276Q=")</f>
        <v>#REF!</v>
      </c>
      <c r="FJ104" t="e">
        <f>AND(Liste!#REF!,"AAAAAH+276U=")</f>
        <v>#REF!</v>
      </c>
      <c r="FK104" t="e">
        <f>AND(Liste!#REF!,"AAAAAH+276Y=")</f>
        <v>#REF!</v>
      </c>
      <c r="FL104" t="e">
        <f>AND(Liste!#REF!,"AAAAAH+276c=")</f>
        <v>#REF!</v>
      </c>
      <c r="FM104">
        <f>IF(Liste!547:547,"AAAAAH+276g=",0)</f>
        <v>0</v>
      </c>
      <c r="FN104" t="b">
        <f>AND(Liste!A547,"AAAAAH+276k=")</f>
        <v>1</v>
      </c>
      <c r="FO104" t="e">
        <f>AND(Liste!#REF!,"AAAAAH+276o=")</f>
        <v>#REF!</v>
      </c>
      <c r="FP104" t="e">
        <f>AND(Liste!#REF!,"AAAAAH+276s=")</f>
        <v>#REF!</v>
      </c>
      <c r="FQ104" t="e">
        <f>AND(Liste!#REF!,"AAAAAH+276w=")</f>
        <v>#REF!</v>
      </c>
      <c r="FR104" t="e">
        <f>AND(Liste!F547,"AAAAAH+2760=")</f>
        <v>#VALUE!</v>
      </c>
      <c r="FS104" t="e">
        <f>AND(Liste!G547,"AAAAAH+2764=")</f>
        <v>#VALUE!</v>
      </c>
      <c r="FT104" t="e">
        <f>AND(Liste!H547,"AAAAAH+2768=")</f>
        <v>#VALUE!</v>
      </c>
      <c r="FU104" t="e">
        <f>AND(Liste!I547,"AAAAAH+277A=")</f>
        <v>#VALUE!</v>
      </c>
      <c r="FV104" t="e">
        <f>AND(Liste!J547,"AAAAAH+277E=")</f>
        <v>#VALUE!</v>
      </c>
      <c r="FW104" t="e">
        <f>AND(Liste!#REF!,"AAAAAH+277I=")</f>
        <v>#REF!</v>
      </c>
      <c r="FX104" t="e">
        <f>AND(Liste!#REF!,"AAAAAH+277M=")</f>
        <v>#REF!</v>
      </c>
      <c r="FY104" t="e">
        <f>AND(Liste!#REF!,"AAAAAH+277Q=")</f>
        <v>#REF!</v>
      </c>
      <c r="FZ104" t="e">
        <f>AND(Liste!#REF!,"AAAAAH+277U=")</f>
        <v>#REF!</v>
      </c>
      <c r="GA104" t="e">
        <f>AND(Liste!#REF!,"AAAAAH+277Y=")</f>
        <v>#REF!</v>
      </c>
      <c r="GB104" t="e">
        <f>AND(Liste!#REF!,"AAAAAH+277c=")</f>
        <v>#REF!</v>
      </c>
      <c r="GC104" t="e">
        <f>AND(Liste!#REF!,"AAAAAH+277g=")</f>
        <v>#REF!</v>
      </c>
      <c r="GD104" t="e">
        <f>AND(Liste!#REF!,"AAAAAH+277k=")</f>
        <v>#REF!</v>
      </c>
      <c r="GE104" t="e">
        <f>AND(Liste!#REF!,"AAAAAH+277o=")</f>
        <v>#REF!</v>
      </c>
      <c r="GF104" t="e">
        <f>AND(Liste!#REF!,"AAAAAH+277s=")</f>
        <v>#REF!</v>
      </c>
      <c r="GG104" t="e">
        <f>AND(Liste!#REF!,"AAAAAH+277w=")</f>
        <v>#REF!</v>
      </c>
      <c r="GH104" t="e">
        <f>AND(Liste!#REF!,"AAAAAH+2770=")</f>
        <v>#REF!</v>
      </c>
      <c r="GI104" t="e">
        <f>AND(Liste!#REF!,"AAAAAH+2774=")</f>
        <v>#REF!</v>
      </c>
      <c r="GJ104" t="e">
        <f>AND(Liste!#REF!,"AAAAAH+2778=")</f>
        <v>#REF!</v>
      </c>
      <c r="GK104" t="e">
        <f>AND(Liste!#REF!,"AAAAAH+278A=")</f>
        <v>#REF!</v>
      </c>
      <c r="GL104" t="e">
        <f>AND(Liste!#REF!,"AAAAAH+278E=")</f>
        <v>#REF!</v>
      </c>
      <c r="GM104" t="e">
        <f>AND(Liste!#REF!,"AAAAAH+278I=")</f>
        <v>#REF!</v>
      </c>
      <c r="GN104" t="e">
        <f>AND(Liste!#REF!,"AAAAAH+278M=")</f>
        <v>#REF!</v>
      </c>
      <c r="GO104" t="e">
        <f>AND(Liste!#REF!,"AAAAAH+278Q=")</f>
        <v>#REF!</v>
      </c>
      <c r="GP104" t="e">
        <f>AND(Liste!#REF!,"AAAAAH+278U=")</f>
        <v>#REF!</v>
      </c>
      <c r="GQ104" t="e">
        <f>AND(Liste!#REF!,"AAAAAH+278Y=")</f>
        <v>#REF!</v>
      </c>
      <c r="GR104">
        <f>IF(Liste!548:548,"AAAAAH+278c=",0)</f>
        <v>0</v>
      </c>
      <c r="GS104" t="b">
        <f>AND(Liste!A548,"AAAAAH+278g=")</f>
        <v>1</v>
      </c>
      <c r="GT104" t="e">
        <f>AND(Liste!#REF!,"AAAAAH+278k=")</f>
        <v>#REF!</v>
      </c>
      <c r="GU104" t="e">
        <f>AND(Liste!#REF!,"AAAAAH+278o=")</f>
        <v>#REF!</v>
      </c>
      <c r="GV104" t="e">
        <f>AND(Liste!#REF!,"AAAAAH+278s=")</f>
        <v>#REF!</v>
      </c>
      <c r="GW104" t="e">
        <f>AND(Liste!F548,"AAAAAH+278w=")</f>
        <v>#VALUE!</v>
      </c>
      <c r="GX104" t="e">
        <f>AND(Liste!G548,"AAAAAH+2780=")</f>
        <v>#VALUE!</v>
      </c>
      <c r="GY104" t="e">
        <f>AND(Liste!H548,"AAAAAH+2784=")</f>
        <v>#VALUE!</v>
      </c>
      <c r="GZ104" t="e">
        <f>AND(Liste!I548,"AAAAAH+2788=")</f>
        <v>#VALUE!</v>
      </c>
      <c r="HA104" t="e">
        <f>AND(Liste!J548,"AAAAAH+279A=")</f>
        <v>#VALUE!</v>
      </c>
      <c r="HB104" t="e">
        <f>AND(Liste!#REF!,"AAAAAH+279E=")</f>
        <v>#REF!</v>
      </c>
      <c r="HC104" t="e">
        <f>AND(Liste!#REF!,"AAAAAH+279I=")</f>
        <v>#REF!</v>
      </c>
      <c r="HD104" t="e">
        <f>AND(Liste!#REF!,"AAAAAH+279M=")</f>
        <v>#REF!</v>
      </c>
      <c r="HE104" t="e">
        <f>AND(Liste!#REF!,"AAAAAH+279Q=")</f>
        <v>#REF!</v>
      </c>
      <c r="HF104" t="e">
        <f>AND(Liste!#REF!,"AAAAAH+279U=")</f>
        <v>#REF!</v>
      </c>
      <c r="HG104" t="e">
        <f>AND(Liste!#REF!,"AAAAAH+279Y=")</f>
        <v>#REF!</v>
      </c>
      <c r="HH104" t="e">
        <f>AND(Liste!#REF!,"AAAAAH+279c=")</f>
        <v>#REF!</v>
      </c>
      <c r="HI104" t="e">
        <f>AND(Liste!#REF!,"AAAAAH+279g=")</f>
        <v>#REF!</v>
      </c>
      <c r="HJ104" t="e">
        <f>AND(Liste!#REF!,"AAAAAH+279k=")</f>
        <v>#REF!</v>
      </c>
      <c r="HK104" t="e">
        <f>AND(Liste!#REF!,"AAAAAH+279o=")</f>
        <v>#REF!</v>
      </c>
      <c r="HL104" t="e">
        <f>AND(Liste!#REF!,"AAAAAH+279s=")</f>
        <v>#REF!</v>
      </c>
      <c r="HM104" t="e">
        <f>AND(Liste!#REF!,"AAAAAH+279w=")</f>
        <v>#REF!</v>
      </c>
      <c r="HN104" t="e">
        <f>AND(Liste!#REF!,"AAAAAH+2790=")</f>
        <v>#REF!</v>
      </c>
      <c r="HO104" t="e">
        <f>AND(Liste!#REF!,"AAAAAH+2794=")</f>
        <v>#REF!</v>
      </c>
      <c r="HP104" t="e">
        <f>AND(Liste!#REF!,"AAAAAH+2798=")</f>
        <v>#REF!</v>
      </c>
      <c r="HQ104" t="e">
        <f>AND(Liste!#REF!,"AAAAAH+27+A=")</f>
        <v>#REF!</v>
      </c>
      <c r="HR104" t="e">
        <f>AND(Liste!#REF!,"AAAAAH+27+E=")</f>
        <v>#REF!</v>
      </c>
      <c r="HS104" t="e">
        <f>AND(Liste!#REF!,"AAAAAH+27+I=")</f>
        <v>#REF!</v>
      </c>
      <c r="HT104" t="e">
        <f>AND(Liste!#REF!,"AAAAAH+27+M=")</f>
        <v>#REF!</v>
      </c>
      <c r="HU104" t="e">
        <f>AND(Liste!#REF!,"AAAAAH+27+Q=")</f>
        <v>#REF!</v>
      </c>
      <c r="HV104" t="e">
        <f>AND(Liste!#REF!,"AAAAAH+27+U=")</f>
        <v>#REF!</v>
      </c>
      <c r="HW104">
        <f>IF(Liste!549:549,"AAAAAH+27+Y=",0)</f>
        <v>0</v>
      </c>
      <c r="HX104" t="b">
        <f>AND(Liste!A549,"AAAAAH+27+c=")</f>
        <v>1</v>
      </c>
      <c r="HY104" t="e">
        <f>AND(Liste!#REF!,"AAAAAH+27+g=")</f>
        <v>#REF!</v>
      </c>
      <c r="HZ104" t="e">
        <f>AND(Liste!#REF!,"AAAAAH+27+k=")</f>
        <v>#REF!</v>
      </c>
      <c r="IA104" t="e">
        <f>AND(Liste!#REF!,"AAAAAH+27+o=")</f>
        <v>#REF!</v>
      </c>
      <c r="IB104" t="e">
        <f>AND(Liste!F549,"AAAAAH+27+s=")</f>
        <v>#VALUE!</v>
      </c>
      <c r="IC104" t="e">
        <f>AND(Liste!G549,"AAAAAH+27+w=")</f>
        <v>#VALUE!</v>
      </c>
      <c r="ID104" t="e">
        <f>AND(Liste!H549,"AAAAAH+27+0=")</f>
        <v>#VALUE!</v>
      </c>
      <c r="IE104" t="e">
        <f>AND(Liste!I549,"AAAAAH+27+4=")</f>
        <v>#VALUE!</v>
      </c>
      <c r="IF104" t="e">
        <f>AND(Liste!J549,"AAAAAH+27+8=")</f>
        <v>#VALUE!</v>
      </c>
      <c r="IG104" t="e">
        <f>AND(Liste!#REF!,"AAAAAH+27/A=")</f>
        <v>#REF!</v>
      </c>
      <c r="IH104" t="e">
        <f>AND(Liste!#REF!,"AAAAAH+27/E=")</f>
        <v>#REF!</v>
      </c>
      <c r="II104" t="e">
        <f>AND(Liste!#REF!,"AAAAAH+27/I=")</f>
        <v>#REF!</v>
      </c>
      <c r="IJ104" t="e">
        <f>AND(Liste!#REF!,"AAAAAH+27/M=")</f>
        <v>#REF!</v>
      </c>
      <c r="IK104" t="e">
        <f>AND(Liste!#REF!,"AAAAAH+27/Q=")</f>
        <v>#REF!</v>
      </c>
      <c r="IL104" t="e">
        <f>AND(Liste!#REF!,"AAAAAH+27/U=")</f>
        <v>#REF!</v>
      </c>
      <c r="IM104" t="e">
        <f>AND(Liste!#REF!,"AAAAAH+27/Y=")</f>
        <v>#REF!</v>
      </c>
      <c r="IN104" t="e">
        <f>AND(Liste!#REF!,"AAAAAH+27/c=")</f>
        <v>#REF!</v>
      </c>
      <c r="IO104" t="e">
        <f>AND(Liste!#REF!,"AAAAAH+27/g=")</f>
        <v>#REF!</v>
      </c>
      <c r="IP104" t="e">
        <f>AND(Liste!#REF!,"AAAAAH+27/k=")</f>
        <v>#REF!</v>
      </c>
      <c r="IQ104" t="e">
        <f>AND(Liste!#REF!,"AAAAAH+27/o=")</f>
        <v>#REF!</v>
      </c>
      <c r="IR104" t="e">
        <f>AND(Liste!#REF!,"AAAAAH+27/s=")</f>
        <v>#REF!</v>
      </c>
      <c r="IS104" t="e">
        <f>AND(Liste!#REF!,"AAAAAH+27/w=")</f>
        <v>#REF!</v>
      </c>
      <c r="IT104" t="e">
        <f>AND(Liste!#REF!,"AAAAAH+27/0=")</f>
        <v>#REF!</v>
      </c>
      <c r="IU104" t="e">
        <f>AND(Liste!#REF!,"AAAAAH+27/4=")</f>
        <v>#REF!</v>
      </c>
      <c r="IV104" t="e">
        <f>AND(Liste!#REF!,"AAAAAH+27/8=")</f>
        <v>#REF!</v>
      </c>
    </row>
    <row r="105" spans="1:256" x14ac:dyDescent="0.2">
      <c r="A105" t="e">
        <f>AND(Liste!#REF!,"AAAAAHP9/gA=")</f>
        <v>#REF!</v>
      </c>
      <c r="B105" t="e">
        <f>AND(Liste!#REF!,"AAAAAHP9/gE=")</f>
        <v>#REF!</v>
      </c>
      <c r="C105" t="e">
        <f>AND(Liste!#REF!,"AAAAAHP9/gI=")</f>
        <v>#REF!</v>
      </c>
      <c r="D105" t="e">
        <f>AND(Liste!#REF!,"AAAAAHP9/gM=")</f>
        <v>#REF!</v>
      </c>
      <c r="E105" t="e">
        <f>AND(Liste!#REF!,"AAAAAHP9/gQ=")</f>
        <v>#REF!</v>
      </c>
      <c r="F105">
        <f>IF(Liste!550:550,"AAAAAHP9/gU=",0)</f>
        <v>0</v>
      </c>
      <c r="G105" t="b">
        <f>AND(Liste!A550,"AAAAAHP9/gY=")</f>
        <v>1</v>
      </c>
      <c r="H105" t="e">
        <f>AND(Liste!#REF!,"AAAAAHP9/gc=")</f>
        <v>#REF!</v>
      </c>
      <c r="I105" t="e">
        <f>AND(Liste!#REF!,"AAAAAHP9/gg=")</f>
        <v>#REF!</v>
      </c>
      <c r="J105" t="e">
        <f>AND(Liste!#REF!,"AAAAAHP9/gk=")</f>
        <v>#REF!</v>
      </c>
      <c r="K105" t="e">
        <f>AND(Liste!F550,"AAAAAHP9/go=")</f>
        <v>#VALUE!</v>
      </c>
      <c r="L105" t="e">
        <f>AND(Liste!G550,"AAAAAHP9/gs=")</f>
        <v>#VALUE!</v>
      </c>
      <c r="M105" t="e">
        <f>AND(Liste!H550,"AAAAAHP9/gw=")</f>
        <v>#VALUE!</v>
      </c>
      <c r="N105" t="e">
        <f>AND(Liste!I550,"AAAAAHP9/g0=")</f>
        <v>#VALUE!</v>
      </c>
      <c r="O105" t="e">
        <f>AND(Liste!J550,"AAAAAHP9/g4=")</f>
        <v>#VALUE!</v>
      </c>
      <c r="P105" t="e">
        <f>AND(Liste!#REF!,"AAAAAHP9/g8=")</f>
        <v>#REF!</v>
      </c>
      <c r="Q105" t="e">
        <f>AND(Liste!#REF!,"AAAAAHP9/hA=")</f>
        <v>#REF!</v>
      </c>
      <c r="R105" t="e">
        <f>AND(Liste!#REF!,"AAAAAHP9/hE=")</f>
        <v>#REF!</v>
      </c>
      <c r="S105" t="e">
        <f>AND(Liste!#REF!,"AAAAAHP9/hI=")</f>
        <v>#REF!</v>
      </c>
      <c r="T105" t="e">
        <f>AND(Liste!#REF!,"AAAAAHP9/hM=")</f>
        <v>#REF!</v>
      </c>
      <c r="U105" t="e">
        <f>AND(Liste!#REF!,"AAAAAHP9/hQ=")</f>
        <v>#REF!</v>
      </c>
      <c r="V105" t="e">
        <f>AND(Liste!#REF!,"AAAAAHP9/hU=")</f>
        <v>#REF!</v>
      </c>
      <c r="W105" t="e">
        <f>AND(Liste!#REF!,"AAAAAHP9/hY=")</f>
        <v>#REF!</v>
      </c>
      <c r="X105" t="e">
        <f>AND(Liste!#REF!,"AAAAAHP9/hc=")</f>
        <v>#REF!</v>
      </c>
      <c r="Y105" t="e">
        <f>AND(Liste!#REF!,"AAAAAHP9/hg=")</f>
        <v>#REF!</v>
      </c>
      <c r="Z105" t="e">
        <f>AND(Liste!#REF!,"AAAAAHP9/hk=")</f>
        <v>#REF!</v>
      </c>
      <c r="AA105" t="e">
        <f>AND(Liste!#REF!,"AAAAAHP9/ho=")</f>
        <v>#REF!</v>
      </c>
      <c r="AB105" t="e">
        <f>AND(Liste!#REF!,"AAAAAHP9/hs=")</f>
        <v>#REF!</v>
      </c>
      <c r="AC105" t="e">
        <f>AND(Liste!#REF!,"AAAAAHP9/hw=")</f>
        <v>#REF!</v>
      </c>
      <c r="AD105" t="e">
        <f>AND(Liste!#REF!,"AAAAAHP9/h0=")</f>
        <v>#REF!</v>
      </c>
      <c r="AE105" t="e">
        <f>AND(Liste!#REF!,"AAAAAHP9/h4=")</f>
        <v>#REF!</v>
      </c>
      <c r="AF105" t="e">
        <f>AND(Liste!#REF!,"AAAAAHP9/h8=")</f>
        <v>#REF!</v>
      </c>
      <c r="AG105" t="e">
        <f>AND(Liste!#REF!,"AAAAAHP9/iA=")</f>
        <v>#REF!</v>
      </c>
      <c r="AH105" t="e">
        <f>AND(Liste!#REF!,"AAAAAHP9/iE=")</f>
        <v>#REF!</v>
      </c>
      <c r="AI105" t="e">
        <f>AND(Liste!#REF!,"AAAAAHP9/iI=")</f>
        <v>#REF!</v>
      </c>
      <c r="AJ105" t="e">
        <f>AND(Liste!#REF!,"AAAAAHP9/iM=")</f>
        <v>#REF!</v>
      </c>
      <c r="AK105">
        <f>IF(Liste!551:551,"AAAAAHP9/iQ=",0)</f>
        <v>0</v>
      </c>
      <c r="AL105" t="b">
        <f>AND(Liste!A551,"AAAAAHP9/iU=")</f>
        <v>1</v>
      </c>
      <c r="AM105" t="e">
        <f>AND(Liste!#REF!,"AAAAAHP9/iY=")</f>
        <v>#REF!</v>
      </c>
      <c r="AN105" t="e">
        <f>AND(Liste!#REF!,"AAAAAHP9/ic=")</f>
        <v>#REF!</v>
      </c>
      <c r="AO105" t="e">
        <f>AND(Liste!#REF!,"AAAAAHP9/ig=")</f>
        <v>#REF!</v>
      </c>
      <c r="AP105" t="e">
        <f>AND(Liste!F551,"AAAAAHP9/ik=")</f>
        <v>#VALUE!</v>
      </c>
      <c r="AQ105" t="e">
        <f>AND(Liste!G551,"AAAAAHP9/io=")</f>
        <v>#VALUE!</v>
      </c>
      <c r="AR105" t="e">
        <f>AND(Liste!H551,"AAAAAHP9/is=")</f>
        <v>#VALUE!</v>
      </c>
      <c r="AS105" t="e">
        <f>AND(Liste!I551,"AAAAAHP9/iw=")</f>
        <v>#VALUE!</v>
      </c>
      <c r="AT105" t="e">
        <f>AND(Liste!J551,"AAAAAHP9/i0=")</f>
        <v>#VALUE!</v>
      </c>
      <c r="AU105" t="e">
        <f>AND(Liste!#REF!,"AAAAAHP9/i4=")</f>
        <v>#REF!</v>
      </c>
      <c r="AV105" t="e">
        <f>AND(Liste!#REF!,"AAAAAHP9/i8=")</f>
        <v>#REF!</v>
      </c>
      <c r="AW105" t="e">
        <f>AND(Liste!#REF!,"AAAAAHP9/jA=")</f>
        <v>#REF!</v>
      </c>
      <c r="AX105" t="e">
        <f>AND(Liste!#REF!,"AAAAAHP9/jE=")</f>
        <v>#REF!</v>
      </c>
      <c r="AY105" t="e">
        <f>AND(Liste!#REF!,"AAAAAHP9/jI=")</f>
        <v>#REF!</v>
      </c>
      <c r="AZ105" t="e">
        <f>AND(Liste!#REF!,"AAAAAHP9/jM=")</f>
        <v>#REF!</v>
      </c>
      <c r="BA105" t="e">
        <f>AND(Liste!#REF!,"AAAAAHP9/jQ=")</f>
        <v>#REF!</v>
      </c>
      <c r="BB105" t="e">
        <f>AND(Liste!#REF!,"AAAAAHP9/jU=")</f>
        <v>#REF!</v>
      </c>
      <c r="BC105" t="e">
        <f>AND(Liste!#REF!,"AAAAAHP9/jY=")</f>
        <v>#REF!</v>
      </c>
      <c r="BD105" t="e">
        <f>AND(Liste!#REF!,"AAAAAHP9/jc=")</f>
        <v>#REF!</v>
      </c>
      <c r="BE105" t="e">
        <f>AND(Liste!#REF!,"AAAAAHP9/jg=")</f>
        <v>#REF!</v>
      </c>
      <c r="BF105" t="e">
        <f>AND(Liste!#REF!,"AAAAAHP9/jk=")</f>
        <v>#REF!</v>
      </c>
      <c r="BG105" t="e">
        <f>AND(Liste!#REF!,"AAAAAHP9/jo=")</f>
        <v>#REF!</v>
      </c>
      <c r="BH105" t="e">
        <f>AND(Liste!#REF!,"AAAAAHP9/js=")</f>
        <v>#REF!</v>
      </c>
      <c r="BI105" t="e">
        <f>AND(Liste!#REF!,"AAAAAHP9/jw=")</f>
        <v>#REF!</v>
      </c>
      <c r="BJ105" t="e">
        <f>AND(Liste!#REF!,"AAAAAHP9/j0=")</f>
        <v>#REF!</v>
      </c>
      <c r="BK105" t="e">
        <f>AND(Liste!#REF!,"AAAAAHP9/j4=")</f>
        <v>#REF!</v>
      </c>
      <c r="BL105" t="e">
        <f>AND(Liste!#REF!,"AAAAAHP9/j8=")</f>
        <v>#REF!</v>
      </c>
      <c r="BM105" t="e">
        <f>AND(Liste!#REF!,"AAAAAHP9/kA=")</f>
        <v>#REF!</v>
      </c>
      <c r="BN105" t="e">
        <f>AND(Liste!#REF!,"AAAAAHP9/kE=")</f>
        <v>#REF!</v>
      </c>
      <c r="BO105" t="e">
        <f>AND(Liste!#REF!,"AAAAAHP9/kI=")</f>
        <v>#REF!</v>
      </c>
      <c r="BP105">
        <f>IF(Liste!552:552,"AAAAAHP9/kM=",0)</f>
        <v>0</v>
      </c>
      <c r="BQ105" t="b">
        <f>AND(Liste!A552,"AAAAAHP9/kQ=")</f>
        <v>1</v>
      </c>
      <c r="BR105" t="e">
        <f>AND(Liste!#REF!,"AAAAAHP9/kU=")</f>
        <v>#REF!</v>
      </c>
      <c r="BS105" t="e">
        <f>AND(Liste!#REF!,"AAAAAHP9/kY=")</f>
        <v>#REF!</v>
      </c>
      <c r="BT105" t="e">
        <f>AND(Liste!#REF!,"AAAAAHP9/kc=")</f>
        <v>#REF!</v>
      </c>
      <c r="BU105" t="e">
        <f>AND(Liste!F552,"AAAAAHP9/kg=")</f>
        <v>#VALUE!</v>
      </c>
      <c r="BV105" t="e">
        <f>AND(Liste!G552,"AAAAAHP9/kk=")</f>
        <v>#VALUE!</v>
      </c>
      <c r="BW105" t="e">
        <f>AND(Liste!H552,"AAAAAHP9/ko=")</f>
        <v>#VALUE!</v>
      </c>
      <c r="BX105" t="e">
        <f>AND(Liste!I552,"AAAAAHP9/ks=")</f>
        <v>#VALUE!</v>
      </c>
      <c r="BY105" t="e">
        <f>AND(Liste!J552,"AAAAAHP9/kw=")</f>
        <v>#VALUE!</v>
      </c>
      <c r="BZ105" t="e">
        <f>AND(Liste!#REF!,"AAAAAHP9/k0=")</f>
        <v>#REF!</v>
      </c>
      <c r="CA105" t="e">
        <f>AND(Liste!#REF!,"AAAAAHP9/k4=")</f>
        <v>#REF!</v>
      </c>
      <c r="CB105" t="e">
        <f>AND(Liste!#REF!,"AAAAAHP9/k8=")</f>
        <v>#REF!</v>
      </c>
      <c r="CC105" t="e">
        <f>AND(Liste!#REF!,"AAAAAHP9/lA=")</f>
        <v>#REF!</v>
      </c>
      <c r="CD105" t="e">
        <f>AND(Liste!#REF!,"AAAAAHP9/lE=")</f>
        <v>#REF!</v>
      </c>
      <c r="CE105" t="e">
        <f>AND(Liste!#REF!,"AAAAAHP9/lI=")</f>
        <v>#REF!</v>
      </c>
      <c r="CF105" t="e">
        <f>AND(Liste!#REF!,"AAAAAHP9/lM=")</f>
        <v>#REF!</v>
      </c>
      <c r="CG105" t="e">
        <f>AND(Liste!#REF!,"AAAAAHP9/lQ=")</f>
        <v>#REF!</v>
      </c>
      <c r="CH105" t="e">
        <f>AND(Liste!#REF!,"AAAAAHP9/lU=")</f>
        <v>#REF!</v>
      </c>
      <c r="CI105" t="e">
        <f>AND(Liste!#REF!,"AAAAAHP9/lY=")</f>
        <v>#REF!</v>
      </c>
      <c r="CJ105" t="e">
        <f>AND(Liste!#REF!,"AAAAAHP9/lc=")</f>
        <v>#REF!</v>
      </c>
      <c r="CK105" t="e">
        <f>AND(Liste!#REF!,"AAAAAHP9/lg=")</f>
        <v>#REF!</v>
      </c>
      <c r="CL105" t="e">
        <f>AND(Liste!#REF!,"AAAAAHP9/lk=")</f>
        <v>#REF!</v>
      </c>
      <c r="CM105" t="e">
        <f>AND(Liste!#REF!,"AAAAAHP9/lo=")</f>
        <v>#REF!</v>
      </c>
      <c r="CN105" t="e">
        <f>AND(Liste!#REF!,"AAAAAHP9/ls=")</f>
        <v>#REF!</v>
      </c>
      <c r="CO105" t="e">
        <f>AND(Liste!#REF!,"AAAAAHP9/lw=")</f>
        <v>#REF!</v>
      </c>
      <c r="CP105" t="e">
        <f>AND(Liste!#REF!,"AAAAAHP9/l0=")</f>
        <v>#REF!</v>
      </c>
      <c r="CQ105" t="e">
        <f>AND(Liste!#REF!,"AAAAAHP9/l4=")</f>
        <v>#REF!</v>
      </c>
      <c r="CR105" t="e">
        <f>AND(Liste!#REF!,"AAAAAHP9/l8=")</f>
        <v>#REF!</v>
      </c>
      <c r="CS105" t="e">
        <f>AND(Liste!#REF!,"AAAAAHP9/mA=")</f>
        <v>#REF!</v>
      </c>
      <c r="CT105" t="e">
        <f>AND(Liste!#REF!,"AAAAAHP9/mE=")</f>
        <v>#REF!</v>
      </c>
      <c r="CU105">
        <f>IF(Liste!553:553,"AAAAAHP9/mI=",0)</f>
        <v>0</v>
      </c>
      <c r="CV105" t="b">
        <f>AND(Liste!A553,"AAAAAHP9/mM=")</f>
        <v>1</v>
      </c>
      <c r="CW105" t="e">
        <f>AND(Liste!#REF!,"AAAAAHP9/mQ=")</f>
        <v>#REF!</v>
      </c>
      <c r="CX105" t="e">
        <f>AND(Liste!#REF!,"AAAAAHP9/mU=")</f>
        <v>#REF!</v>
      </c>
      <c r="CY105" t="e">
        <f>AND(Liste!#REF!,"AAAAAHP9/mY=")</f>
        <v>#REF!</v>
      </c>
      <c r="CZ105" t="e">
        <f>AND(Liste!F553,"AAAAAHP9/mc=")</f>
        <v>#VALUE!</v>
      </c>
      <c r="DA105" t="e">
        <f>AND(Liste!G553,"AAAAAHP9/mg=")</f>
        <v>#VALUE!</v>
      </c>
      <c r="DB105" t="e">
        <f>AND(Liste!H553,"AAAAAHP9/mk=")</f>
        <v>#VALUE!</v>
      </c>
      <c r="DC105" t="e">
        <f>AND(Liste!I553,"AAAAAHP9/mo=")</f>
        <v>#VALUE!</v>
      </c>
      <c r="DD105" t="e">
        <f>AND(Liste!J553,"AAAAAHP9/ms=")</f>
        <v>#VALUE!</v>
      </c>
      <c r="DE105" t="e">
        <f>AND(Liste!#REF!,"AAAAAHP9/mw=")</f>
        <v>#REF!</v>
      </c>
      <c r="DF105" t="e">
        <f>AND(Liste!#REF!,"AAAAAHP9/m0=")</f>
        <v>#REF!</v>
      </c>
      <c r="DG105" t="e">
        <f>AND(Liste!#REF!,"AAAAAHP9/m4=")</f>
        <v>#REF!</v>
      </c>
      <c r="DH105" t="e">
        <f>AND(Liste!#REF!,"AAAAAHP9/m8=")</f>
        <v>#REF!</v>
      </c>
      <c r="DI105" t="e">
        <f>AND(Liste!#REF!,"AAAAAHP9/nA=")</f>
        <v>#REF!</v>
      </c>
      <c r="DJ105" t="e">
        <f>AND(Liste!#REF!,"AAAAAHP9/nE=")</f>
        <v>#REF!</v>
      </c>
      <c r="DK105" t="e">
        <f>AND(Liste!#REF!,"AAAAAHP9/nI=")</f>
        <v>#REF!</v>
      </c>
      <c r="DL105" t="e">
        <f>AND(Liste!#REF!,"AAAAAHP9/nM=")</f>
        <v>#REF!</v>
      </c>
      <c r="DM105" t="e">
        <f>AND(Liste!#REF!,"AAAAAHP9/nQ=")</f>
        <v>#REF!</v>
      </c>
      <c r="DN105" t="e">
        <f>AND(Liste!#REF!,"AAAAAHP9/nU=")</f>
        <v>#REF!</v>
      </c>
      <c r="DO105" t="e">
        <f>AND(Liste!#REF!,"AAAAAHP9/nY=")</f>
        <v>#REF!</v>
      </c>
      <c r="DP105" t="e">
        <f>AND(Liste!#REF!,"AAAAAHP9/nc=")</f>
        <v>#REF!</v>
      </c>
      <c r="DQ105" t="e">
        <f>AND(Liste!#REF!,"AAAAAHP9/ng=")</f>
        <v>#REF!</v>
      </c>
      <c r="DR105" t="e">
        <f>AND(Liste!#REF!,"AAAAAHP9/nk=")</f>
        <v>#REF!</v>
      </c>
      <c r="DS105" t="e">
        <f>AND(Liste!#REF!,"AAAAAHP9/no=")</f>
        <v>#REF!</v>
      </c>
      <c r="DT105" t="e">
        <f>AND(Liste!#REF!,"AAAAAHP9/ns=")</f>
        <v>#REF!</v>
      </c>
      <c r="DU105" t="e">
        <f>AND(Liste!#REF!,"AAAAAHP9/nw=")</f>
        <v>#REF!</v>
      </c>
      <c r="DV105" t="e">
        <f>AND(Liste!#REF!,"AAAAAHP9/n0=")</f>
        <v>#REF!</v>
      </c>
      <c r="DW105" t="e">
        <f>AND(Liste!#REF!,"AAAAAHP9/n4=")</f>
        <v>#REF!</v>
      </c>
      <c r="DX105" t="e">
        <f>AND(Liste!#REF!,"AAAAAHP9/n8=")</f>
        <v>#REF!</v>
      </c>
      <c r="DY105" t="e">
        <f>AND(Liste!#REF!,"AAAAAHP9/oA=")</f>
        <v>#REF!</v>
      </c>
      <c r="DZ105">
        <f>IF(Liste!554:554,"AAAAAHP9/oE=",0)</f>
        <v>0</v>
      </c>
      <c r="EA105" t="b">
        <f>AND(Liste!A554,"AAAAAHP9/oI=")</f>
        <v>1</v>
      </c>
      <c r="EB105" t="e">
        <f>AND(Liste!#REF!,"AAAAAHP9/oM=")</f>
        <v>#REF!</v>
      </c>
      <c r="EC105" t="e">
        <f>AND(Liste!#REF!,"AAAAAHP9/oQ=")</f>
        <v>#REF!</v>
      </c>
      <c r="ED105" t="e">
        <f>AND(Liste!#REF!,"AAAAAHP9/oU=")</f>
        <v>#REF!</v>
      </c>
      <c r="EE105" t="e">
        <f>AND(Liste!F554,"AAAAAHP9/oY=")</f>
        <v>#VALUE!</v>
      </c>
      <c r="EF105" t="e">
        <f>AND(Liste!G554,"AAAAAHP9/oc=")</f>
        <v>#VALUE!</v>
      </c>
      <c r="EG105" t="e">
        <f>AND(Liste!H554,"AAAAAHP9/og=")</f>
        <v>#VALUE!</v>
      </c>
      <c r="EH105" t="e">
        <f>AND(Liste!I554,"AAAAAHP9/ok=")</f>
        <v>#VALUE!</v>
      </c>
      <c r="EI105" t="e">
        <f>AND(Liste!J554,"AAAAAHP9/oo=")</f>
        <v>#VALUE!</v>
      </c>
      <c r="EJ105" t="e">
        <f>AND(Liste!#REF!,"AAAAAHP9/os=")</f>
        <v>#REF!</v>
      </c>
      <c r="EK105" t="e">
        <f>AND(Liste!#REF!,"AAAAAHP9/ow=")</f>
        <v>#REF!</v>
      </c>
      <c r="EL105" t="e">
        <f>AND(Liste!#REF!,"AAAAAHP9/o0=")</f>
        <v>#REF!</v>
      </c>
      <c r="EM105" t="e">
        <f>AND(Liste!#REF!,"AAAAAHP9/o4=")</f>
        <v>#REF!</v>
      </c>
      <c r="EN105" t="e">
        <f>AND(Liste!#REF!,"AAAAAHP9/o8=")</f>
        <v>#REF!</v>
      </c>
      <c r="EO105" t="e">
        <f>AND(Liste!#REF!,"AAAAAHP9/pA=")</f>
        <v>#REF!</v>
      </c>
      <c r="EP105" t="e">
        <f>AND(Liste!#REF!,"AAAAAHP9/pE=")</f>
        <v>#REF!</v>
      </c>
      <c r="EQ105" t="e">
        <f>AND(Liste!#REF!,"AAAAAHP9/pI=")</f>
        <v>#REF!</v>
      </c>
      <c r="ER105" t="e">
        <f>AND(Liste!#REF!,"AAAAAHP9/pM=")</f>
        <v>#REF!</v>
      </c>
      <c r="ES105" t="e">
        <f>AND(Liste!#REF!,"AAAAAHP9/pQ=")</f>
        <v>#REF!</v>
      </c>
      <c r="ET105" t="e">
        <f>AND(Liste!#REF!,"AAAAAHP9/pU=")</f>
        <v>#REF!</v>
      </c>
      <c r="EU105" t="e">
        <f>AND(Liste!#REF!,"AAAAAHP9/pY=")</f>
        <v>#REF!</v>
      </c>
      <c r="EV105" t="e">
        <f>AND(Liste!#REF!,"AAAAAHP9/pc=")</f>
        <v>#REF!</v>
      </c>
      <c r="EW105" t="e">
        <f>AND(Liste!#REF!,"AAAAAHP9/pg=")</f>
        <v>#REF!</v>
      </c>
      <c r="EX105" t="e">
        <f>AND(Liste!#REF!,"AAAAAHP9/pk=")</f>
        <v>#REF!</v>
      </c>
      <c r="EY105" t="e">
        <f>AND(Liste!#REF!,"AAAAAHP9/po=")</f>
        <v>#REF!</v>
      </c>
      <c r="EZ105" t="e">
        <f>AND(Liste!#REF!,"AAAAAHP9/ps=")</f>
        <v>#REF!</v>
      </c>
      <c r="FA105" t="e">
        <f>AND(Liste!#REF!,"AAAAAHP9/pw=")</f>
        <v>#REF!</v>
      </c>
      <c r="FB105" t="e">
        <f>AND(Liste!#REF!,"AAAAAHP9/p0=")</f>
        <v>#REF!</v>
      </c>
      <c r="FC105" t="e">
        <f>AND(Liste!#REF!,"AAAAAHP9/p4=")</f>
        <v>#REF!</v>
      </c>
      <c r="FD105" t="e">
        <f>AND(Liste!#REF!,"AAAAAHP9/p8=")</f>
        <v>#REF!</v>
      </c>
      <c r="FE105">
        <f>IF(Liste!555:555,"AAAAAHP9/qA=",0)</f>
        <v>0</v>
      </c>
      <c r="FF105" t="b">
        <f>AND(Liste!A555,"AAAAAHP9/qE=")</f>
        <v>1</v>
      </c>
      <c r="FG105" t="e">
        <f>AND(Liste!#REF!,"AAAAAHP9/qI=")</f>
        <v>#REF!</v>
      </c>
      <c r="FH105" t="e">
        <f>AND(Liste!#REF!,"AAAAAHP9/qM=")</f>
        <v>#REF!</v>
      </c>
      <c r="FI105" t="e">
        <f>AND(Liste!#REF!,"AAAAAHP9/qQ=")</f>
        <v>#REF!</v>
      </c>
      <c r="FJ105" t="e">
        <f>AND(Liste!F555,"AAAAAHP9/qU=")</f>
        <v>#VALUE!</v>
      </c>
      <c r="FK105" t="e">
        <f>AND(Liste!G555,"AAAAAHP9/qY=")</f>
        <v>#VALUE!</v>
      </c>
      <c r="FL105" t="e">
        <f>AND(Liste!H555,"AAAAAHP9/qc=")</f>
        <v>#VALUE!</v>
      </c>
      <c r="FM105" t="e">
        <f>AND(Liste!I555,"AAAAAHP9/qg=")</f>
        <v>#VALUE!</v>
      </c>
      <c r="FN105" t="e">
        <f>AND(Liste!J555,"AAAAAHP9/qk=")</f>
        <v>#VALUE!</v>
      </c>
      <c r="FO105" t="e">
        <f>AND(Liste!#REF!,"AAAAAHP9/qo=")</f>
        <v>#REF!</v>
      </c>
      <c r="FP105" t="e">
        <f>AND(Liste!#REF!,"AAAAAHP9/qs=")</f>
        <v>#REF!</v>
      </c>
      <c r="FQ105" t="e">
        <f>AND(Liste!#REF!,"AAAAAHP9/qw=")</f>
        <v>#REF!</v>
      </c>
      <c r="FR105" t="e">
        <f>AND(Liste!#REF!,"AAAAAHP9/q0=")</f>
        <v>#REF!</v>
      </c>
      <c r="FS105" t="e">
        <f>AND(Liste!#REF!,"AAAAAHP9/q4=")</f>
        <v>#REF!</v>
      </c>
      <c r="FT105" t="e">
        <f>AND(Liste!#REF!,"AAAAAHP9/q8=")</f>
        <v>#REF!</v>
      </c>
      <c r="FU105" t="e">
        <f>AND(Liste!#REF!,"AAAAAHP9/rA=")</f>
        <v>#REF!</v>
      </c>
      <c r="FV105" t="e">
        <f>AND(Liste!#REF!,"AAAAAHP9/rE=")</f>
        <v>#REF!</v>
      </c>
      <c r="FW105" t="e">
        <f>AND(Liste!#REF!,"AAAAAHP9/rI=")</f>
        <v>#REF!</v>
      </c>
      <c r="FX105" t="e">
        <f>AND(Liste!#REF!,"AAAAAHP9/rM=")</f>
        <v>#REF!</v>
      </c>
      <c r="FY105" t="e">
        <f>AND(Liste!#REF!,"AAAAAHP9/rQ=")</f>
        <v>#REF!</v>
      </c>
      <c r="FZ105" t="e">
        <f>AND(Liste!#REF!,"AAAAAHP9/rU=")</f>
        <v>#REF!</v>
      </c>
      <c r="GA105" t="e">
        <f>AND(Liste!#REF!,"AAAAAHP9/rY=")</f>
        <v>#REF!</v>
      </c>
      <c r="GB105" t="e">
        <f>AND(Liste!#REF!,"AAAAAHP9/rc=")</f>
        <v>#REF!</v>
      </c>
      <c r="GC105" t="e">
        <f>AND(Liste!#REF!,"AAAAAHP9/rg=")</f>
        <v>#REF!</v>
      </c>
      <c r="GD105" t="e">
        <f>AND(Liste!#REF!,"AAAAAHP9/rk=")</f>
        <v>#REF!</v>
      </c>
      <c r="GE105" t="e">
        <f>AND(Liste!#REF!,"AAAAAHP9/ro=")</f>
        <v>#REF!</v>
      </c>
      <c r="GF105" t="e">
        <f>AND(Liste!#REF!,"AAAAAHP9/rs=")</f>
        <v>#REF!</v>
      </c>
      <c r="GG105" t="e">
        <f>AND(Liste!#REF!,"AAAAAHP9/rw=")</f>
        <v>#REF!</v>
      </c>
      <c r="GH105" t="e">
        <f>AND(Liste!#REF!,"AAAAAHP9/r0=")</f>
        <v>#REF!</v>
      </c>
      <c r="GI105" t="e">
        <f>AND(Liste!#REF!,"AAAAAHP9/r4=")</f>
        <v>#REF!</v>
      </c>
      <c r="GJ105">
        <f>IF(Liste!556:556,"AAAAAHP9/r8=",0)</f>
        <v>0</v>
      </c>
      <c r="GK105" t="b">
        <f>AND(Liste!A556,"AAAAAHP9/sA=")</f>
        <v>1</v>
      </c>
      <c r="GL105" t="e">
        <f>AND(Liste!#REF!,"AAAAAHP9/sE=")</f>
        <v>#REF!</v>
      </c>
      <c r="GM105" t="e">
        <f>AND(Liste!#REF!,"AAAAAHP9/sI=")</f>
        <v>#REF!</v>
      </c>
      <c r="GN105" t="e">
        <f>AND(Liste!#REF!,"AAAAAHP9/sM=")</f>
        <v>#REF!</v>
      </c>
      <c r="GO105" t="e">
        <f>AND(Liste!F556,"AAAAAHP9/sQ=")</f>
        <v>#VALUE!</v>
      </c>
      <c r="GP105" t="e">
        <f>AND(Liste!G556,"AAAAAHP9/sU=")</f>
        <v>#VALUE!</v>
      </c>
      <c r="GQ105" t="e">
        <f>AND(Liste!H556,"AAAAAHP9/sY=")</f>
        <v>#VALUE!</v>
      </c>
      <c r="GR105" t="e">
        <f>AND(Liste!I556,"AAAAAHP9/sc=")</f>
        <v>#VALUE!</v>
      </c>
      <c r="GS105" t="e">
        <f>AND(Liste!J556,"AAAAAHP9/sg=")</f>
        <v>#VALUE!</v>
      </c>
      <c r="GT105" t="e">
        <f>AND(Liste!#REF!,"AAAAAHP9/sk=")</f>
        <v>#REF!</v>
      </c>
      <c r="GU105" t="e">
        <f>AND(Liste!#REF!,"AAAAAHP9/so=")</f>
        <v>#REF!</v>
      </c>
      <c r="GV105" t="e">
        <f>AND(Liste!#REF!,"AAAAAHP9/ss=")</f>
        <v>#REF!</v>
      </c>
      <c r="GW105" t="e">
        <f>AND(Liste!#REF!,"AAAAAHP9/sw=")</f>
        <v>#REF!</v>
      </c>
      <c r="GX105" t="e">
        <f>AND(Liste!#REF!,"AAAAAHP9/s0=")</f>
        <v>#REF!</v>
      </c>
      <c r="GY105" t="e">
        <f>AND(Liste!#REF!,"AAAAAHP9/s4=")</f>
        <v>#REF!</v>
      </c>
      <c r="GZ105" t="e">
        <f>AND(Liste!#REF!,"AAAAAHP9/s8=")</f>
        <v>#REF!</v>
      </c>
      <c r="HA105" t="e">
        <f>AND(Liste!#REF!,"AAAAAHP9/tA=")</f>
        <v>#REF!</v>
      </c>
      <c r="HB105" t="e">
        <f>AND(Liste!#REF!,"AAAAAHP9/tE=")</f>
        <v>#REF!</v>
      </c>
      <c r="HC105" t="e">
        <f>AND(Liste!#REF!,"AAAAAHP9/tI=")</f>
        <v>#REF!</v>
      </c>
      <c r="HD105" t="e">
        <f>AND(Liste!#REF!,"AAAAAHP9/tM=")</f>
        <v>#REF!</v>
      </c>
      <c r="HE105" t="e">
        <f>AND(Liste!#REF!,"AAAAAHP9/tQ=")</f>
        <v>#REF!</v>
      </c>
      <c r="HF105" t="e">
        <f>AND(Liste!#REF!,"AAAAAHP9/tU=")</f>
        <v>#REF!</v>
      </c>
      <c r="HG105" t="e">
        <f>AND(Liste!#REF!,"AAAAAHP9/tY=")</f>
        <v>#REF!</v>
      </c>
      <c r="HH105" t="e">
        <f>AND(Liste!#REF!,"AAAAAHP9/tc=")</f>
        <v>#REF!</v>
      </c>
      <c r="HI105" t="e">
        <f>AND(Liste!#REF!,"AAAAAHP9/tg=")</f>
        <v>#REF!</v>
      </c>
      <c r="HJ105" t="e">
        <f>AND(Liste!#REF!,"AAAAAHP9/tk=")</f>
        <v>#REF!</v>
      </c>
      <c r="HK105" t="e">
        <f>AND(Liste!#REF!,"AAAAAHP9/to=")</f>
        <v>#REF!</v>
      </c>
      <c r="HL105" t="e">
        <f>AND(Liste!#REF!,"AAAAAHP9/ts=")</f>
        <v>#REF!</v>
      </c>
      <c r="HM105" t="e">
        <f>AND(Liste!#REF!,"AAAAAHP9/tw=")</f>
        <v>#REF!</v>
      </c>
      <c r="HN105" t="e">
        <f>AND(Liste!#REF!,"AAAAAHP9/t0=")</f>
        <v>#REF!</v>
      </c>
      <c r="HO105">
        <f>IF(Liste!557:557,"AAAAAHP9/t4=",0)</f>
        <v>0</v>
      </c>
      <c r="HP105" t="b">
        <f>AND(Liste!A557,"AAAAAHP9/t8=")</f>
        <v>1</v>
      </c>
      <c r="HQ105" t="e">
        <f>AND(Liste!#REF!,"AAAAAHP9/uA=")</f>
        <v>#REF!</v>
      </c>
      <c r="HR105" t="e">
        <f>AND(Liste!#REF!,"AAAAAHP9/uE=")</f>
        <v>#REF!</v>
      </c>
      <c r="HS105" t="e">
        <f>AND(Liste!#REF!,"AAAAAHP9/uI=")</f>
        <v>#REF!</v>
      </c>
      <c r="HT105" t="e">
        <f>AND(Liste!F557,"AAAAAHP9/uM=")</f>
        <v>#VALUE!</v>
      </c>
      <c r="HU105" t="e">
        <f>AND(Liste!G557,"AAAAAHP9/uQ=")</f>
        <v>#VALUE!</v>
      </c>
      <c r="HV105" t="e">
        <f>AND(Liste!H557,"AAAAAHP9/uU=")</f>
        <v>#VALUE!</v>
      </c>
      <c r="HW105" t="e">
        <f>AND(Liste!I557,"AAAAAHP9/uY=")</f>
        <v>#VALUE!</v>
      </c>
      <c r="HX105" t="e">
        <f>AND(Liste!J557,"AAAAAHP9/uc=")</f>
        <v>#VALUE!</v>
      </c>
      <c r="HY105" t="e">
        <f>AND(Liste!#REF!,"AAAAAHP9/ug=")</f>
        <v>#REF!</v>
      </c>
      <c r="HZ105" t="e">
        <f>AND(Liste!#REF!,"AAAAAHP9/uk=")</f>
        <v>#REF!</v>
      </c>
      <c r="IA105" t="e">
        <f>AND(Liste!#REF!,"AAAAAHP9/uo=")</f>
        <v>#REF!</v>
      </c>
      <c r="IB105" t="e">
        <f>AND(Liste!#REF!,"AAAAAHP9/us=")</f>
        <v>#REF!</v>
      </c>
      <c r="IC105" t="e">
        <f>AND(Liste!#REF!,"AAAAAHP9/uw=")</f>
        <v>#REF!</v>
      </c>
      <c r="ID105" t="e">
        <f>AND(Liste!#REF!,"AAAAAHP9/u0=")</f>
        <v>#REF!</v>
      </c>
      <c r="IE105" t="e">
        <f>AND(Liste!#REF!,"AAAAAHP9/u4=")</f>
        <v>#REF!</v>
      </c>
      <c r="IF105" t="e">
        <f>AND(Liste!#REF!,"AAAAAHP9/u8=")</f>
        <v>#REF!</v>
      </c>
      <c r="IG105" t="e">
        <f>AND(Liste!#REF!,"AAAAAHP9/vA=")</f>
        <v>#REF!</v>
      </c>
      <c r="IH105" t="e">
        <f>AND(Liste!#REF!,"AAAAAHP9/vE=")</f>
        <v>#REF!</v>
      </c>
      <c r="II105" t="e">
        <f>AND(Liste!#REF!,"AAAAAHP9/vI=")</f>
        <v>#REF!</v>
      </c>
      <c r="IJ105" t="e">
        <f>AND(Liste!#REF!,"AAAAAHP9/vM=")</f>
        <v>#REF!</v>
      </c>
      <c r="IK105" t="e">
        <f>AND(Liste!#REF!,"AAAAAHP9/vQ=")</f>
        <v>#REF!</v>
      </c>
      <c r="IL105" t="e">
        <f>AND(Liste!#REF!,"AAAAAHP9/vU=")</f>
        <v>#REF!</v>
      </c>
      <c r="IM105" t="e">
        <f>AND(Liste!#REF!,"AAAAAHP9/vY=")</f>
        <v>#REF!</v>
      </c>
      <c r="IN105" t="e">
        <f>AND(Liste!#REF!,"AAAAAHP9/vc=")</f>
        <v>#REF!</v>
      </c>
      <c r="IO105" t="e">
        <f>AND(Liste!#REF!,"AAAAAHP9/vg=")</f>
        <v>#REF!</v>
      </c>
      <c r="IP105" t="e">
        <f>AND(Liste!#REF!,"AAAAAHP9/vk=")</f>
        <v>#REF!</v>
      </c>
      <c r="IQ105" t="e">
        <f>AND(Liste!#REF!,"AAAAAHP9/vo=")</f>
        <v>#REF!</v>
      </c>
      <c r="IR105" t="e">
        <f>AND(Liste!#REF!,"AAAAAHP9/vs=")</f>
        <v>#REF!</v>
      </c>
      <c r="IS105" t="e">
        <f>AND(Liste!#REF!,"AAAAAHP9/vw=")</f>
        <v>#REF!</v>
      </c>
      <c r="IT105">
        <f>IF(Liste!558:558,"AAAAAHP9/v0=",0)</f>
        <v>0</v>
      </c>
      <c r="IU105" t="b">
        <f>AND(Liste!A558,"AAAAAHP9/v4=")</f>
        <v>1</v>
      </c>
      <c r="IV105" t="e">
        <f>AND(Liste!#REF!,"AAAAAHP9/v8=")</f>
        <v>#REF!</v>
      </c>
    </row>
    <row r="106" spans="1:256" x14ac:dyDescent="0.2">
      <c r="A106" t="e">
        <f>AND(Liste!#REF!,"AAAAAG2fuwA=")</f>
        <v>#REF!</v>
      </c>
      <c r="B106" t="e">
        <f>AND(Liste!#REF!,"AAAAAG2fuwE=")</f>
        <v>#REF!</v>
      </c>
      <c r="C106" t="e">
        <f>AND(Liste!F558,"AAAAAG2fuwI=")</f>
        <v>#VALUE!</v>
      </c>
      <c r="D106" t="e">
        <f>AND(Liste!G558,"AAAAAG2fuwM=")</f>
        <v>#VALUE!</v>
      </c>
      <c r="E106" t="e">
        <f>AND(Liste!H558,"AAAAAG2fuwQ=")</f>
        <v>#VALUE!</v>
      </c>
      <c r="F106" t="e">
        <f>AND(Liste!I558,"AAAAAG2fuwU=")</f>
        <v>#VALUE!</v>
      </c>
      <c r="G106" t="e">
        <f>AND(Liste!J558,"AAAAAG2fuwY=")</f>
        <v>#VALUE!</v>
      </c>
      <c r="H106" t="e">
        <f>AND(Liste!#REF!,"AAAAAG2fuwc=")</f>
        <v>#REF!</v>
      </c>
      <c r="I106" t="e">
        <f>AND(Liste!#REF!,"AAAAAG2fuwg=")</f>
        <v>#REF!</v>
      </c>
      <c r="J106" t="e">
        <f>AND(Liste!#REF!,"AAAAAG2fuwk=")</f>
        <v>#REF!</v>
      </c>
      <c r="K106" t="e">
        <f>AND(Liste!#REF!,"AAAAAG2fuwo=")</f>
        <v>#REF!</v>
      </c>
      <c r="L106" t="e">
        <f>AND(Liste!#REF!,"AAAAAG2fuws=")</f>
        <v>#REF!</v>
      </c>
      <c r="M106" t="e">
        <f>AND(Liste!#REF!,"AAAAAG2fuww=")</f>
        <v>#REF!</v>
      </c>
      <c r="N106" t="e">
        <f>AND(Liste!#REF!,"AAAAAG2fuw0=")</f>
        <v>#REF!</v>
      </c>
      <c r="O106" t="e">
        <f>AND(Liste!#REF!,"AAAAAG2fuw4=")</f>
        <v>#REF!</v>
      </c>
      <c r="P106" t="e">
        <f>AND(Liste!#REF!,"AAAAAG2fuw8=")</f>
        <v>#REF!</v>
      </c>
      <c r="Q106" t="e">
        <f>AND(Liste!#REF!,"AAAAAG2fuxA=")</f>
        <v>#REF!</v>
      </c>
      <c r="R106" t="e">
        <f>AND(Liste!#REF!,"AAAAAG2fuxE=")</f>
        <v>#REF!</v>
      </c>
      <c r="S106" t="e">
        <f>AND(Liste!#REF!,"AAAAAG2fuxI=")</f>
        <v>#REF!</v>
      </c>
      <c r="T106" t="e">
        <f>AND(Liste!#REF!,"AAAAAG2fuxM=")</f>
        <v>#REF!</v>
      </c>
      <c r="U106" t="e">
        <f>AND(Liste!#REF!,"AAAAAG2fuxQ=")</f>
        <v>#REF!</v>
      </c>
      <c r="V106" t="e">
        <f>AND(Liste!#REF!,"AAAAAG2fuxU=")</f>
        <v>#REF!</v>
      </c>
      <c r="W106" t="e">
        <f>AND(Liste!#REF!,"AAAAAG2fuxY=")</f>
        <v>#REF!</v>
      </c>
      <c r="X106" t="e">
        <f>AND(Liste!#REF!,"AAAAAG2fuxc=")</f>
        <v>#REF!</v>
      </c>
      <c r="Y106" t="e">
        <f>AND(Liste!#REF!,"AAAAAG2fuxg=")</f>
        <v>#REF!</v>
      </c>
      <c r="Z106" t="e">
        <f>AND(Liste!#REF!,"AAAAAG2fuxk=")</f>
        <v>#REF!</v>
      </c>
      <c r="AA106" t="e">
        <f>AND(Liste!#REF!,"AAAAAG2fuxo=")</f>
        <v>#REF!</v>
      </c>
      <c r="AB106" t="e">
        <f>AND(Liste!#REF!,"AAAAAG2fuxs=")</f>
        <v>#REF!</v>
      </c>
      <c r="AC106">
        <f>IF(Liste!559:559,"AAAAAG2fuxw=",0)</f>
        <v>0</v>
      </c>
      <c r="AD106" t="b">
        <f>AND(Liste!A559,"AAAAAG2fux0=")</f>
        <v>1</v>
      </c>
      <c r="AE106" t="e">
        <f>AND(Liste!#REF!,"AAAAAG2fux4=")</f>
        <v>#REF!</v>
      </c>
      <c r="AF106" t="e">
        <f>AND(Liste!#REF!,"AAAAAG2fux8=")</f>
        <v>#REF!</v>
      </c>
      <c r="AG106" t="e">
        <f>AND(Liste!#REF!,"AAAAAG2fuyA=")</f>
        <v>#REF!</v>
      </c>
      <c r="AH106" t="e">
        <f>AND(Liste!F559,"AAAAAG2fuyE=")</f>
        <v>#VALUE!</v>
      </c>
      <c r="AI106" t="e">
        <f>AND(Liste!G559,"AAAAAG2fuyI=")</f>
        <v>#VALUE!</v>
      </c>
      <c r="AJ106" t="e">
        <f>AND(Liste!H559,"AAAAAG2fuyM=")</f>
        <v>#VALUE!</v>
      </c>
      <c r="AK106" t="e">
        <f>AND(Liste!I559,"AAAAAG2fuyQ=")</f>
        <v>#VALUE!</v>
      </c>
      <c r="AL106" t="e">
        <f>AND(Liste!J559,"AAAAAG2fuyU=")</f>
        <v>#VALUE!</v>
      </c>
      <c r="AM106" t="e">
        <f>AND(Liste!#REF!,"AAAAAG2fuyY=")</f>
        <v>#REF!</v>
      </c>
      <c r="AN106" t="e">
        <f>AND(Liste!#REF!,"AAAAAG2fuyc=")</f>
        <v>#REF!</v>
      </c>
      <c r="AO106" t="e">
        <f>AND(Liste!#REF!,"AAAAAG2fuyg=")</f>
        <v>#REF!</v>
      </c>
      <c r="AP106" t="e">
        <f>AND(Liste!#REF!,"AAAAAG2fuyk=")</f>
        <v>#REF!</v>
      </c>
      <c r="AQ106" t="e">
        <f>AND(Liste!#REF!,"AAAAAG2fuyo=")</f>
        <v>#REF!</v>
      </c>
      <c r="AR106" t="e">
        <f>AND(Liste!#REF!,"AAAAAG2fuys=")</f>
        <v>#REF!</v>
      </c>
      <c r="AS106" t="e">
        <f>AND(Liste!#REF!,"AAAAAG2fuyw=")</f>
        <v>#REF!</v>
      </c>
      <c r="AT106" t="e">
        <f>AND(Liste!#REF!,"AAAAAG2fuy0=")</f>
        <v>#REF!</v>
      </c>
      <c r="AU106" t="e">
        <f>AND(Liste!#REF!,"AAAAAG2fuy4=")</f>
        <v>#REF!</v>
      </c>
      <c r="AV106" t="e">
        <f>AND(Liste!#REF!,"AAAAAG2fuy8=")</f>
        <v>#REF!</v>
      </c>
      <c r="AW106" t="e">
        <f>AND(Liste!#REF!,"AAAAAG2fuzA=")</f>
        <v>#REF!</v>
      </c>
      <c r="AX106" t="e">
        <f>AND(Liste!#REF!,"AAAAAG2fuzE=")</f>
        <v>#REF!</v>
      </c>
      <c r="AY106" t="e">
        <f>AND(Liste!#REF!,"AAAAAG2fuzI=")</f>
        <v>#REF!</v>
      </c>
      <c r="AZ106" t="e">
        <f>AND(Liste!#REF!,"AAAAAG2fuzM=")</f>
        <v>#REF!</v>
      </c>
      <c r="BA106" t="e">
        <f>AND(Liste!#REF!,"AAAAAG2fuzQ=")</f>
        <v>#REF!</v>
      </c>
      <c r="BB106" t="e">
        <f>AND(Liste!#REF!,"AAAAAG2fuzU=")</f>
        <v>#REF!</v>
      </c>
      <c r="BC106" t="e">
        <f>AND(Liste!#REF!,"AAAAAG2fuzY=")</f>
        <v>#REF!</v>
      </c>
      <c r="BD106" t="e">
        <f>AND(Liste!#REF!,"AAAAAG2fuzc=")</f>
        <v>#REF!</v>
      </c>
      <c r="BE106" t="e">
        <f>AND(Liste!#REF!,"AAAAAG2fuzg=")</f>
        <v>#REF!</v>
      </c>
      <c r="BF106" t="e">
        <f>AND(Liste!#REF!,"AAAAAG2fuzk=")</f>
        <v>#REF!</v>
      </c>
      <c r="BG106" t="e">
        <f>AND(Liste!#REF!,"AAAAAG2fuzo=")</f>
        <v>#REF!</v>
      </c>
      <c r="BH106">
        <f>IF(Liste!560:560,"AAAAAG2fuzs=",0)</f>
        <v>0</v>
      </c>
      <c r="BI106" t="b">
        <f>AND(Liste!A560,"AAAAAG2fuzw=")</f>
        <v>1</v>
      </c>
      <c r="BJ106" t="e">
        <f>AND(Liste!#REF!,"AAAAAG2fuz0=")</f>
        <v>#REF!</v>
      </c>
      <c r="BK106" t="e">
        <f>AND(Liste!#REF!,"AAAAAG2fuz4=")</f>
        <v>#REF!</v>
      </c>
      <c r="BL106" t="e">
        <f>AND(Liste!#REF!,"AAAAAG2fuz8=")</f>
        <v>#REF!</v>
      </c>
      <c r="BM106" t="e">
        <f>AND(Liste!F560,"AAAAAG2fu0A=")</f>
        <v>#VALUE!</v>
      </c>
      <c r="BN106" t="e">
        <f>AND(Liste!G560,"AAAAAG2fu0E=")</f>
        <v>#VALUE!</v>
      </c>
      <c r="BO106" t="e">
        <f>AND(Liste!H560,"AAAAAG2fu0I=")</f>
        <v>#VALUE!</v>
      </c>
      <c r="BP106" t="e">
        <f>AND(Liste!I560,"AAAAAG2fu0M=")</f>
        <v>#VALUE!</v>
      </c>
      <c r="BQ106" t="e">
        <f>AND(Liste!J560,"AAAAAG2fu0Q=")</f>
        <v>#VALUE!</v>
      </c>
      <c r="BR106" t="e">
        <f>AND(Liste!#REF!,"AAAAAG2fu0U=")</f>
        <v>#REF!</v>
      </c>
      <c r="BS106" t="e">
        <f>AND(Liste!#REF!,"AAAAAG2fu0Y=")</f>
        <v>#REF!</v>
      </c>
      <c r="BT106" t="e">
        <f>AND(Liste!#REF!,"AAAAAG2fu0c=")</f>
        <v>#REF!</v>
      </c>
      <c r="BU106" t="e">
        <f>AND(Liste!#REF!,"AAAAAG2fu0g=")</f>
        <v>#REF!</v>
      </c>
      <c r="BV106" t="e">
        <f>AND(Liste!#REF!,"AAAAAG2fu0k=")</f>
        <v>#REF!</v>
      </c>
      <c r="BW106" t="e">
        <f>AND(Liste!#REF!,"AAAAAG2fu0o=")</f>
        <v>#REF!</v>
      </c>
      <c r="BX106" t="e">
        <f>AND(Liste!#REF!,"AAAAAG2fu0s=")</f>
        <v>#REF!</v>
      </c>
      <c r="BY106" t="e">
        <f>AND(Liste!#REF!,"AAAAAG2fu0w=")</f>
        <v>#REF!</v>
      </c>
      <c r="BZ106" t="e">
        <f>AND(Liste!#REF!,"AAAAAG2fu00=")</f>
        <v>#REF!</v>
      </c>
      <c r="CA106" t="e">
        <f>AND(Liste!#REF!,"AAAAAG2fu04=")</f>
        <v>#REF!</v>
      </c>
      <c r="CB106" t="e">
        <f>AND(Liste!#REF!,"AAAAAG2fu08=")</f>
        <v>#REF!</v>
      </c>
      <c r="CC106" t="e">
        <f>AND(Liste!#REF!,"AAAAAG2fu1A=")</f>
        <v>#REF!</v>
      </c>
      <c r="CD106" t="e">
        <f>AND(Liste!#REF!,"AAAAAG2fu1E=")</f>
        <v>#REF!</v>
      </c>
      <c r="CE106" t="e">
        <f>AND(Liste!#REF!,"AAAAAG2fu1I=")</f>
        <v>#REF!</v>
      </c>
      <c r="CF106" t="e">
        <f>AND(Liste!#REF!,"AAAAAG2fu1M=")</f>
        <v>#REF!</v>
      </c>
      <c r="CG106" t="e">
        <f>AND(Liste!#REF!,"AAAAAG2fu1Q=")</f>
        <v>#REF!</v>
      </c>
      <c r="CH106" t="e">
        <f>AND(Liste!#REF!,"AAAAAG2fu1U=")</f>
        <v>#REF!</v>
      </c>
      <c r="CI106" t="e">
        <f>AND(Liste!#REF!,"AAAAAG2fu1Y=")</f>
        <v>#REF!</v>
      </c>
      <c r="CJ106" t="e">
        <f>AND(Liste!#REF!,"AAAAAG2fu1c=")</f>
        <v>#REF!</v>
      </c>
      <c r="CK106" t="e">
        <f>AND(Liste!#REF!,"AAAAAG2fu1g=")</f>
        <v>#REF!</v>
      </c>
      <c r="CL106" t="e">
        <f>AND(Liste!#REF!,"AAAAAG2fu1k=")</f>
        <v>#REF!</v>
      </c>
      <c r="CM106">
        <f>IF(Liste!561:561,"AAAAAG2fu1o=",0)</f>
        <v>0</v>
      </c>
      <c r="CN106" t="b">
        <f>AND(Liste!A561,"AAAAAG2fu1s=")</f>
        <v>1</v>
      </c>
      <c r="CO106" t="e">
        <f>AND(Liste!#REF!,"AAAAAG2fu1w=")</f>
        <v>#REF!</v>
      </c>
      <c r="CP106" t="e">
        <f>AND(Liste!#REF!,"AAAAAG2fu10=")</f>
        <v>#REF!</v>
      </c>
      <c r="CQ106" t="e">
        <f>AND(Liste!#REF!,"AAAAAG2fu14=")</f>
        <v>#REF!</v>
      </c>
      <c r="CR106" t="e">
        <f>AND(Liste!F561,"AAAAAG2fu18=")</f>
        <v>#VALUE!</v>
      </c>
      <c r="CS106" t="e">
        <f>AND(Liste!G561,"AAAAAG2fu2A=")</f>
        <v>#VALUE!</v>
      </c>
      <c r="CT106" t="e">
        <f>AND(Liste!H561,"AAAAAG2fu2E=")</f>
        <v>#VALUE!</v>
      </c>
      <c r="CU106" t="e">
        <f>AND(Liste!I561,"AAAAAG2fu2I=")</f>
        <v>#VALUE!</v>
      </c>
      <c r="CV106" t="e">
        <f>AND(Liste!J561,"AAAAAG2fu2M=")</f>
        <v>#VALUE!</v>
      </c>
      <c r="CW106" t="e">
        <f>AND(Liste!#REF!,"AAAAAG2fu2Q=")</f>
        <v>#REF!</v>
      </c>
      <c r="CX106" t="e">
        <f>AND(Liste!#REF!,"AAAAAG2fu2U=")</f>
        <v>#REF!</v>
      </c>
      <c r="CY106" t="e">
        <f>AND(Liste!#REF!,"AAAAAG2fu2Y=")</f>
        <v>#REF!</v>
      </c>
      <c r="CZ106" t="e">
        <f>AND(Liste!#REF!,"AAAAAG2fu2c=")</f>
        <v>#REF!</v>
      </c>
      <c r="DA106" t="e">
        <f>AND(Liste!#REF!,"AAAAAG2fu2g=")</f>
        <v>#REF!</v>
      </c>
      <c r="DB106" t="e">
        <f>AND(Liste!#REF!,"AAAAAG2fu2k=")</f>
        <v>#REF!</v>
      </c>
      <c r="DC106" t="e">
        <f>AND(Liste!#REF!,"AAAAAG2fu2o=")</f>
        <v>#REF!</v>
      </c>
      <c r="DD106" t="e">
        <f>AND(Liste!#REF!,"AAAAAG2fu2s=")</f>
        <v>#REF!</v>
      </c>
      <c r="DE106" t="e">
        <f>AND(Liste!#REF!,"AAAAAG2fu2w=")</f>
        <v>#REF!</v>
      </c>
      <c r="DF106" t="e">
        <f>AND(Liste!#REF!,"AAAAAG2fu20=")</f>
        <v>#REF!</v>
      </c>
      <c r="DG106" t="e">
        <f>AND(Liste!#REF!,"AAAAAG2fu24=")</f>
        <v>#REF!</v>
      </c>
      <c r="DH106" t="e">
        <f>AND(Liste!#REF!,"AAAAAG2fu28=")</f>
        <v>#REF!</v>
      </c>
      <c r="DI106" t="e">
        <f>AND(Liste!#REF!,"AAAAAG2fu3A=")</f>
        <v>#REF!</v>
      </c>
      <c r="DJ106" t="e">
        <f>AND(Liste!#REF!,"AAAAAG2fu3E=")</f>
        <v>#REF!</v>
      </c>
      <c r="DK106" t="e">
        <f>AND(Liste!#REF!,"AAAAAG2fu3I=")</f>
        <v>#REF!</v>
      </c>
      <c r="DL106" t="e">
        <f>AND(Liste!#REF!,"AAAAAG2fu3M=")</f>
        <v>#REF!</v>
      </c>
      <c r="DM106" t="e">
        <f>AND(Liste!#REF!,"AAAAAG2fu3Q=")</f>
        <v>#REF!</v>
      </c>
      <c r="DN106" t="e">
        <f>AND(Liste!#REF!,"AAAAAG2fu3U=")</f>
        <v>#REF!</v>
      </c>
      <c r="DO106" t="e">
        <f>AND(Liste!#REF!,"AAAAAG2fu3Y=")</f>
        <v>#REF!</v>
      </c>
      <c r="DP106" t="e">
        <f>AND(Liste!#REF!,"AAAAAG2fu3c=")</f>
        <v>#REF!</v>
      </c>
      <c r="DQ106" t="e">
        <f>AND(Liste!#REF!,"AAAAAG2fu3g=")</f>
        <v>#REF!</v>
      </c>
      <c r="DR106">
        <f>IF(Liste!562:562,"AAAAAG2fu3k=",0)</f>
        <v>0</v>
      </c>
      <c r="DS106" t="b">
        <f>AND(Liste!A562,"AAAAAG2fu3o=")</f>
        <v>1</v>
      </c>
      <c r="DT106" t="e">
        <f>AND(Liste!#REF!,"AAAAAG2fu3s=")</f>
        <v>#REF!</v>
      </c>
      <c r="DU106" t="e">
        <f>AND(Liste!#REF!,"AAAAAG2fu3w=")</f>
        <v>#REF!</v>
      </c>
      <c r="DV106" t="e">
        <f>AND(Liste!#REF!,"AAAAAG2fu30=")</f>
        <v>#REF!</v>
      </c>
      <c r="DW106" t="e">
        <f>AND(Liste!F562,"AAAAAG2fu34=")</f>
        <v>#VALUE!</v>
      </c>
      <c r="DX106" t="e">
        <f>AND(Liste!G562,"AAAAAG2fu38=")</f>
        <v>#VALUE!</v>
      </c>
      <c r="DY106" t="e">
        <f>AND(Liste!H562,"AAAAAG2fu4A=")</f>
        <v>#VALUE!</v>
      </c>
      <c r="DZ106" t="e">
        <f>AND(Liste!I562,"AAAAAG2fu4E=")</f>
        <v>#VALUE!</v>
      </c>
      <c r="EA106" t="e">
        <f>AND(Liste!J562,"AAAAAG2fu4I=")</f>
        <v>#VALUE!</v>
      </c>
      <c r="EB106" t="e">
        <f>AND(Liste!#REF!,"AAAAAG2fu4M=")</f>
        <v>#REF!</v>
      </c>
      <c r="EC106" t="e">
        <f>AND(Liste!#REF!,"AAAAAG2fu4Q=")</f>
        <v>#REF!</v>
      </c>
      <c r="ED106" t="e">
        <f>AND(Liste!#REF!,"AAAAAG2fu4U=")</f>
        <v>#REF!</v>
      </c>
      <c r="EE106" t="e">
        <f>AND(Liste!#REF!,"AAAAAG2fu4Y=")</f>
        <v>#REF!</v>
      </c>
      <c r="EF106" t="e">
        <f>AND(Liste!#REF!,"AAAAAG2fu4c=")</f>
        <v>#REF!</v>
      </c>
      <c r="EG106" t="e">
        <f>AND(Liste!#REF!,"AAAAAG2fu4g=")</f>
        <v>#REF!</v>
      </c>
      <c r="EH106" t="e">
        <f>AND(Liste!#REF!,"AAAAAG2fu4k=")</f>
        <v>#REF!</v>
      </c>
      <c r="EI106" t="e">
        <f>AND(Liste!#REF!,"AAAAAG2fu4o=")</f>
        <v>#REF!</v>
      </c>
      <c r="EJ106" t="e">
        <f>AND(Liste!#REF!,"AAAAAG2fu4s=")</f>
        <v>#REF!</v>
      </c>
      <c r="EK106" t="e">
        <f>AND(Liste!#REF!,"AAAAAG2fu4w=")</f>
        <v>#REF!</v>
      </c>
      <c r="EL106" t="e">
        <f>AND(Liste!#REF!,"AAAAAG2fu40=")</f>
        <v>#REF!</v>
      </c>
      <c r="EM106" t="e">
        <f>AND(Liste!#REF!,"AAAAAG2fu44=")</f>
        <v>#REF!</v>
      </c>
      <c r="EN106" t="e">
        <f>AND(Liste!#REF!,"AAAAAG2fu48=")</f>
        <v>#REF!</v>
      </c>
      <c r="EO106" t="e">
        <f>AND(Liste!#REF!,"AAAAAG2fu5A=")</f>
        <v>#REF!</v>
      </c>
      <c r="EP106" t="e">
        <f>AND(Liste!#REF!,"AAAAAG2fu5E=")</f>
        <v>#REF!</v>
      </c>
      <c r="EQ106" t="e">
        <f>AND(Liste!#REF!,"AAAAAG2fu5I=")</f>
        <v>#REF!</v>
      </c>
      <c r="ER106" t="e">
        <f>AND(Liste!#REF!,"AAAAAG2fu5M=")</f>
        <v>#REF!</v>
      </c>
      <c r="ES106" t="e">
        <f>AND(Liste!#REF!,"AAAAAG2fu5Q=")</f>
        <v>#REF!</v>
      </c>
      <c r="ET106" t="e">
        <f>AND(Liste!#REF!,"AAAAAG2fu5U=")</f>
        <v>#REF!</v>
      </c>
      <c r="EU106" t="e">
        <f>AND(Liste!#REF!,"AAAAAG2fu5Y=")</f>
        <v>#REF!</v>
      </c>
      <c r="EV106" t="e">
        <f>AND(Liste!#REF!,"AAAAAG2fu5c=")</f>
        <v>#REF!</v>
      </c>
      <c r="EW106" t="e">
        <f>IF(Liste!#REF!,"AAAAAG2fu5g=",0)</f>
        <v>#REF!</v>
      </c>
      <c r="EX106" t="e">
        <f>AND(Liste!#REF!,"AAAAAG2fu5k=")</f>
        <v>#REF!</v>
      </c>
      <c r="EY106" t="e">
        <f>AND(Liste!#REF!,"AAAAAG2fu5o=")</f>
        <v>#REF!</v>
      </c>
      <c r="EZ106" t="e">
        <f>AND(Liste!#REF!,"AAAAAG2fu5s=")</f>
        <v>#REF!</v>
      </c>
      <c r="FA106" t="e">
        <f>AND(Liste!#REF!,"AAAAAG2fu5w=")</f>
        <v>#REF!</v>
      </c>
      <c r="FB106" t="e">
        <f>AND(Liste!#REF!,"AAAAAG2fu50=")</f>
        <v>#REF!</v>
      </c>
      <c r="FC106" t="e">
        <f>AND(Liste!#REF!,"AAAAAG2fu54=")</f>
        <v>#REF!</v>
      </c>
      <c r="FD106" t="e">
        <f>AND(Liste!#REF!,"AAAAAG2fu58=")</f>
        <v>#REF!</v>
      </c>
      <c r="FE106" t="e">
        <f>AND(Liste!#REF!,"AAAAAG2fu6A=")</f>
        <v>#REF!</v>
      </c>
      <c r="FF106" t="e">
        <f>AND(Liste!#REF!,"AAAAAG2fu6E=")</f>
        <v>#REF!</v>
      </c>
      <c r="FG106" t="e">
        <f>AND(Liste!#REF!,"AAAAAG2fu6I=")</f>
        <v>#REF!</v>
      </c>
      <c r="FH106" t="e">
        <f>AND(Liste!#REF!,"AAAAAG2fu6M=")</f>
        <v>#REF!</v>
      </c>
      <c r="FI106" t="e">
        <f>AND(Liste!#REF!,"AAAAAG2fu6Q=")</f>
        <v>#REF!</v>
      </c>
      <c r="FJ106" t="e">
        <f>AND(Liste!#REF!,"AAAAAG2fu6U=")</f>
        <v>#REF!</v>
      </c>
      <c r="FK106" t="e">
        <f>AND(Liste!#REF!,"AAAAAG2fu6Y=")</f>
        <v>#REF!</v>
      </c>
      <c r="FL106" t="e">
        <f>AND(Liste!#REF!,"AAAAAG2fu6c=")</f>
        <v>#REF!</v>
      </c>
      <c r="FM106" t="e">
        <f>AND(Liste!#REF!,"AAAAAG2fu6g=")</f>
        <v>#REF!</v>
      </c>
      <c r="FN106" t="e">
        <f>AND(Liste!#REF!,"AAAAAG2fu6k=")</f>
        <v>#REF!</v>
      </c>
      <c r="FO106" t="e">
        <f>AND(Liste!#REF!,"AAAAAG2fu6o=")</f>
        <v>#REF!</v>
      </c>
      <c r="FP106" t="e">
        <f>AND(Liste!#REF!,"AAAAAG2fu6s=")</f>
        <v>#REF!</v>
      </c>
      <c r="FQ106" t="e">
        <f>AND(Liste!#REF!,"AAAAAG2fu6w=")</f>
        <v>#REF!</v>
      </c>
      <c r="FR106" t="e">
        <f>AND(Liste!#REF!,"AAAAAG2fu60=")</f>
        <v>#REF!</v>
      </c>
      <c r="FS106" t="e">
        <f>AND(Liste!#REF!,"AAAAAG2fu64=")</f>
        <v>#REF!</v>
      </c>
      <c r="FT106" t="e">
        <f>AND(Liste!#REF!,"AAAAAG2fu68=")</f>
        <v>#REF!</v>
      </c>
      <c r="FU106" t="e">
        <f>AND(Liste!#REF!,"AAAAAG2fu7A=")</f>
        <v>#REF!</v>
      </c>
      <c r="FV106" t="e">
        <f>AND(Liste!#REF!,"AAAAAG2fu7E=")</f>
        <v>#REF!</v>
      </c>
      <c r="FW106" t="e">
        <f>AND(Liste!#REF!,"AAAAAG2fu7I=")</f>
        <v>#REF!</v>
      </c>
      <c r="FX106" t="e">
        <f>AND(Liste!#REF!,"AAAAAG2fu7M=")</f>
        <v>#REF!</v>
      </c>
      <c r="FY106" t="e">
        <f>AND(Liste!#REF!,"AAAAAG2fu7Q=")</f>
        <v>#REF!</v>
      </c>
      <c r="FZ106" t="e">
        <f>AND(Liste!#REF!,"AAAAAG2fu7U=")</f>
        <v>#REF!</v>
      </c>
      <c r="GA106" t="e">
        <f>AND(Liste!#REF!,"AAAAAG2fu7Y=")</f>
        <v>#REF!</v>
      </c>
      <c r="GB106" t="e">
        <f>IF(Liste!#REF!,"AAAAAG2fu7c=",0)</f>
        <v>#REF!</v>
      </c>
      <c r="GC106" t="e">
        <f>AND(Liste!#REF!,"AAAAAG2fu7g=")</f>
        <v>#REF!</v>
      </c>
      <c r="GD106" t="e">
        <f>AND(Liste!#REF!,"AAAAAG2fu7k=")</f>
        <v>#REF!</v>
      </c>
      <c r="GE106" t="e">
        <f>AND(Liste!#REF!,"AAAAAG2fu7o=")</f>
        <v>#REF!</v>
      </c>
      <c r="GF106" t="e">
        <f>AND(Liste!#REF!,"AAAAAG2fu7s=")</f>
        <v>#REF!</v>
      </c>
      <c r="GG106" t="e">
        <f>AND(Liste!#REF!,"AAAAAG2fu7w=")</f>
        <v>#REF!</v>
      </c>
      <c r="GH106" t="e">
        <f>AND(Liste!#REF!,"AAAAAG2fu70=")</f>
        <v>#REF!</v>
      </c>
      <c r="GI106" t="e">
        <f>AND(Liste!#REF!,"AAAAAG2fu74=")</f>
        <v>#REF!</v>
      </c>
      <c r="GJ106" t="e">
        <f>AND(Liste!#REF!,"AAAAAG2fu78=")</f>
        <v>#REF!</v>
      </c>
      <c r="GK106" t="e">
        <f>AND(Liste!#REF!,"AAAAAG2fu8A=")</f>
        <v>#REF!</v>
      </c>
      <c r="GL106" t="e">
        <f>AND(Liste!#REF!,"AAAAAG2fu8E=")</f>
        <v>#REF!</v>
      </c>
      <c r="GM106" t="e">
        <f>AND(Liste!#REF!,"AAAAAG2fu8I=")</f>
        <v>#REF!</v>
      </c>
      <c r="GN106" t="e">
        <f>AND(Liste!#REF!,"AAAAAG2fu8M=")</f>
        <v>#REF!</v>
      </c>
      <c r="GO106" t="e">
        <f>AND(Liste!#REF!,"AAAAAG2fu8Q=")</f>
        <v>#REF!</v>
      </c>
      <c r="GP106" t="e">
        <f>AND(Liste!#REF!,"AAAAAG2fu8U=")</f>
        <v>#REF!</v>
      </c>
      <c r="GQ106" t="e">
        <f>AND(Liste!#REF!,"AAAAAG2fu8Y=")</f>
        <v>#REF!</v>
      </c>
      <c r="GR106" t="e">
        <f>AND(Liste!#REF!,"AAAAAG2fu8c=")</f>
        <v>#REF!</v>
      </c>
      <c r="GS106" t="e">
        <f>AND(Liste!#REF!,"AAAAAG2fu8g=")</f>
        <v>#REF!</v>
      </c>
      <c r="GT106" t="e">
        <f>AND(Liste!#REF!,"AAAAAG2fu8k=")</f>
        <v>#REF!</v>
      </c>
      <c r="GU106" t="e">
        <f>AND(Liste!#REF!,"AAAAAG2fu8o=")</f>
        <v>#REF!</v>
      </c>
      <c r="GV106" t="e">
        <f>AND(Liste!#REF!,"AAAAAG2fu8s=")</f>
        <v>#REF!</v>
      </c>
      <c r="GW106" t="e">
        <f>AND(Liste!#REF!,"AAAAAG2fu8w=")</f>
        <v>#REF!</v>
      </c>
      <c r="GX106" t="e">
        <f>AND(Liste!#REF!,"AAAAAG2fu80=")</f>
        <v>#REF!</v>
      </c>
      <c r="GY106" t="e">
        <f>AND(Liste!#REF!,"AAAAAG2fu84=")</f>
        <v>#REF!</v>
      </c>
      <c r="GZ106" t="e">
        <f>AND(Liste!#REF!,"AAAAAG2fu88=")</f>
        <v>#REF!</v>
      </c>
      <c r="HA106" t="e">
        <f>AND(Liste!#REF!,"AAAAAG2fu9A=")</f>
        <v>#REF!</v>
      </c>
      <c r="HB106" t="e">
        <f>AND(Liste!#REF!,"AAAAAG2fu9E=")</f>
        <v>#REF!</v>
      </c>
      <c r="HC106" t="e">
        <f>AND(Liste!#REF!,"AAAAAG2fu9I=")</f>
        <v>#REF!</v>
      </c>
      <c r="HD106" t="e">
        <f>AND(Liste!#REF!,"AAAAAG2fu9M=")</f>
        <v>#REF!</v>
      </c>
      <c r="HE106" t="e">
        <f>AND(Liste!#REF!,"AAAAAG2fu9Q=")</f>
        <v>#REF!</v>
      </c>
      <c r="HF106" t="e">
        <f>AND(Liste!#REF!,"AAAAAG2fu9U=")</f>
        <v>#REF!</v>
      </c>
      <c r="HG106" t="e">
        <f>IF(Liste!#REF!,"AAAAAG2fu9Y=",0)</f>
        <v>#REF!</v>
      </c>
      <c r="HH106" t="e">
        <f>AND(Liste!#REF!,"AAAAAG2fu9c=")</f>
        <v>#REF!</v>
      </c>
      <c r="HI106" t="e">
        <f>AND(Liste!#REF!,"AAAAAG2fu9g=")</f>
        <v>#REF!</v>
      </c>
      <c r="HJ106" t="e">
        <f>AND(Liste!#REF!,"AAAAAG2fu9k=")</f>
        <v>#REF!</v>
      </c>
      <c r="HK106" t="e">
        <f>AND(Liste!#REF!,"AAAAAG2fu9o=")</f>
        <v>#REF!</v>
      </c>
      <c r="HL106" t="e">
        <f>AND(Liste!#REF!,"AAAAAG2fu9s=")</f>
        <v>#REF!</v>
      </c>
      <c r="HM106" t="e">
        <f>AND(Liste!#REF!,"AAAAAG2fu9w=")</f>
        <v>#REF!</v>
      </c>
      <c r="HN106" t="e">
        <f>AND(Liste!#REF!,"AAAAAG2fu90=")</f>
        <v>#REF!</v>
      </c>
      <c r="HO106" t="e">
        <f>AND(Liste!#REF!,"AAAAAG2fu94=")</f>
        <v>#REF!</v>
      </c>
      <c r="HP106" t="e">
        <f>AND(Liste!#REF!,"AAAAAG2fu98=")</f>
        <v>#REF!</v>
      </c>
      <c r="HQ106" t="e">
        <f>AND(Liste!#REF!,"AAAAAG2fu+A=")</f>
        <v>#REF!</v>
      </c>
      <c r="HR106" t="e">
        <f>AND(Liste!#REF!,"AAAAAG2fu+E=")</f>
        <v>#REF!</v>
      </c>
      <c r="HS106" t="e">
        <f>AND(Liste!#REF!,"AAAAAG2fu+I=")</f>
        <v>#REF!</v>
      </c>
      <c r="HT106" t="e">
        <f>AND(Liste!#REF!,"AAAAAG2fu+M=")</f>
        <v>#REF!</v>
      </c>
      <c r="HU106" t="e">
        <f>AND(Liste!#REF!,"AAAAAG2fu+Q=")</f>
        <v>#REF!</v>
      </c>
      <c r="HV106" t="e">
        <f>AND(Liste!#REF!,"AAAAAG2fu+U=")</f>
        <v>#REF!</v>
      </c>
      <c r="HW106" t="e">
        <f>AND(Liste!#REF!,"AAAAAG2fu+Y=")</f>
        <v>#REF!</v>
      </c>
      <c r="HX106" t="e">
        <f>AND(Liste!#REF!,"AAAAAG2fu+c=")</f>
        <v>#REF!</v>
      </c>
      <c r="HY106" t="e">
        <f>AND(Liste!#REF!,"AAAAAG2fu+g=")</f>
        <v>#REF!</v>
      </c>
      <c r="HZ106" t="e">
        <f>AND(Liste!#REF!,"AAAAAG2fu+k=")</f>
        <v>#REF!</v>
      </c>
      <c r="IA106" t="e">
        <f>AND(Liste!#REF!,"AAAAAG2fu+o=")</f>
        <v>#REF!</v>
      </c>
      <c r="IB106" t="e">
        <f>AND(Liste!#REF!,"AAAAAG2fu+s=")</f>
        <v>#REF!</v>
      </c>
      <c r="IC106" t="e">
        <f>AND(Liste!#REF!,"AAAAAG2fu+w=")</f>
        <v>#REF!</v>
      </c>
      <c r="ID106" t="e">
        <f>AND(Liste!#REF!,"AAAAAG2fu+0=")</f>
        <v>#REF!</v>
      </c>
      <c r="IE106" t="e">
        <f>AND(Liste!#REF!,"AAAAAG2fu+4=")</f>
        <v>#REF!</v>
      </c>
      <c r="IF106" t="e">
        <f>AND(Liste!#REF!,"AAAAAG2fu+8=")</f>
        <v>#REF!</v>
      </c>
      <c r="IG106" t="e">
        <f>AND(Liste!#REF!,"AAAAAG2fu/A=")</f>
        <v>#REF!</v>
      </c>
      <c r="IH106" t="e">
        <f>AND(Liste!#REF!,"AAAAAG2fu/E=")</f>
        <v>#REF!</v>
      </c>
      <c r="II106" t="e">
        <f>AND(Liste!#REF!,"AAAAAG2fu/I=")</f>
        <v>#REF!</v>
      </c>
      <c r="IJ106" t="e">
        <f>AND(Liste!#REF!,"AAAAAG2fu/M=")</f>
        <v>#REF!</v>
      </c>
      <c r="IK106" t="e">
        <f>AND(Liste!#REF!,"AAAAAG2fu/Q=")</f>
        <v>#REF!</v>
      </c>
      <c r="IL106" t="e">
        <f>IF(Liste!#REF!,"AAAAAG2fu/U=",0)</f>
        <v>#REF!</v>
      </c>
      <c r="IM106" t="e">
        <f>AND(Liste!#REF!,"AAAAAG2fu/Y=")</f>
        <v>#REF!</v>
      </c>
      <c r="IN106" t="e">
        <f>AND(Liste!#REF!,"AAAAAG2fu/c=")</f>
        <v>#REF!</v>
      </c>
      <c r="IO106" t="e">
        <f>AND(Liste!#REF!,"AAAAAG2fu/g=")</f>
        <v>#REF!</v>
      </c>
      <c r="IP106" t="e">
        <f>AND(Liste!#REF!,"AAAAAG2fu/k=")</f>
        <v>#REF!</v>
      </c>
      <c r="IQ106" t="e">
        <f>AND(Liste!#REF!,"AAAAAG2fu/o=")</f>
        <v>#REF!</v>
      </c>
      <c r="IR106" t="e">
        <f>AND(Liste!#REF!,"AAAAAG2fu/s=")</f>
        <v>#REF!</v>
      </c>
      <c r="IS106" t="e">
        <f>AND(Liste!#REF!,"AAAAAG2fu/w=")</f>
        <v>#REF!</v>
      </c>
      <c r="IT106" t="e">
        <f>AND(Liste!#REF!,"AAAAAG2fu/0=")</f>
        <v>#REF!</v>
      </c>
      <c r="IU106" t="e">
        <f>AND(Liste!#REF!,"AAAAAG2fu/4=")</f>
        <v>#REF!</v>
      </c>
      <c r="IV106" t="e">
        <f>AND(Liste!#REF!,"AAAAAG2fu/8=")</f>
        <v>#REF!</v>
      </c>
    </row>
    <row r="107" spans="1:256" x14ac:dyDescent="0.2">
      <c r="A107" t="e">
        <f>AND(Liste!#REF!,"AAAAAH3+/QA=")</f>
        <v>#REF!</v>
      </c>
      <c r="B107" t="e">
        <f>AND(Liste!#REF!,"AAAAAH3+/QE=")</f>
        <v>#REF!</v>
      </c>
      <c r="C107" t="e">
        <f>AND(Liste!#REF!,"AAAAAH3+/QI=")</f>
        <v>#REF!</v>
      </c>
      <c r="D107" t="e">
        <f>AND(Liste!#REF!,"AAAAAH3+/QM=")</f>
        <v>#REF!</v>
      </c>
      <c r="E107" t="e">
        <f>AND(Liste!#REF!,"AAAAAH3+/QQ=")</f>
        <v>#REF!</v>
      </c>
      <c r="F107" t="e">
        <f>AND(Liste!#REF!,"AAAAAH3+/QU=")</f>
        <v>#REF!</v>
      </c>
      <c r="G107" t="e">
        <f>AND(Liste!#REF!,"AAAAAH3+/QY=")</f>
        <v>#REF!</v>
      </c>
      <c r="H107" t="e">
        <f>AND(Liste!#REF!,"AAAAAH3+/Qc=")</f>
        <v>#REF!</v>
      </c>
      <c r="I107" t="e">
        <f>AND(Liste!#REF!,"AAAAAH3+/Qg=")</f>
        <v>#REF!</v>
      </c>
      <c r="J107" t="e">
        <f>AND(Liste!#REF!,"AAAAAH3+/Qk=")</f>
        <v>#REF!</v>
      </c>
      <c r="K107" t="e">
        <f>AND(Liste!#REF!,"AAAAAH3+/Qo=")</f>
        <v>#REF!</v>
      </c>
      <c r="L107" t="e">
        <f>AND(Liste!#REF!,"AAAAAH3+/Qs=")</f>
        <v>#REF!</v>
      </c>
      <c r="M107" t="e">
        <f>AND(Liste!#REF!,"AAAAAH3+/Qw=")</f>
        <v>#REF!</v>
      </c>
      <c r="N107" t="e">
        <f>AND(Liste!#REF!,"AAAAAH3+/Q0=")</f>
        <v>#REF!</v>
      </c>
      <c r="O107" t="e">
        <f>AND(Liste!#REF!,"AAAAAH3+/Q4=")</f>
        <v>#REF!</v>
      </c>
      <c r="P107" t="e">
        <f>AND(Liste!#REF!,"AAAAAH3+/Q8=")</f>
        <v>#REF!</v>
      </c>
      <c r="Q107" t="e">
        <f>AND(Liste!#REF!,"AAAAAH3+/RA=")</f>
        <v>#REF!</v>
      </c>
      <c r="R107" t="e">
        <f>AND(Liste!#REF!,"AAAAAH3+/RE=")</f>
        <v>#REF!</v>
      </c>
      <c r="S107" t="e">
        <f>AND(Liste!#REF!,"AAAAAH3+/RI=")</f>
        <v>#REF!</v>
      </c>
      <c r="T107" t="e">
        <f>AND(Liste!#REF!,"AAAAAH3+/RM=")</f>
        <v>#REF!</v>
      </c>
      <c r="U107" t="e">
        <f>IF(Liste!#REF!,"AAAAAH3+/RQ=",0)</f>
        <v>#REF!</v>
      </c>
      <c r="V107" t="e">
        <f>AND(Liste!#REF!,"AAAAAH3+/RU=")</f>
        <v>#REF!</v>
      </c>
      <c r="W107" t="e">
        <f>AND(Liste!#REF!,"AAAAAH3+/RY=")</f>
        <v>#REF!</v>
      </c>
      <c r="X107" t="e">
        <f>AND(Liste!#REF!,"AAAAAH3+/Rc=")</f>
        <v>#REF!</v>
      </c>
      <c r="Y107" t="e">
        <f>AND(Liste!#REF!,"AAAAAH3+/Rg=")</f>
        <v>#REF!</v>
      </c>
      <c r="Z107" t="e">
        <f>AND(Liste!#REF!,"AAAAAH3+/Rk=")</f>
        <v>#REF!</v>
      </c>
      <c r="AA107" t="e">
        <f>AND(Liste!#REF!,"AAAAAH3+/Ro=")</f>
        <v>#REF!</v>
      </c>
      <c r="AB107" t="e">
        <f>AND(Liste!#REF!,"AAAAAH3+/Rs=")</f>
        <v>#REF!</v>
      </c>
      <c r="AC107" t="e">
        <f>AND(Liste!#REF!,"AAAAAH3+/Rw=")</f>
        <v>#REF!</v>
      </c>
      <c r="AD107" t="e">
        <f>AND(Liste!#REF!,"AAAAAH3+/R0=")</f>
        <v>#REF!</v>
      </c>
      <c r="AE107" t="e">
        <f>AND(Liste!#REF!,"AAAAAH3+/R4=")</f>
        <v>#REF!</v>
      </c>
      <c r="AF107" t="e">
        <f>AND(Liste!#REF!,"AAAAAH3+/R8=")</f>
        <v>#REF!</v>
      </c>
      <c r="AG107" t="e">
        <f>AND(Liste!#REF!,"AAAAAH3+/SA=")</f>
        <v>#REF!</v>
      </c>
      <c r="AH107" t="e">
        <f>AND(Liste!#REF!,"AAAAAH3+/SE=")</f>
        <v>#REF!</v>
      </c>
      <c r="AI107" t="e">
        <f>AND(Liste!#REF!,"AAAAAH3+/SI=")</f>
        <v>#REF!</v>
      </c>
      <c r="AJ107" t="e">
        <f>AND(Liste!#REF!,"AAAAAH3+/SM=")</f>
        <v>#REF!</v>
      </c>
      <c r="AK107" t="e">
        <f>AND(Liste!#REF!,"AAAAAH3+/SQ=")</f>
        <v>#REF!</v>
      </c>
      <c r="AL107" t="e">
        <f>AND(Liste!#REF!,"AAAAAH3+/SU=")</f>
        <v>#REF!</v>
      </c>
      <c r="AM107" t="e">
        <f>AND(Liste!#REF!,"AAAAAH3+/SY=")</f>
        <v>#REF!</v>
      </c>
      <c r="AN107" t="e">
        <f>AND(Liste!#REF!,"AAAAAH3+/Sc=")</f>
        <v>#REF!</v>
      </c>
      <c r="AO107" t="e">
        <f>AND(Liste!#REF!,"AAAAAH3+/Sg=")</f>
        <v>#REF!</v>
      </c>
      <c r="AP107" t="e">
        <f>AND(Liste!#REF!,"AAAAAH3+/Sk=")</f>
        <v>#REF!</v>
      </c>
      <c r="AQ107" t="e">
        <f>AND(Liste!#REF!,"AAAAAH3+/So=")</f>
        <v>#REF!</v>
      </c>
      <c r="AR107" t="e">
        <f>AND(Liste!#REF!,"AAAAAH3+/Ss=")</f>
        <v>#REF!</v>
      </c>
      <c r="AS107" t="e">
        <f>AND(Liste!#REF!,"AAAAAH3+/Sw=")</f>
        <v>#REF!</v>
      </c>
      <c r="AT107" t="e">
        <f>AND(Liste!#REF!,"AAAAAH3+/S0=")</f>
        <v>#REF!</v>
      </c>
      <c r="AU107" t="e">
        <f>AND(Liste!#REF!,"AAAAAH3+/S4=")</f>
        <v>#REF!</v>
      </c>
      <c r="AV107" t="e">
        <f>AND(Liste!#REF!,"AAAAAH3+/S8=")</f>
        <v>#REF!</v>
      </c>
      <c r="AW107" t="e">
        <f>AND(Liste!#REF!,"AAAAAH3+/TA=")</f>
        <v>#REF!</v>
      </c>
      <c r="AX107" t="e">
        <f>AND(Liste!#REF!,"AAAAAH3+/TE=")</f>
        <v>#REF!</v>
      </c>
      <c r="AY107" t="e">
        <f>AND(Liste!#REF!,"AAAAAH3+/TI=")</f>
        <v>#REF!</v>
      </c>
      <c r="AZ107" t="e">
        <f>IF(Liste!#REF!,"AAAAAH3+/TM=",0)</f>
        <v>#REF!</v>
      </c>
      <c r="BA107" t="e">
        <f>AND(Liste!#REF!,"AAAAAH3+/TQ=")</f>
        <v>#REF!</v>
      </c>
      <c r="BB107" t="e">
        <f>AND(Liste!#REF!,"AAAAAH3+/TU=")</f>
        <v>#REF!</v>
      </c>
      <c r="BC107" t="e">
        <f>AND(Liste!#REF!,"AAAAAH3+/TY=")</f>
        <v>#REF!</v>
      </c>
      <c r="BD107" t="e">
        <f>AND(Liste!#REF!,"AAAAAH3+/Tc=")</f>
        <v>#REF!</v>
      </c>
      <c r="BE107" t="e">
        <f>AND(Liste!#REF!,"AAAAAH3+/Tg=")</f>
        <v>#REF!</v>
      </c>
      <c r="BF107" t="e">
        <f>AND(Liste!#REF!,"AAAAAH3+/Tk=")</f>
        <v>#REF!</v>
      </c>
      <c r="BG107" t="e">
        <f>AND(Liste!#REF!,"AAAAAH3+/To=")</f>
        <v>#REF!</v>
      </c>
      <c r="BH107" t="e">
        <f>AND(Liste!#REF!,"AAAAAH3+/Ts=")</f>
        <v>#REF!</v>
      </c>
      <c r="BI107" t="e">
        <f>AND(Liste!#REF!,"AAAAAH3+/Tw=")</f>
        <v>#REF!</v>
      </c>
      <c r="BJ107" t="e">
        <f>AND(Liste!#REF!,"AAAAAH3+/T0=")</f>
        <v>#REF!</v>
      </c>
      <c r="BK107" t="e">
        <f>AND(Liste!#REF!,"AAAAAH3+/T4=")</f>
        <v>#REF!</v>
      </c>
      <c r="BL107" t="e">
        <f>AND(Liste!#REF!,"AAAAAH3+/T8=")</f>
        <v>#REF!</v>
      </c>
      <c r="BM107" t="e">
        <f>AND(Liste!#REF!,"AAAAAH3+/UA=")</f>
        <v>#REF!</v>
      </c>
      <c r="BN107" t="e">
        <f>AND(Liste!#REF!,"AAAAAH3+/UE=")</f>
        <v>#REF!</v>
      </c>
      <c r="BO107" t="e">
        <f>AND(Liste!#REF!,"AAAAAH3+/UI=")</f>
        <v>#REF!</v>
      </c>
      <c r="BP107" t="e">
        <f>AND(Liste!#REF!,"AAAAAH3+/UM=")</f>
        <v>#REF!</v>
      </c>
      <c r="BQ107" t="e">
        <f>AND(Liste!#REF!,"AAAAAH3+/UQ=")</f>
        <v>#REF!</v>
      </c>
      <c r="BR107" t="e">
        <f>AND(Liste!#REF!,"AAAAAH3+/UU=")</f>
        <v>#REF!</v>
      </c>
      <c r="BS107" t="e">
        <f>AND(Liste!#REF!,"AAAAAH3+/UY=")</f>
        <v>#REF!</v>
      </c>
      <c r="BT107" t="e">
        <f>AND(Liste!#REF!,"AAAAAH3+/Uc=")</f>
        <v>#REF!</v>
      </c>
      <c r="BU107" t="e">
        <f>AND(Liste!#REF!,"AAAAAH3+/Ug=")</f>
        <v>#REF!</v>
      </c>
      <c r="BV107" t="e">
        <f>AND(Liste!#REF!,"AAAAAH3+/Uk=")</f>
        <v>#REF!</v>
      </c>
      <c r="BW107" t="e">
        <f>AND(Liste!#REF!,"AAAAAH3+/Uo=")</f>
        <v>#REF!</v>
      </c>
      <c r="BX107" t="e">
        <f>AND(Liste!#REF!,"AAAAAH3+/Us=")</f>
        <v>#REF!</v>
      </c>
      <c r="BY107" t="e">
        <f>AND(Liste!#REF!,"AAAAAH3+/Uw=")</f>
        <v>#REF!</v>
      </c>
      <c r="BZ107" t="e">
        <f>AND(Liste!#REF!,"AAAAAH3+/U0=")</f>
        <v>#REF!</v>
      </c>
      <c r="CA107" t="e">
        <f>AND(Liste!#REF!,"AAAAAH3+/U4=")</f>
        <v>#REF!</v>
      </c>
      <c r="CB107" t="e">
        <f>AND(Liste!#REF!,"AAAAAH3+/U8=")</f>
        <v>#REF!</v>
      </c>
      <c r="CC107" t="e">
        <f>AND(Liste!#REF!,"AAAAAH3+/VA=")</f>
        <v>#REF!</v>
      </c>
      <c r="CD107" t="e">
        <f>AND(Liste!#REF!,"AAAAAH3+/VE=")</f>
        <v>#REF!</v>
      </c>
      <c r="CE107" t="e">
        <f>IF(Liste!#REF!,"AAAAAH3+/VI=",0)</f>
        <v>#REF!</v>
      </c>
      <c r="CF107" t="e">
        <f>AND(Liste!#REF!,"AAAAAH3+/VM=")</f>
        <v>#REF!</v>
      </c>
      <c r="CG107" t="e">
        <f>AND(Liste!#REF!,"AAAAAH3+/VQ=")</f>
        <v>#REF!</v>
      </c>
      <c r="CH107" t="e">
        <f>AND(Liste!#REF!,"AAAAAH3+/VU=")</f>
        <v>#REF!</v>
      </c>
      <c r="CI107" t="e">
        <f>AND(Liste!#REF!,"AAAAAH3+/VY=")</f>
        <v>#REF!</v>
      </c>
      <c r="CJ107" t="e">
        <f>AND(Liste!#REF!,"AAAAAH3+/Vc=")</f>
        <v>#REF!</v>
      </c>
      <c r="CK107" t="e">
        <f>AND(Liste!#REF!,"AAAAAH3+/Vg=")</f>
        <v>#REF!</v>
      </c>
      <c r="CL107" t="e">
        <f>AND(Liste!#REF!,"AAAAAH3+/Vk=")</f>
        <v>#REF!</v>
      </c>
      <c r="CM107" t="e">
        <f>AND(Liste!#REF!,"AAAAAH3+/Vo=")</f>
        <v>#REF!</v>
      </c>
      <c r="CN107" t="e">
        <f>AND(Liste!#REF!,"AAAAAH3+/Vs=")</f>
        <v>#REF!</v>
      </c>
      <c r="CO107" t="e">
        <f>AND(Liste!#REF!,"AAAAAH3+/Vw=")</f>
        <v>#REF!</v>
      </c>
      <c r="CP107" t="e">
        <f>AND(Liste!#REF!,"AAAAAH3+/V0=")</f>
        <v>#REF!</v>
      </c>
      <c r="CQ107" t="e">
        <f>AND(Liste!#REF!,"AAAAAH3+/V4=")</f>
        <v>#REF!</v>
      </c>
      <c r="CR107" t="e">
        <f>AND(Liste!#REF!,"AAAAAH3+/V8=")</f>
        <v>#REF!</v>
      </c>
      <c r="CS107" t="e">
        <f>AND(Liste!#REF!,"AAAAAH3+/WA=")</f>
        <v>#REF!</v>
      </c>
      <c r="CT107" t="e">
        <f>AND(Liste!#REF!,"AAAAAH3+/WE=")</f>
        <v>#REF!</v>
      </c>
      <c r="CU107" t="e">
        <f>AND(Liste!#REF!,"AAAAAH3+/WI=")</f>
        <v>#REF!</v>
      </c>
      <c r="CV107" t="e">
        <f>AND(Liste!#REF!,"AAAAAH3+/WM=")</f>
        <v>#REF!</v>
      </c>
      <c r="CW107" t="e">
        <f>AND(Liste!#REF!,"AAAAAH3+/WQ=")</f>
        <v>#REF!</v>
      </c>
      <c r="CX107" t="e">
        <f>AND(Liste!#REF!,"AAAAAH3+/WU=")</f>
        <v>#REF!</v>
      </c>
      <c r="CY107" t="e">
        <f>AND(Liste!#REF!,"AAAAAH3+/WY=")</f>
        <v>#REF!</v>
      </c>
      <c r="CZ107" t="e">
        <f>AND(Liste!#REF!,"AAAAAH3+/Wc=")</f>
        <v>#REF!</v>
      </c>
      <c r="DA107" t="e">
        <f>AND(Liste!#REF!,"AAAAAH3+/Wg=")</f>
        <v>#REF!</v>
      </c>
      <c r="DB107" t="e">
        <f>AND(Liste!#REF!,"AAAAAH3+/Wk=")</f>
        <v>#REF!</v>
      </c>
      <c r="DC107" t="e">
        <f>AND(Liste!#REF!,"AAAAAH3+/Wo=")</f>
        <v>#REF!</v>
      </c>
      <c r="DD107" t="e">
        <f>AND(Liste!#REF!,"AAAAAH3+/Ws=")</f>
        <v>#REF!</v>
      </c>
      <c r="DE107" t="e">
        <f>AND(Liste!#REF!,"AAAAAH3+/Ww=")</f>
        <v>#REF!</v>
      </c>
      <c r="DF107" t="e">
        <f>AND(Liste!#REF!,"AAAAAH3+/W0=")</f>
        <v>#REF!</v>
      </c>
      <c r="DG107" t="e">
        <f>AND(Liste!#REF!,"AAAAAH3+/W4=")</f>
        <v>#REF!</v>
      </c>
      <c r="DH107" t="e">
        <f>AND(Liste!#REF!,"AAAAAH3+/W8=")</f>
        <v>#REF!</v>
      </c>
      <c r="DI107" t="e">
        <f>AND(Liste!#REF!,"AAAAAH3+/XA=")</f>
        <v>#REF!</v>
      </c>
      <c r="DJ107" t="e">
        <f>IF(Liste!#REF!,"AAAAAH3+/XE=",0)</f>
        <v>#REF!</v>
      </c>
      <c r="DK107" t="e">
        <f>AND(Liste!#REF!,"AAAAAH3+/XI=")</f>
        <v>#REF!</v>
      </c>
      <c r="DL107" t="e">
        <f>AND(Liste!#REF!,"AAAAAH3+/XM=")</f>
        <v>#REF!</v>
      </c>
      <c r="DM107" t="e">
        <f>AND(Liste!#REF!,"AAAAAH3+/XQ=")</f>
        <v>#REF!</v>
      </c>
      <c r="DN107" t="e">
        <f>AND(Liste!#REF!,"AAAAAH3+/XU=")</f>
        <v>#REF!</v>
      </c>
      <c r="DO107" t="e">
        <f>AND(Liste!#REF!,"AAAAAH3+/XY=")</f>
        <v>#REF!</v>
      </c>
      <c r="DP107" t="e">
        <f>AND(Liste!#REF!,"AAAAAH3+/Xc=")</f>
        <v>#REF!</v>
      </c>
      <c r="DQ107" t="e">
        <f>AND(Liste!#REF!,"AAAAAH3+/Xg=")</f>
        <v>#REF!</v>
      </c>
      <c r="DR107" t="e">
        <f>AND(Liste!#REF!,"AAAAAH3+/Xk=")</f>
        <v>#REF!</v>
      </c>
      <c r="DS107" t="e">
        <f>AND(Liste!#REF!,"AAAAAH3+/Xo=")</f>
        <v>#REF!</v>
      </c>
      <c r="DT107" t="e">
        <f>AND(Liste!#REF!,"AAAAAH3+/Xs=")</f>
        <v>#REF!</v>
      </c>
      <c r="DU107" t="e">
        <f>AND(Liste!#REF!,"AAAAAH3+/Xw=")</f>
        <v>#REF!</v>
      </c>
      <c r="DV107" t="e">
        <f>AND(Liste!#REF!,"AAAAAH3+/X0=")</f>
        <v>#REF!</v>
      </c>
      <c r="DW107" t="e">
        <f>AND(Liste!#REF!,"AAAAAH3+/X4=")</f>
        <v>#REF!</v>
      </c>
      <c r="DX107" t="e">
        <f>AND(Liste!#REF!,"AAAAAH3+/X8=")</f>
        <v>#REF!</v>
      </c>
      <c r="DY107" t="e">
        <f>AND(Liste!#REF!,"AAAAAH3+/YA=")</f>
        <v>#REF!</v>
      </c>
      <c r="DZ107" t="e">
        <f>AND(Liste!#REF!,"AAAAAH3+/YE=")</f>
        <v>#REF!</v>
      </c>
      <c r="EA107" t="e">
        <f>AND(Liste!#REF!,"AAAAAH3+/YI=")</f>
        <v>#REF!</v>
      </c>
      <c r="EB107" t="e">
        <f>AND(Liste!#REF!,"AAAAAH3+/YM=")</f>
        <v>#REF!</v>
      </c>
      <c r="EC107" t="e">
        <f>AND(Liste!#REF!,"AAAAAH3+/YQ=")</f>
        <v>#REF!</v>
      </c>
      <c r="ED107" t="e">
        <f>AND(Liste!#REF!,"AAAAAH3+/YU=")</f>
        <v>#REF!</v>
      </c>
      <c r="EE107" t="e">
        <f>AND(Liste!#REF!,"AAAAAH3+/YY=")</f>
        <v>#REF!</v>
      </c>
      <c r="EF107" t="e">
        <f>AND(Liste!#REF!,"AAAAAH3+/Yc=")</f>
        <v>#REF!</v>
      </c>
      <c r="EG107" t="e">
        <f>AND(Liste!#REF!,"AAAAAH3+/Yg=")</f>
        <v>#REF!</v>
      </c>
      <c r="EH107" t="e">
        <f>AND(Liste!#REF!,"AAAAAH3+/Yk=")</f>
        <v>#REF!</v>
      </c>
      <c r="EI107" t="e">
        <f>AND(Liste!#REF!,"AAAAAH3+/Yo=")</f>
        <v>#REF!</v>
      </c>
      <c r="EJ107" t="e">
        <f>AND(Liste!#REF!,"AAAAAH3+/Ys=")</f>
        <v>#REF!</v>
      </c>
      <c r="EK107" t="e">
        <f>AND(Liste!#REF!,"AAAAAH3+/Yw=")</f>
        <v>#REF!</v>
      </c>
      <c r="EL107" t="e">
        <f>AND(Liste!#REF!,"AAAAAH3+/Y0=")</f>
        <v>#REF!</v>
      </c>
      <c r="EM107" t="e">
        <f>AND(Liste!#REF!,"AAAAAH3+/Y4=")</f>
        <v>#REF!</v>
      </c>
      <c r="EN107" t="e">
        <f>AND(Liste!#REF!,"AAAAAH3+/Y8=")</f>
        <v>#REF!</v>
      </c>
      <c r="EO107" t="e">
        <f>IF(Liste!#REF!,"AAAAAH3+/ZA=",0)</f>
        <v>#REF!</v>
      </c>
      <c r="EP107" t="e">
        <f>AND(Liste!#REF!,"AAAAAH3+/ZE=")</f>
        <v>#REF!</v>
      </c>
      <c r="EQ107" t="e">
        <f>AND(Liste!#REF!,"AAAAAH3+/ZI=")</f>
        <v>#REF!</v>
      </c>
      <c r="ER107" t="e">
        <f>AND(Liste!#REF!,"AAAAAH3+/ZM=")</f>
        <v>#REF!</v>
      </c>
      <c r="ES107" t="e">
        <f>AND(Liste!#REF!,"AAAAAH3+/ZQ=")</f>
        <v>#REF!</v>
      </c>
      <c r="ET107" t="e">
        <f>AND(Liste!#REF!,"AAAAAH3+/ZU=")</f>
        <v>#REF!</v>
      </c>
      <c r="EU107" t="e">
        <f>AND(Liste!#REF!,"AAAAAH3+/ZY=")</f>
        <v>#REF!</v>
      </c>
      <c r="EV107" t="e">
        <f>AND(Liste!#REF!,"AAAAAH3+/Zc=")</f>
        <v>#REF!</v>
      </c>
      <c r="EW107" t="e">
        <f>AND(Liste!#REF!,"AAAAAH3+/Zg=")</f>
        <v>#REF!</v>
      </c>
      <c r="EX107" t="e">
        <f>AND(Liste!#REF!,"AAAAAH3+/Zk=")</f>
        <v>#REF!</v>
      </c>
      <c r="EY107" t="e">
        <f>AND(Liste!#REF!,"AAAAAH3+/Zo=")</f>
        <v>#REF!</v>
      </c>
      <c r="EZ107" t="e">
        <f>AND(Liste!#REF!,"AAAAAH3+/Zs=")</f>
        <v>#REF!</v>
      </c>
      <c r="FA107" t="e">
        <f>AND(Liste!#REF!,"AAAAAH3+/Zw=")</f>
        <v>#REF!</v>
      </c>
      <c r="FB107" t="e">
        <f>AND(Liste!#REF!,"AAAAAH3+/Z0=")</f>
        <v>#REF!</v>
      </c>
      <c r="FC107" t="e">
        <f>AND(Liste!#REF!,"AAAAAH3+/Z4=")</f>
        <v>#REF!</v>
      </c>
      <c r="FD107" t="e">
        <f>AND(Liste!#REF!,"AAAAAH3+/Z8=")</f>
        <v>#REF!</v>
      </c>
      <c r="FE107" t="e">
        <f>AND(Liste!#REF!,"AAAAAH3+/aA=")</f>
        <v>#REF!</v>
      </c>
      <c r="FF107" t="e">
        <f>AND(Liste!#REF!,"AAAAAH3+/aE=")</f>
        <v>#REF!</v>
      </c>
      <c r="FG107" t="e">
        <f>AND(Liste!#REF!,"AAAAAH3+/aI=")</f>
        <v>#REF!</v>
      </c>
      <c r="FH107" t="e">
        <f>AND(Liste!#REF!,"AAAAAH3+/aM=")</f>
        <v>#REF!</v>
      </c>
      <c r="FI107" t="e">
        <f>AND(Liste!#REF!,"AAAAAH3+/aQ=")</f>
        <v>#REF!</v>
      </c>
      <c r="FJ107" t="e">
        <f>AND(Liste!#REF!,"AAAAAH3+/aU=")</f>
        <v>#REF!</v>
      </c>
      <c r="FK107" t="e">
        <f>AND(Liste!#REF!,"AAAAAH3+/aY=")</f>
        <v>#REF!</v>
      </c>
      <c r="FL107" t="e">
        <f>AND(Liste!#REF!,"AAAAAH3+/ac=")</f>
        <v>#REF!</v>
      </c>
      <c r="FM107" t="e">
        <f>AND(Liste!#REF!,"AAAAAH3+/ag=")</f>
        <v>#REF!</v>
      </c>
      <c r="FN107" t="e">
        <f>AND(Liste!#REF!,"AAAAAH3+/ak=")</f>
        <v>#REF!</v>
      </c>
      <c r="FO107" t="e">
        <f>AND(Liste!#REF!,"AAAAAH3+/ao=")</f>
        <v>#REF!</v>
      </c>
      <c r="FP107" t="e">
        <f>AND(Liste!#REF!,"AAAAAH3+/as=")</f>
        <v>#REF!</v>
      </c>
      <c r="FQ107" t="e">
        <f>AND(Liste!#REF!,"AAAAAH3+/aw=")</f>
        <v>#REF!</v>
      </c>
      <c r="FR107" t="e">
        <f>AND(Liste!#REF!,"AAAAAH3+/a0=")</f>
        <v>#REF!</v>
      </c>
      <c r="FS107" t="e">
        <f>AND(Liste!#REF!,"AAAAAH3+/a4=")</f>
        <v>#REF!</v>
      </c>
      <c r="FT107" t="e">
        <f>IF(Liste!#REF!,"AAAAAH3+/a8=",0)</f>
        <v>#REF!</v>
      </c>
      <c r="FU107" t="e">
        <f>AND(Liste!#REF!,"AAAAAH3+/bA=")</f>
        <v>#REF!</v>
      </c>
      <c r="FV107" t="e">
        <f>AND(Liste!#REF!,"AAAAAH3+/bE=")</f>
        <v>#REF!</v>
      </c>
      <c r="FW107" t="e">
        <f>AND(Liste!#REF!,"AAAAAH3+/bI=")</f>
        <v>#REF!</v>
      </c>
      <c r="FX107" t="e">
        <f>AND(Liste!#REF!,"AAAAAH3+/bM=")</f>
        <v>#REF!</v>
      </c>
      <c r="FY107" t="e">
        <f>AND(Liste!#REF!,"AAAAAH3+/bQ=")</f>
        <v>#REF!</v>
      </c>
      <c r="FZ107" t="e">
        <f>AND(Liste!#REF!,"AAAAAH3+/bU=")</f>
        <v>#REF!</v>
      </c>
      <c r="GA107" t="e">
        <f>AND(Liste!#REF!,"AAAAAH3+/bY=")</f>
        <v>#REF!</v>
      </c>
      <c r="GB107" t="e">
        <f>AND(Liste!#REF!,"AAAAAH3+/bc=")</f>
        <v>#REF!</v>
      </c>
      <c r="GC107" t="e">
        <f>AND(Liste!#REF!,"AAAAAH3+/bg=")</f>
        <v>#REF!</v>
      </c>
      <c r="GD107" t="e">
        <f>AND(Liste!#REF!,"AAAAAH3+/bk=")</f>
        <v>#REF!</v>
      </c>
      <c r="GE107" t="e">
        <f>AND(Liste!#REF!,"AAAAAH3+/bo=")</f>
        <v>#REF!</v>
      </c>
      <c r="GF107" t="e">
        <f>AND(Liste!#REF!,"AAAAAH3+/bs=")</f>
        <v>#REF!</v>
      </c>
      <c r="GG107" t="e">
        <f>AND(Liste!#REF!,"AAAAAH3+/bw=")</f>
        <v>#REF!</v>
      </c>
      <c r="GH107" t="e">
        <f>AND(Liste!#REF!,"AAAAAH3+/b0=")</f>
        <v>#REF!</v>
      </c>
      <c r="GI107" t="e">
        <f>AND(Liste!#REF!,"AAAAAH3+/b4=")</f>
        <v>#REF!</v>
      </c>
      <c r="GJ107" t="e">
        <f>AND(Liste!#REF!,"AAAAAH3+/b8=")</f>
        <v>#REF!</v>
      </c>
      <c r="GK107" t="e">
        <f>AND(Liste!#REF!,"AAAAAH3+/cA=")</f>
        <v>#REF!</v>
      </c>
      <c r="GL107" t="e">
        <f>AND(Liste!#REF!,"AAAAAH3+/cE=")</f>
        <v>#REF!</v>
      </c>
      <c r="GM107" t="e">
        <f>AND(Liste!#REF!,"AAAAAH3+/cI=")</f>
        <v>#REF!</v>
      </c>
      <c r="GN107" t="e">
        <f>AND(Liste!#REF!,"AAAAAH3+/cM=")</f>
        <v>#REF!</v>
      </c>
      <c r="GO107" t="e">
        <f>AND(Liste!#REF!,"AAAAAH3+/cQ=")</f>
        <v>#REF!</v>
      </c>
      <c r="GP107" t="e">
        <f>AND(Liste!#REF!,"AAAAAH3+/cU=")</f>
        <v>#REF!</v>
      </c>
      <c r="GQ107" t="e">
        <f>AND(Liste!#REF!,"AAAAAH3+/cY=")</f>
        <v>#REF!</v>
      </c>
      <c r="GR107" t="e">
        <f>AND(Liste!#REF!,"AAAAAH3+/cc=")</f>
        <v>#REF!</v>
      </c>
      <c r="GS107" t="e">
        <f>AND(Liste!#REF!,"AAAAAH3+/cg=")</f>
        <v>#REF!</v>
      </c>
      <c r="GT107" t="e">
        <f>AND(Liste!#REF!,"AAAAAH3+/ck=")</f>
        <v>#REF!</v>
      </c>
      <c r="GU107" t="e">
        <f>AND(Liste!#REF!,"AAAAAH3+/co=")</f>
        <v>#REF!</v>
      </c>
      <c r="GV107" t="e">
        <f>AND(Liste!#REF!,"AAAAAH3+/cs=")</f>
        <v>#REF!</v>
      </c>
      <c r="GW107" t="e">
        <f>AND(Liste!#REF!,"AAAAAH3+/cw=")</f>
        <v>#REF!</v>
      </c>
      <c r="GX107" t="e">
        <f>AND(Liste!#REF!,"AAAAAH3+/c0=")</f>
        <v>#REF!</v>
      </c>
      <c r="GY107" t="e">
        <f>IF(Liste!#REF!,"AAAAAH3+/c4=",0)</f>
        <v>#REF!</v>
      </c>
      <c r="GZ107" t="e">
        <f>AND(Liste!#REF!,"AAAAAH3+/c8=")</f>
        <v>#REF!</v>
      </c>
      <c r="HA107" t="e">
        <f>AND(Liste!#REF!,"AAAAAH3+/dA=")</f>
        <v>#REF!</v>
      </c>
      <c r="HB107" t="e">
        <f>AND(Liste!#REF!,"AAAAAH3+/dE=")</f>
        <v>#REF!</v>
      </c>
      <c r="HC107" t="e">
        <f>AND(Liste!#REF!,"AAAAAH3+/dI=")</f>
        <v>#REF!</v>
      </c>
      <c r="HD107" t="e">
        <f>AND(Liste!#REF!,"AAAAAH3+/dM=")</f>
        <v>#REF!</v>
      </c>
      <c r="HE107" t="e">
        <f>AND(Liste!#REF!,"AAAAAH3+/dQ=")</f>
        <v>#REF!</v>
      </c>
      <c r="HF107" t="e">
        <f>AND(Liste!#REF!,"AAAAAH3+/dU=")</f>
        <v>#REF!</v>
      </c>
      <c r="HG107" t="e">
        <f>AND(Liste!#REF!,"AAAAAH3+/dY=")</f>
        <v>#REF!</v>
      </c>
      <c r="HH107" t="e">
        <f>AND(Liste!#REF!,"AAAAAH3+/dc=")</f>
        <v>#REF!</v>
      </c>
      <c r="HI107" t="e">
        <f>AND(Liste!#REF!,"AAAAAH3+/dg=")</f>
        <v>#REF!</v>
      </c>
      <c r="HJ107" t="e">
        <f>AND(Liste!#REF!,"AAAAAH3+/dk=")</f>
        <v>#REF!</v>
      </c>
      <c r="HK107" t="e">
        <f>AND(Liste!#REF!,"AAAAAH3+/do=")</f>
        <v>#REF!</v>
      </c>
      <c r="HL107" t="e">
        <f>AND(Liste!#REF!,"AAAAAH3+/ds=")</f>
        <v>#REF!</v>
      </c>
      <c r="HM107" t="e">
        <f>AND(Liste!#REF!,"AAAAAH3+/dw=")</f>
        <v>#REF!</v>
      </c>
      <c r="HN107" t="e">
        <f>AND(Liste!#REF!,"AAAAAH3+/d0=")</f>
        <v>#REF!</v>
      </c>
      <c r="HO107" t="e">
        <f>AND(Liste!#REF!,"AAAAAH3+/d4=")</f>
        <v>#REF!</v>
      </c>
      <c r="HP107" t="e">
        <f>AND(Liste!#REF!,"AAAAAH3+/d8=")</f>
        <v>#REF!</v>
      </c>
      <c r="HQ107" t="e">
        <f>AND(Liste!#REF!,"AAAAAH3+/eA=")</f>
        <v>#REF!</v>
      </c>
      <c r="HR107" t="e">
        <f>AND(Liste!#REF!,"AAAAAH3+/eE=")</f>
        <v>#REF!</v>
      </c>
      <c r="HS107" t="e">
        <f>AND(Liste!#REF!,"AAAAAH3+/eI=")</f>
        <v>#REF!</v>
      </c>
      <c r="HT107" t="e">
        <f>AND(Liste!#REF!,"AAAAAH3+/eM=")</f>
        <v>#REF!</v>
      </c>
      <c r="HU107" t="e">
        <f>AND(Liste!#REF!,"AAAAAH3+/eQ=")</f>
        <v>#REF!</v>
      </c>
      <c r="HV107" t="e">
        <f>AND(Liste!#REF!,"AAAAAH3+/eU=")</f>
        <v>#REF!</v>
      </c>
      <c r="HW107" t="e">
        <f>AND(Liste!#REF!,"AAAAAH3+/eY=")</f>
        <v>#REF!</v>
      </c>
      <c r="HX107" t="e">
        <f>AND(Liste!#REF!,"AAAAAH3+/ec=")</f>
        <v>#REF!</v>
      </c>
      <c r="HY107" t="e">
        <f>AND(Liste!#REF!,"AAAAAH3+/eg=")</f>
        <v>#REF!</v>
      </c>
      <c r="HZ107" t="e">
        <f>AND(Liste!#REF!,"AAAAAH3+/ek=")</f>
        <v>#REF!</v>
      </c>
      <c r="IA107" t="e">
        <f>AND(Liste!#REF!,"AAAAAH3+/eo=")</f>
        <v>#REF!</v>
      </c>
      <c r="IB107" t="e">
        <f>AND(Liste!#REF!,"AAAAAH3+/es=")</f>
        <v>#REF!</v>
      </c>
      <c r="IC107" t="e">
        <f>AND(Liste!#REF!,"AAAAAH3+/ew=")</f>
        <v>#REF!</v>
      </c>
      <c r="ID107" t="e">
        <f>IF(Liste!#REF!,"AAAAAH3+/e0=",0)</f>
        <v>#REF!</v>
      </c>
      <c r="IE107" t="e">
        <f>AND(Liste!#REF!,"AAAAAH3+/e4=")</f>
        <v>#REF!</v>
      </c>
      <c r="IF107" t="e">
        <f>AND(Liste!#REF!,"AAAAAH3+/e8=")</f>
        <v>#REF!</v>
      </c>
      <c r="IG107" t="e">
        <f>AND(Liste!#REF!,"AAAAAH3+/fA=")</f>
        <v>#REF!</v>
      </c>
      <c r="IH107" t="e">
        <f>AND(Liste!#REF!,"AAAAAH3+/fE=")</f>
        <v>#REF!</v>
      </c>
      <c r="II107" t="e">
        <f>AND(Liste!#REF!,"AAAAAH3+/fI=")</f>
        <v>#REF!</v>
      </c>
      <c r="IJ107" t="e">
        <f>AND(Liste!#REF!,"AAAAAH3+/fM=")</f>
        <v>#REF!</v>
      </c>
      <c r="IK107" t="e">
        <f>AND(Liste!#REF!,"AAAAAH3+/fQ=")</f>
        <v>#REF!</v>
      </c>
      <c r="IL107" t="e">
        <f>AND(Liste!#REF!,"AAAAAH3+/fU=")</f>
        <v>#REF!</v>
      </c>
      <c r="IM107" t="e">
        <f>AND(Liste!#REF!,"AAAAAH3+/fY=")</f>
        <v>#REF!</v>
      </c>
      <c r="IN107" t="e">
        <f>AND(Liste!#REF!,"AAAAAH3+/fc=")</f>
        <v>#REF!</v>
      </c>
      <c r="IO107" t="e">
        <f>AND(Liste!#REF!,"AAAAAH3+/fg=")</f>
        <v>#REF!</v>
      </c>
      <c r="IP107" t="e">
        <f>AND(Liste!#REF!,"AAAAAH3+/fk=")</f>
        <v>#REF!</v>
      </c>
      <c r="IQ107" t="e">
        <f>AND(Liste!#REF!,"AAAAAH3+/fo=")</f>
        <v>#REF!</v>
      </c>
      <c r="IR107" t="e">
        <f>AND(Liste!#REF!,"AAAAAH3+/fs=")</f>
        <v>#REF!</v>
      </c>
      <c r="IS107" t="e">
        <f>AND(Liste!#REF!,"AAAAAH3+/fw=")</f>
        <v>#REF!</v>
      </c>
      <c r="IT107" t="e">
        <f>AND(Liste!#REF!,"AAAAAH3+/f0=")</f>
        <v>#REF!</v>
      </c>
      <c r="IU107" t="e">
        <f>AND(Liste!#REF!,"AAAAAH3+/f4=")</f>
        <v>#REF!</v>
      </c>
      <c r="IV107" t="e">
        <f>AND(Liste!#REF!,"AAAAAH3+/f8=")</f>
        <v>#REF!</v>
      </c>
    </row>
    <row r="108" spans="1:256" x14ac:dyDescent="0.2">
      <c r="A108" t="e">
        <f>AND(Liste!#REF!,"AAAAAFz3/QA=")</f>
        <v>#REF!</v>
      </c>
      <c r="B108" t="e">
        <f>AND(Liste!#REF!,"AAAAAFz3/QE=")</f>
        <v>#REF!</v>
      </c>
      <c r="C108" t="e">
        <f>AND(Liste!#REF!,"AAAAAFz3/QI=")</f>
        <v>#REF!</v>
      </c>
      <c r="D108" t="e">
        <f>AND(Liste!#REF!,"AAAAAFz3/QM=")</f>
        <v>#REF!</v>
      </c>
      <c r="E108" t="e">
        <f>AND(Liste!#REF!,"AAAAAFz3/QQ=")</f>
        <v>#REF!</v>
      </c>
      <c r="F108" t="e">
        <f>AND(Liste!#REF!,"AAAAAFz3/QU=")</f>
        <v>#REF!</v>
      </c>
      <c r="G108" t="e">
        <f>AND(Liste!#REF!,"AAAAAFz3/QY=")</f>
        <v>#REF!</v>
      </c>
      <c r="H108" t="e">
        <f>AND(Liste!#REF!,"AAAAAFz3/Qc=")</f>
        <v>#REF!</v>
      </c>
      <c r="I108" t="e">
        <f>AND(Liste!#REF!,"AAAAAFz3/Qg=")</f>
        <v>#REF!</v>
      </c>
      <c r="J108" t="e">
        <f>AND(Liste!#REF!,"AAAAAFz3/Qk=")</f>
        <v>#REF!</v>
      </c>
      <c r="K108" t="e">
        <f>AND(Liste!#REF!,"AAAAAFz3/Qo=")</f>
        <v>#REF!</v>
      </c>
      <c r="L108" t="e">
        <f>AND(Liste!#REF!,"AAAAAFz3/Qs=")</f>
        <v>#REF!</v>
      </c>
      <c r="M108" t="e">
        <f>IF(Liste!#REF!,"AAAAAFz3/Qw=",0)</f>
        <v>#REF!</v>
      </c>
      <c r="N108" t="e">
        <f>AND(Liste!#REF!,"AAAAAFz3/Q0=")</f>
        <v>#REF!</v>
      </c>
      <c r="O108" t="e">
        <f>AND(Liste!#REF!,"AAAAAFz3/Q4=")</f>
        <v>#REF!</v>
      </c>
      <c r="P108" t="e">
        <f>AND(Liste!#REF!,"AAAAAFz3/Q8=")</f>
        <v>#REF!</v>
      </c>
      <c r="Q108" t="e">
        <f>AND(Liste!#REF!,"AAAAAFz3/RA=")</f>
        <v>#REF!</v>
      </c>
      <c r="R108" t="e">
        <f>AND(Liste!#REF!,"AAAAAFz3/RE=")</f>
        <v>#REF!</v>
      </c>
      <c r="S108" t="e">
        <f>AND(Liste!#REF!,"AAAAAFz3/RI=")</f>
        <v>#REF!</v>
      </c>
      <c r="T108" t="e">
        <f>AND(Liste!#REF!,"AAAAAFz3/RM=")</f>
        <v>#REF!</v>
      </c>
      <c r="U108" t="e">
        <f>AND(Liste!#REF!,"AAAAAFz3/RQ=")</f>
        <v>#REF!</v>
      </c>
      <c r="V108" t="e">
        <f>AND(Liste!#REF!,"AAAAAFz3/RU=")</f>
        <v>#REF!</v>
      </c>
      <c r="W108" t="e">
        <f>AND(Liste!#REF!,"AAAAAFz3/RY=")</f>
        <v>#REF!</v>
      </c>
      <c r="X108" t="e">
        <f>AND(Liste!#REF!,"AAAAAFz3/Rc=")</f>
        <v>#REF!</v>
      </c>
      <c r="Y108" t="e">
        <f>AND(Liste!#REF!,"AAAAAFz3/Rg=")</f>
        <v>#REF!</v>
      </c>
      <c r="Z108" t="e">
        <f>AND(Liste!#REF!,"AAAAAFz3/Rk=")</f>
        <v>#REF!</v>
      </c>
      <c r="AA108" t="e">
        <f>AND(Liste!#REF!,"AAAAAFz3/Ro=")</f>
        <v>#REF!</v>
      </c>
      <c r="AB108" t="e">
        <f>AND(Liste!#REF!,"AAAAAFz3/Rs=")</f>
        <v>#REF!</v>
      </c>
      <c r="AC108" t="e">
        <f>AND(Liste!#REF!,"AAAAAFz3/Rw=")</f>
        <v>#REF!</v>
      </c>
      <c r="AD108" t="e">
        <f>AND(Liste!#REF!,"AAAAAFz3/R0=")</f>
        <v>#REF!</v>
      </c>
      <c r="AE108" t="e">
        <f>AND(Liste!#REF!,"AAAAAFz3/R4=")</f>
        <v>#REF!</v>
      </c>
      <c r="AF108" t="e">
        <f>AND(Liste!#REF!,"AAAAAFz3/R8=")</f>
        <v>#REF!</v>
      </c>
      <c r="AG108" t="e">
        <f>AND(Liste!#REF!,"AAAAAFz3/SA=")</f>
        <v>#REF!</v>
      </c>
      <c r="AH108" t="e">
        <f>AND(Liste!#REF!,"AAAAAFz3/SE=")</f>
        <v>#REF!</v>
      </c>
      <c r="AI108" t="e">
        <f>AND(Liste!#REF!,"AAAAAFz3/SI=")</f>
        <v>#REF!</v>
      </c>
      <c r="AJ108" t="e">
        <f>AND(Liste!#REF!,"AAAAAFz3/SM=")</f>
        <v>#REF!</v>
      </c>
      <c r="AK108" t="e">
        <f>AND(Liste!#REF!,"AAAAAFz3/SQ=")</f>
        <v>#REF!</v>
      </c>
      <c r="AL108" t="e">
        <f>AND(Liste!#REF!,"AAAAAFz3/SU=")</f>
        <v>#REF!</v>
      </c>
      <c r="AM108" t="e">
        <f>AND(Liste!#REF!,"AAAAAFz3/SY=")</f>
        <v>#REF!</v>
      </c>
      <c r="AN108" t="e">
        <f>AND(Liste!#REF!,"AAAAAFz3/Sc=")</f>
        <v>#REF!</v>
      </c>
      <c r="AO108" t="e">
        <f>AND(Liste!#REF!,"AAAAAFz3/Sg=")</f>
        <v>#REF!</v>
      </c>
      <c r="AP108" t="e">
        <f>AND(Liste!#REF!,"AAAAAFz3/Sk=")</f>
        <v>#REF!</v>
      </c>
      <c r="AQ108" t="e">
        <f>AND(Liste!#REF!,"AAAAAFz3/So=")</f>
        <v>#REF!</v>
      </c>
      <c r="AR108" t="e">
        <f>IF(Liste!#REF!,"AAAAAFz3/Ss=",0)</f>
        <v>#REF!</v>
      </c>
      <c r="AS108" t="e">
        <f>AND(Liste!#REF!,"AAAAAFz3/Sw=")</f>
        <v>#REF!</v>
      </c>
      <c r="AT108" t="e">
        <f>AND(Liste!#REF!,"AAAAAFz3/S0=")</f>
        <v>#REF!</v>
      </c>
      <c r="AU108" t="e">
        <f>AND(Liste!#REF!,"AAAAAFz3/S4=")</f>
        <v>#REF!</v>
      </c>
      <c r="AV108" t="e">
        <f>AND(Liste!#REF!,"AAAAAFz3/S8=")</f>
        <v>#REF!</v>
      </c>
      <c r="AW108" t="e">
        <f>AND(Liste!#REF!,"AAAAAFz3/TA=")</f>
        <v>#REF!</v>
      </c>
      <c r="AX108" t="e">
        <f>AND(Liste!#REF!,"AAAAAFz3/TE=")</f>
        <v>#REF!</v>
      </c>
      <c r="AY108" t="e">
        <f>AND(Liste!#REF!,"AAAAAFz3/TI=")</f>
        <v>#REF!</v>
      </c>
      <c r="AZ108" t="e">
        <f>AND(Liste!#REF!,"AAAAAFz3/TM=")</f>
        <v>#REF!</v>
      </c>
      <c r="BA108" t="e">
        <f>AND(Liste!#REF!,"AAAAAFz3/TQ=")</f>
        <v>#REF!</v>
      </c>
      <c r="BB108" t="e">
        <f>AND(Liste!#REF!,"AAAAAFz3/TU=")</f>
        <v>#REF!</v>
      </c>
      <c r="BC108" t="e">
        <f>AND(Liste!#REF!,"AAAAAFz3/TY=")</f>
        <v>#REF!</v>
      </c>
      <c r="BD108" t="e">
        <f>AND(Liste!#REF!,"AAAAAFz3/Tc=")</f>
        <v>#REF!</v>
      </c>
      <c r="BE108" t="e">
        <f>AND(Liste!#REF!,"AAAAAFz3/Tg=")</f>
        <v>#REF!</v>
      </c>
      <c r="BF108" t="e">
        <f>AND(Liste!#REF!,"AAAAAFz3/Tk=")</f>
        <v>#REF!</v>
      </c>
      <c r="BG108" t="e">
        <f>AND(Liste!#REF!,"AAAAAFz3/To=")</f>
        <v>#REF!</v>
      </c>
      <c r="BH108" t="e">
        <f>AND(Liste!#REF!,"AAAAAFz3/Ts=")</f>
        <v>#REF!</v>
      </c>
      <c r="BI108" t="e">
        <f>AND(Liste!#REF!,"AAAAAFz3/Tw=")</f>
        <v>#REF!</v>
      </c>
      <c r="BJ108" t="e">
        <f>AND(Liste!#REF!,"AAAAAFz3/T0=")</f>
        <v>#REF!</v>
      </c>
      <c r="BK108" t="e">
        <f>AND(Liste!#REF!,"AAAAAFz3/T4=")</f>
        <v>#REF!</v>
      </c>
      <c r="BL108" t="e">
        <f>AND(Liste!#REF!,"AAAAAFz3/T8=")</f>
        <v>#REF!</v>
      </c>
      <c r="BM108" t="e">
        <f>AND(Liste!#REF!,"AAAAAFz3/UA=")</f>
        <v>#REF!</v>
      </c>
      <c r="BN108" t="e">
        <f>AND(Liste!#REF!,"AAAAAFz3/UE=")</f>
        <v>#REF!</v>
      </c>
      <c r="BO108" t="e">
        <f>AND(Liste!#REF!,"AAAAAFz3/UI=")</f>
        <v>#REF!</v>
      </c>
      <c r="BP108" t="e">
        <f>AND(Liste!#REF!,"AAAAAFz3/UM=")</f>
        <v>#REF!</v>
      </c>
      <c r="BQ108" t="e">
        <f>AND(Liste!#REF!,"AAAAAFz3/UQ=")</f>
        <v>#REF!</v>
      </c>
      <c r="BR108" t="e">
        <f>AND(Liste!#REF!,"AAAAAFz3/UU=")</f>
        <v>#REF!</v>
      </c>
      <c r="BS108" t="e">
        <f>AND(Liste!#REF!,"AAAAAFz3/UY=")</f>
        <v>#REF!</v>
      </c>
      <c r="BT108" t="e">
        <f>AND(Liste!#REF!,"AAAAAFz3/Uc=")</f>
        <v>#REF!</v>
      </c>
      <c r="BU108" t="e">
        <f>AND(Liste!#REF!,"AAAAAFz3/Ug=")</f>
        <v>#REF!</v>
      </c>
      <c r="BV108" t="e">
        <f>AND(Liste!#REF!,"AAAAAFz3/Uk=")</f>
        <v>#REF!</v>
      </c>
      <c r="BW108">
        <f>IF(Liste!563:563,"AAAAAFz3/Uo=",0)</f>
        <v>0</v>
      </c>
      <c r="BX108" t="e">
        <f>AND(Liste!A563,"AAAAAFz3/Us=")</f>
        <v>#VALUE!</v>
      </c>
      <c r="BY108" t="e">
        <f>AND(Liste!C563,"AAAAAFz3/Uw=")</f>
        <v>#VALUE!</v>
      </c>
      <c r="BZ108" t="e">
        <f>AND(Liste!D563,"AAAAAFz3/U0=")</f>
        <v>#VALUE!</v>
      </c>
      <c r="CA108" t="e">
        <f>AND(Liste!E563,"AAAAAFz3/U4=")</f>
        <v>#VALUE!</v>
      </c>
      <c r="CB108" t="e">
        <f>AND(Liste!F563,"AAAAAFz3/U8=")</f>
        <v>#VALUE!</v>
      </c>
      <c r="CC108" t="e">
        <f>AND(Liste!G563,"AAAAAFz3/VA=")</f>
        <v>#VALUE!</v>
      </c>
      <c r="CD108" t="e">
        <f>AND(Liste!H563,"AAAAAFz3/VE=")</f>
        <v>#VALUE!</v>
      </c>
      <c r="CE108" t="e">
        <f>AND(Liste!I563,"AAAAAFz3/VI=")</f>
        <v>#VALUE!</v>
      </c>
      <c r="CF108" t="e">
        <f>AND(Liste!J563,"AAAAAFz3/VM=")</f>
        <v>#VALUE!</v>
      </c>
      <c r="CG108" t="e">
        <f>AND(Liste!#REF!,"AAAAAFz3/VQ=")</f>
        <v>#REF!</v>
      </c>
      <c r="CH108" t="e">
        <f>AND(Liste!#REF!,"AAAAAFz3/VU=")</f>
        <v>#REF!</v>
      </c>
      <c r="CI108" t="e">
        <f>AND(Liste!#REF!,"AAAAAFz3/VY=")</f>
        <v>#REF!</v>
      </c>
      <c r="CJ108" t="e">
        <f>AND(Liste!#REF!,"AAAAAFz3/Vc=")</f>
        <v>#REF!</v>
      </c>
      <c r="CK108" t="e">
        <f>AND(Liste!#REF!,"AAAAAFz3/Vg=")</f>
        <v>#REF!</v>
      </c>
      <c r="CL108" t="e">
        <f>AND(Liste!#REF!,"AAAAAFz3/Vk=")</f>
        <v>#REF!</v>
      </c>
      <c r="CM108" t="e">
        <f>AND(Liste!#REF!,"AAAAAFz3/Vo=")</f>
        <v>#REF!</v>
      </c>
      <c r="CN108" t="e">
        <f>AND(Liste!#REF!,"AAAAAFz3/Vs=")</f>
        <v>#REF!</v>
      </c>
      <c r="CO108" t="e">
        <f>AND(Liste!#REF!,"AAAAAFz3/Vw=")</f>
        <v>#REF!</v>
      </c>
      <c r="CP108" t="e">
        <f>AND(Liste!#REF!,"AAAAAFz3/V0=")</f>
        <v>#REF!</v>
      </c>
      <c r="CQ108" t="e">
        <f>AND(Liste!#REF!,"AAAAAFz3/V4=")</f>
        <v>#REF!</v>
      </c>
      <c r="CR108" t="e">
        <f>AND(Liste!#REF!,"AAAAAFz3/V8=")</f>
        <v>#REF!</v>
      </c>
      <c r="CS108" t="e">
        <f>AND(Liste!#REF!,"AAAAAFz3/WA=")</f>
        <v>#REF!</v>
      </c>
      <c r="CT108" t="e">
        <f>AND(Liste!#REF!,"AAAAAFz3/WE=")</f>
        <v>#REF!</v>
      </c>
      <c r="CU108" t="e">
        <f>AND(Liste!#REF!,"AAAAAFz3/WI=")</f>
        <v>#REF!</v>
      </c>
      <c r="CV108" t="e">
        <f>AND(Liste!#REF!,"AAAAAFz3/WM=")</f>
        <v>#REF!</v>
      </c>
      <c r="CW108" t="e">
        <f>AND(Liste!#REF!,"AAAAAFz3/WQ=")</f>
        <v>#REF!</v>
      </c>
      <c r="CX108" t="e">
        <f>AND(Liste!#REF!,"AAAAAFz3/WU=")</f>
        <v>#REF!</v>
      </c>
      <c r="CY108" t="e">
        <f>AND(Liste!#REF!,"AAAAAFz3/WY=")</f>
        <v>#REF!</v>
      </c>
      <c r="CZ108" t="e">
        <f>AND(Liste!#REF!,"AAAAAFz3/Wc=")</f>
        <v>#REF!</v>
      </c>
      <c r="DA108" t="e">
        <f>AND(Liste!#REF!,"AAAAAFz3/Wg=")</f>
        <v>#REF!</v>
      </c>
      <c r="DB108">
        <f>IF(Liste!564:564,"AAAAAFz3/Wk=",0)</f>
        <v>0</v>
      </c>
      <c r="DC108" t="e">
        <f>AND(Liste!A564,"AAAAAFz3/Wo=")</f>
        <v>#VALUE!</v>
      </c>
      <c r="DD108" t="e">
        <f>AND(Liste!C564,"AAAAAFz3/Ws=")</f>
        <v>#VALUE!</v>
      </c>
      <c r="DE108" t="e">
        <f>AND(Liste!D564,"AAAAAFz3/Ww=")</f>
        <v>#VALUE!</v>
      </c>
      <c r="DF108" t="e">
        <f>AND(Liste!E564,"AAAAAFz3/W0=")</f>
        <v>#VALUE!</v>
      </c>
      <c r="DG108" t="e">
        <f>AND(Liste!F564,"AAAAAFz3/W4=")</f>
        <v>#VALUE!</v>
      </c>
      <c r="DH108" t="e">
        <f>AND(Liste!G564,"AAAAAFz3/W8=")</f>
        <v>#VALUE!</v>
      </c>
      <c r="DI108" t="e">
        <f>AND(Liste!H564,"AAAAAFz3/XA=")</f>
        <v>#VALUE!</v>
      </c>
      <c r="DJ108" t="e">
        <f>AND(Liste!I564,"AAAAAFz3/XE=")</f>
        <v>#VALUE!</v>
      </c>
      <c r="DK108" t="e">
        <f>AND(Liste!J564,"AAAAAFz3/XI=")</f>
        <v>#VALUE!</v>
      </c>
      <c r="DL108" t="e">
        <f>AND(Liste!#REF!,"AAAAAFz3/XM=")</f>
        <v>#REF!</v>
      </c>
      <c r="DM108" t="e">
        <f>AND(Liste!#REF!,"AAAAAFz3/XQ=")</f>
        <v>#REF!</v>
      </c>
      <c r="DN108" t="e">
        <f>AND(Liste!#REF!,"AAAAAFz3/XU=")</f>
        <v>#REF!</v>
      </c>
      <c r="DO108" t="e">
        <f>AND(Liste!#REF!,"AAAAAFz3/XY=")</f>
        <v>#REF!</v>
      </c>
      <c r="DP108" t="e">
        <f>AND(Liste!#REF!,"AAAAAFz3/Xc=")</f>
        <v>#REF!</v>
      </c>
      <c r="DQ108" t="e">
        <f>AND(Liste!#REF!,"AAAAAFz3/Xg=")</f>
        <v>#REF!</v>
      </c>
      <c r="DR108" t="e">
        <f>AND(Liste!#REF!,"AAAAAFz3/Xk=")</f>
        <v>#REF!</v>
      </c>
      <c r="DS108" t="e">
        <f>AND(Liste!#REF!,"AAAAAFz3/Xo=")</f>
        <v>#REF!</v>
      </c>
      <c r="DT108" t="e">
        <f>AND(Liste!#REF!,"AAAAAFz3/Xs=")</f>
        <v>#REF!</v>
      </c>
      <c r="DU108" t="e">
        <f>AND(Liste!#REF!,"AAAAAFz3/Xw=")</f>
        <v>#REF!</v>
      </c>
      <c r="DV108" t="e">
        <f>AND(Liste!#REF!,"AAAAAFz3/X0=")</f>
        <v>#REF!</v>
      </c>
      <c r="DW108" t="e">
        <f>AND(Liste!#REF!,"AAAAAFz3/X4=")</f>
        <v>#REF!</v>
      </c>
      <c r="DX108" t="e">
        <f>AND(Liste!#REF!,"AAAAAFz3/X8=")</f>
        <v>#REF!</v>
      </c>
      <c r="DY108" t="e">
        <f>AND(Liste!#REF!,"AAAAAFz3/YA=")</f>
        <v>#REF!</v>
      </c>
      <c r="DZ108" t="e">
        <f>AND(Liste!#REF!,"AAAAAFz3/YE=")</f>
        <v>#REF!</v>
      </c>
      <c r="EA108" t="e">
        <f>AND(Liste!#REF!,"AAAAAFz3/YI=")</f>
        <v>#REF!</v>
      </c>
      <c r="EB108" t="e">
        <f>AND(Liste!#REF!,"AAAAAFz3/YM=")</f>
        <v>#REF!</v>
      </c>
      <c r="EC108" t="e">
        <f>AND(Liste!#REF!,"AAAAAFz3/YQ=")</f>
        <v>#REF!</v>
      </c>
      <c r="ED108" t="e">
        <f>AND(Liste!#REF!,"AAAAAFz3/YU=")</f>
        <v>#REF!</v>
      </c>
      <c r="EE108" t="e">
        <f>AND(Liste!#REF!,"AAAAAFz3/YY=")</f>
        <v>#REF!</v>
      </c>
      <c r="EF108" t="e">
        <f>AND(Liste!#REF!,"AAAAAFz3/Yc=")</f>
        <v>#REF!</v>
      </c>
      <c r="EG108">
        <f>IF(Liste!565:565,"AAAAAFz3/Yg=",0)</f>
        <v>0</v>
      </c>
      <c r="EH108" t="b">
        <f>AND(Liste!A565,"AAAAAFz3/Yk=")</f>
        <v>1</v>
      </c>
      <c r="EI108" t="e">
        <f>AND(Liste!#REF!,"AAAAAFz3/Yo=")</f>
        <v>#REF!</v>
      </c>
      <c r="EJ108" t="e">
        <f>AND(Liste!#REF!,"AAAAAFz3/Ys=")</f>
        <v>#REF!</v>
      </c>
      <c r="EK108" t="e">
        <f>AND(Liste!#REF!,"AAAAAFz3/Yw=")</f>
        <v>#REF!</v>
      </c>
      <c r="EL108" t="e">
        <f>AND(Liste!F565,"AAAAAFz3/Y0=")</f>
        <v>#VALUE!</v>
      </c>
      <c r="EM108" t="e">
        <f>AND(Liste!G565,"AAAAAFz3/Y4=")</f>
        <v>#VALUE!</v>
      </c>
      <c r="EN108" t="e">
        <f>AND(Liste!H565,"AAAAAFz3/Y8=")</f>
        <v>#VALUE!</v>
      </c>
      <c r="EO108" t="e">
        <f>AND(Liste!I565,"AAAAAFz3/ZA=")</f>
        <v>#VALUE!</v>
      </c>
      <c r="EP108" t="e">
        <f>AND(Liste!J565,"AAAAAFz3/ZE=")</f>
        <v>#VALUE!</v>
      </c>
      <c r="EQ108" t="e">
        <f>AND(Liste!#REF!,"AAAAAFz3/ZI=")</f>
        <v>#REF!</v>
      </c>
      <c r="ER108" t="e">
        <f>AND(Liste!#REF!,"AAAAAFz3/ZM=")</f>
        <v>#REF!</v>
      </c>
      <c r="ES108" t="e">
        <f>AND(Liste!#REF!,"AAAAAFz3/ZQ=")</f>
        <v>#REF!</v>
      </c>
      <c r="ET108" t="e">
        <f>AND(Liste!#REF!,"AAAAAFz3/ZU=")</f>
        <v>#REF!</v>
      </c>
      <c r="EU108" t="e">
        <f>AND(Liste!#REF!,"AAAAAFz3/ZY=")</f>
        <v>#REF!</v>
      </c>
      <c r="EV108" t="e">
        <f>AND(Liste!#REF!,"AAAAAFz3/Zc=")</f>
        <v>#REF!</v>
      </c>
      <c r="EW108" t="e">
        <f>AND(Liste!#REF!,"AAAAAFz3/Zg=")</f>
        <v>#REF!</v>
      </c>
      <c r="EX108" t="e">
        <f>AND(Liste!#REF!,"AAAAAFz3/Zk=")</f>
        <v>#REF!</v>
      </c>
      <c r="EY108" t="e">
        <f>AND(Liste!#REF!,"AAAAAFz3/Zo=")</f>
        <v>#REF!</v>
      </c>
      <c r="EZ108" t="e">
        <f>AND(Liste!#REF!,"AAAAAFz3/Zs=")</f>
        <v>#REF!</v>
      </c>
      <c r="FA108" t="e">
        <f>AND(Liste!#REF!,"AAAAAFz3/Zw=")</f>
        <v>#REF!</v>
      </c>
      <c r="FB108" t="e">
        <f>AND(Liste!#REF!,"AAAAAFz3/Z0=")</f>
        <v>#REF!</v>
      </c>
      <c r="FC108" t="e">
        <f>AND(Liste!#REF!,"AAAAAFz3/Z4=")</f>
        <v>#REF!</v>
      </c>
      <c r="FD108" t="e">
        <f>AND(Liste!#REF!,"AAAAAFz3/Z8=")</f>
        <v>#REF!</v>
      </c>
      <c r="FE108" t="e">
        <f>AND(Liste!#REF!,"AAAAAFz3/aA=")</f>
        <v>#REF!</v>
      </c>
      <c r="FF108" t="e">
        <f>AND(Liste!#REF!,"AAAAAFz3/aE=")</f>
        <v>#REF!</v>
      </c>
      <c r="FG108" t="e">
        <f>AND(Liste!#REF!,"AAAAAFz3/aI=")</f>
        <v>#REF!</v>
      </c>
      <c r="FH108" t="e">
        <f>AND(Liste!#REF!,"AAAAAFz3/aM=")</f>
        <v>#REF!</v>
      </c>
      <c r="FI108" t="e">
        <f>AND(Liste!#REF!,"AAAAAFz3/aQ=")</f>
        <v>#REF!</v>
      </c>
      <c r="FJ108" t="e">
        <f>AND(Liste!#REF!,"AAAAAFz3/aU=")</f>
        <v>#REF!</v>
      </c>
      <c r="FK108" t="e">
        <f>AND(Liste!#REF!,"AAAAAFz3/aY=")</f>
        <v>#REF!</v>
      </c>
      <c r="FL108">
        <f>IF(Liste!566:566,"AAAAAFz3/ac=",0)</f>
        <v>0</v>
      </c>
      <c r="FM108" t="b">
        <f>AND(Liste!A566,"AAAAAFz3/ag=")</f>
        <v>1</v>
      </c>
      <c r="FN108" t="e">
        <f>AND(Liste!#REF!,"AAAAAFz3/ak=")</f>
        <v>#REF!</v>
      </c>
      <c r="FO108" t="e">
        <f>AND(Liste!#REF!,"AAAAAFz3/ao=")</f>
        <v>#REF!</v>
      </c>
      <c r="FP108" t="e">
        <f>AND(Liste!#REF!,"AAAAAFz3/as=")</f>
        <v>#REF!</v>
      </c>
      <c r="FQ108" t="e">
        <f>AND(Liste!F566,"AAAAAFz3/aw=")</f>
        <v>#VALUE!</v>
      </c>
      <c r="FR108" t="e">
        <f>AND(Liste!G566,"AAAAAFz3/a0=")</f>
        <v>#VALUE!</v>
      </c>
      <c r="FS108" t="e">
        <f>AND(Liste!H566,"AAAAAFz3/a4=")</f>
        <v>#VALUE!</v>
      </c>
      <c r="FT108" t="e">
        <f>AND(Liste!I566,"AAAAAFz3/a8=")</f>
        <v>#VALUE!</v>
      </c>
      <c r="FU108" t="e">
        <f>AND(Liste!J566,"AAAAAFz3/bA=")</f>
        <v>#VALUE!</v>
      </c>
      <c r="FV108" t="e">
        <f>AND(Liste!#REF!,"AAAAAFz3/bE=")</f>
        <v>#REF!</v>
      </c>
      <c r="FW108" t="e">
        <f>AND(Liste!#REF!,"AAAAAFz3/bI=")</f>
        <v>#REF!</v>
      </c>
      <c r="FX108" t="e">
        <f>AND(Liste!#REF!,"AAAAAFz3/bM=")</f>
        <v>#REF!</v>
      </c>
      <c r="FY108" t="e">
        <f>AND(Liste!#REF!,"AAAAAFz3/bQ=")</f>
        <v>#REF!</v>
      </c>
      <c r="FZ108" t="e">
        <f>AND(Liste!#REF!,"AAAAAFz3/bU=")</f>
        <v>#REF!</v>
      </c>
      <c r="GA108" t="e">
        <f>AND(Liste!#REF!,"AAAAAFz3/bY=")</f>
        <v>#REF!</v>
      </c>
      <c r="GB108" t="e">
        <f>AND(Liste!#REF!,"AAAAAFz3/bc=")</f>
        <v>#REF!</v>
      </c>
      <c r="GC108" t="e">
        <f>AND(Liste!#REF!,"AAAAAFz3/bg=")</f>
        <v>#REF!</v>
      </c>
      <c r="GD108" t="e">
        <f>AND(Liste!#REF!,"AAAAAFz3/bk=")</f>
        <v>#REF!</v>
      </c>
      <c r="GE108" t="e">
        <f>AND(Liste!#REF!,"AAAAAFz3/bo=")</f>
        <v>#REF!</v>
      </c>
      <c r="GF108" t="e">
        <f>AND(Liste!#REF!,"AAAAAFz3/bs=")</f>
        <v>#REF!</v>
      </c>
      <c r="GG108" t="e">
        <f>AND(Liste!#REF!,"AAAAAFz3/bw=")</f>
        <v>#REF!</v>
      </c>
      <c r="GH108" t="e">
        <f>AND(Liste!#REF!,"AAAAAFz3/b0=")</f>
        <v>#REF!</v>
      </c>
      <c r="GI108" t="e">
        <f>AND(Liste!#REF!,"AAAAAFz3/b4=")</f>
        <v>#REF!</v>
      </c>
      <c r="GJ108" t="e">
        <f>AND(Liste!#REF!,"AAAAAFz3/b8=")</f>
        <v>#REF!</v>
      </c>
      <c r="GK108" t="e">
        <f>AND(Liste!#REF!,"AAAAAFz3/cA=")</f>
        <v>#REF!</v>
      </c>
      <c r="GL108" t="e">
        <f>AND(Liste!#REF!,"AAAAAFz3/cE=")</f>
        <v>#REF!</v>
      </c>
      <c r="GM108" t="e">
        <f>AND(Liste!#REF!,"AAAAAFz3/cI=")</f>
        <v>#REF!</v>
      </c>
      <c r="GN108" t="e">
        <f>AND(Liste!#REF!,"AAAAAFz3/cM=")</f>
        <v>#REF!</v>
      </c>
      <c r="GO108" t="e">
        <f>AND(Liste!#REF!,"AAAAAFz3/cQ=")</f>
        <v>#REF!</v>
      </c>
      <c r="GP108" t="e">
        <f>AND(Liste!#REF!,"AAAAAFz3/cU=")</f>
        <v>#REF!</v>
      </c>
      <c r="GQ108">
        <f>IF(Liste!567:567,"AAAAAFz3/cY=",0)</f>
        <v>0</v>
      </c>
      <c r="GR108" t="b">
        <f>AND(Liste!A567,"AAAAAFz3/cc=")</f>
        <v>1</v>
      </c>
      <c r="GS108" t="e">
        <f>AND(Liste!#REF!,"AAAAAFz3/cg=")</f>
        <v>#REF!</v>
      </c>
      <c r="GT108" t="e">
        <f>AND(Liste!#REF!,"AAAAAFz3/ck=")</f>
        <v>#REF!</v>
      </c>
      <c r="GU108" t="e">
        <f>AND(Liste!#REF!,"AAAAAFz3/co=")</f>
        <v>#REF!</v>
      </c>
      <c r="GV108" t="e">
        <f>AND(Liste!F567,"AAAAAFz3/cs=")</f>
        <v>#VALUE!</v>
      </c>
      <c r="GW108" t="e">
        <f>AND(Liste!G567,"AAAAAFz3/cw=")</f>
        <v>#VALUE!</v>
      </c>
      <c r="GX108" t="e">
        <f>AND(Liste!H567,"AAAAAFz3/c0=")</f>
        <v>#VALUE!</v>
      </c>
      <c r="GY108" t="e">
        <f>AND(Liste!I567,"AAAAAFz3/c4=")</f>
        <v>#VALUE!</v>
      </c>
      <c r="GZ108" t="e">
        <f>AND(Liste!J567,"AAAAAFz3/c8=")</f>
        <v>#VALUE!</v>
      </c>
      <c r="HA108" t="e">
        <f>AND(Liste!#REF!,"AAAAAFz3/dA=")</f>
        <v>#REF!</v>
      </c>
      <c r="HB108" t="e">
        <f>AND(Liste!#REF!,"AAAAAFz3/dE=")</f>
        <v>#REF!</v>
      </c>
      <c r="HC108" t="e">
        <f>AND(Liste!#REF!,"AAAAAFz3/dI=")</f>
        <v>#REF!</v>
      </c>
      <c r="HD108" t="e">
        <f>AND(Liste!#REF!,"AAAAAFz3/dM=")</f>
        <v>#REF!</v>
      </c>
      <c r="HE108" t="e">
        <f>AND(Liste!#REF!,"AAAAAFz3/dQ=")</f>
        <v>#REF!</v>
      </c>
      <c r="HF108" t="e">
        <f>AND(Liste!#REF!,"AAAAAFz3/dU=")</f>
        <v>#REF!</v>
      </c>
      <c r="HG108" t="e">
        <f>AND(Liste!#REF!,"AAAAAFz3/dY=")</f>
        <v>#REF!</v>
      </c>
      <c r="HH108" t="e">
        <f>AND(Liste!#REF!,"AAAAAFz3/dc=")</f>
        <v>#REF!</v>
      </c>
      <c r="HI108" t="e">
        <f>AND(Liste!#REF!,"AAAAAFz3/dg=")</f>
        <v>#REF!</v>
      </c>
      <c r="HJ108" t="e">
        <f>AND(Liste!#REF!,"AAAAAFz3/dk=")</f>
        <v>#REF!</v>
      </c>
      <c r="HK108" t="e">
        <f>AND(Liste!#REF!,"AAAAAFz3/do=")</f>
        <v>#REF!</v>
      </c>
      <c r="HL108" t="e">
        <f>AND(Liste!#REF!,"AAAAAFz3/ds=")</f>
        <v>#REF!</v>
      </c>
      <c r="HM108" t="e">
        <f>AND(Liste!#REF!,"AAAAAFz3/dw=")</f>
        <v>#REF!</v>
      </c>
      <c r="HN108" t="e">
        <f>AND(Liste!#REF!,"AAAAAFz3/d0=")</f>
        <v>#REF!</v>
      </c>
      <c r="HO108" t="e">
        <f>AND(Liste!#REF!,"AAAAAFz3/d4=")</f>
        <v>#REF!</v>
      </c>
      <c r="HP108" t="e">
        <f>AND(Liste!#REF!,"AAAAAFz3/d8=")</f>
        <v>#REF!</v>
      </c>
      <c r="HQ108" t="e">
        <f>AND(Liste!#REF!,"AAAAAFz3/eA=")</f>
        <v>#REF!</v>
      </c>
      <c r="HR108" t="e">
        <f>AND(Liste!#REF!,"AAAAAFz3/eE=")</f>
        <v>#REF!</v>
      </c>
      <c r="HS108" t="e">
        <f>AND(Liste!#REF!,"AAAAAFz3/eI=")</f>
        <v>#REF!</v>
      </c>
      <c r="HT108" t="e">
        <f>AND(Liste!#REF!,"AAAAAFz3/eM=")</f>
        <v>#REF!</v>
      </c>
      <c r="HU108" t="e">
        <f>AND(Liste!#REF!,"AAAAAFz3/eQ=")</f>
        <v>#REF!</v>
      </c>
      <c r="HV108">
        <f>IF(Liste!568:568,"AAAAAFz3/eU=",0)</f>
        <v>0</v>
      </c>
      <c r="HW108" t="b">
        <f>AND(Liste!A568,"AAAAAFz3/eY=")</f>
        <v>1</v>
      </c>
      <c r="HX108" t="e">
        <f>AND(Liste!#REF!,"AAAAAFz3/ec=")</f>
        <v>#REF!</v>
      </c>
      <c r="HY108" t="e">
        <f>AND(Liste!#REF!,"AAAAAFz3/eg=")</f>
        <v>#REF!</v>
      </c>
      <c r="HZ108" t="e">
        <f>AND(Liste!#REF!,"AAAAAFz3/ek=")</f>
        <v>#REF!</v>
      </c>
      <c r="IA108" t="e">
        <f>AND(Liste!F568,"AAAAAFz3/eo=")</f>
        <v>#VALUE!</v>
      </c>
      <c r="IB108" t="e">
        <f>AND(Liste!G568,"AAAAAFz3/es=")</f>
        <v>#VALUE!</v>
      </c>
      <c r="IC108" t="e">
        <f>AND(Liste!H568,"AAAAAFz3/ew=")</f>
        <v>#VALUE!</v>
      </c>
      <c r="ID108" t="e">
        <f>AND(Liste!I568,"AAAAAFz3/e0=")</f>
        <v>#VALUE!</v>
      </c>
      <c r="IE108" t="e">
        <f>AND(Liste!J568,"AAAAAFz3/e4=")</f>
        <v>#VALUE!</v>
      </c>
      <c r="IF108" t="e">
        <f>AND(Liste!#REF!,"AAAAAFz3/e8=")</f>
        <v>#REF!</v>
      </c>
      <c r="IG108" t="e">
        <f>AND(Liste!#REF!,"AAAAAFz3/fA=")</f>
        <v>#REF!</v>
      </c>
      <c r="IH108" t="e">
        <f>AND(Liste!#REF!,"AAAAAFz3/fE=")</f>
        <v>#REF!</v>
      </c>
      <c r="II108" t="e">
        <f>AND(Liste!#REF!,"AAAAAFz3/fI=")</f>
        <v>#REF!</v>
      </c>
      <c r="IJ108" t="e">
        <f>AND(Liste!#REF!,"AAAAAFz3/fM=")</f>
        <v>#REF!</v>
      </c>
      <c r="IK108" t="e">
        <f>AND(Liste!#REF!,"AAAAAFz3/fQ=")</f>
        <v>#REF!</v>
      </c>
      <c r="IL108" t="e">
        <f>AND(Liste!#REF!,"AAAAAFz3/fU=")</f>
        <v>#REF!</v>
      </c>
      <c r="IM108" t="e">
        <f>AND(Liste!#REF!,"AAAAAFz3/fY=")</f>
        <v>#REF!</v>
      </c>
      <c r="IN108" t="e">
        <f>AND(Liste!#REF!,"AAAAAFz3/fc=")</f>
        <v>#REF!</v>
      </c>
      <c r="IO108" t="e">
        <f>AND(Liste!#REF!,"AAAAAFz3/fg=")</f>
        <v>#REF!</v>
      </c>
      <c r="IP108" t="e">
        <f>AND(Liste!#REF!,"AAAAAFz3/fk=")</f>
        <v>#REF!</v>
      </c>
      <c r="IQ108" t="e">
        <f>AND(Liste!#REF!,"AAAAAFz3/fo=")</f>
        <v>#REF!</v>
      </c>
      <c r="IR108" t="e">
        <f>AND(Liste!#REF!,"AAAAAFz3/fs=")</f>
        <v>#REF!</v>
      </c>
      <c r="IS108" t="e">
        <f>AND(Liste!#REF!,"AAAAAFz3/fw=")</f>
        <v>#REF!</v>
      </c>
      <c r="IT108" t="e">
        <f>AND(Liste!#REF!,"AAAAAFz3/f0=")</f>
        <v>#REF!</v>
      </c>
      <c r="IU108" t="e">
        <f>AND(Liste!#REF!,"AAAAAFz3/f4=")</f>
        <v>#REF!</v>
      </c>
      <c r="IV108" t="e">
        <f>AND(Liste!#REF!,"AAAAAFz3/f8=")</f>
        <v>#REF!</v>
      </c>
    </row>
    <row r="109" spans="1:256" x14ac:dyDescent="0.2">
      <c r="A109" t="e">
        <f>AND(Liste!#REF!,"AAAAACX77wA=")</f>
        <v>#REF!</v>
      </c>
      <c r="B109" t="e">
        <f>AND(Liste!#REF!,"AAAAACX77wE=")</f>
        <v>#REF!</v>
      </c>
      <c r="C109" t="e">
        <f>AND(Liste!#REF!,"AAAAACX77wI=")</f>
        <v>#REF!</v>
      </c>
      <c r="D109" t="e">
        <f>AND(Liste!#REF!,"AAAAACX77wM=")</f>
        <v>#REF!</v>
      </c>
      <c r="E109" t="e">
        <f>IF(Liste!569:569,"AAAAACX77wQ=",0)</f>
        <v>#VALUE!</v>
      </c>
      <c r="F109" t="b">
        <f>AND(Liste!A569,"AAAAACX77wU=")</f>
        <v>1</v>
      </c>
      <c r="G109" t="e">
        <f>AND(Liste!#REF!,"AAAAACX77wY=")</f>
        <v>#REF!</v>
      </c>
      <c r="H109" t="e">
        <f>AND(Liste!#REF!,"AAAAACX77wc=")</f>
        <v>#REF!</v>
      </c>
      <c r="I109" t="e">
        <f>AND(Liste!#REF!,"AAAAACX77wg=")</f>
        <v>#REF!</v>
      </c>
      <c r="J109" t="e">
        <f>AND(Liste!F569,"AAAAACX77wk=")</f>
        <v>#VALUE!</v>
      </c>
      <c r="K109" t="e">
        <f>AND(Liste!G569,"AAAAACX77wo=")</f>
        <v>#VALUE!</v>
      </c>
      <c r="L109" t="e">
        <f>AND(Liste!H569,"AAAAACX77ws=")</f>
        <v>#VALUE!</v>
      </c>
      <c r="M109" t="e">
        <f>AND(Liste!I569,"AAAAACX77ww=")</f>
        <v>#VALUE!</v>
      </c>
      <c r="N109" t="e">
        <f>AND(Liste!J569,"AAAAACX77w0=")</f>
        <v>#VALUE!</v>
      </c>
      <c r="O109" t="e">
        <f>AND(Liste!#REF!,"AAAAACX77w4=")</f>
        <v>#REF!</v>
      </c>
      <c r="P109" t="e">
        <f>AND(Liste!#REF!,"AAAAACX77w8=")</f>
        <v>#REF!</v>
      </c>
      <c r="Q109" t="e">
        <f>AND(Liste!#REF!,"AAAAACX77xA=")</f>
        <v>#REF!</v>
      </c>
      <c r="R109" t="e">
        <f>AND(Liste!#REF!,"AAAAACX77xE=")</f>
        <v>#REF!</v>
      </c>
      <c r="S109" t="e">
        <f>AND(Liste!#REF!,"AAAAACX77xI=")</f>
        <v>#REF!</v>
      </c>
      <c r="T109" t="e">
        <f>AND(Liste!#REF!,"AAAAACX77xM=")</f>
        <v>#REF!</v>
      </c>
      <c r="U109" t="e">
        <f>AND(Liste!#REF!,"AAAAACX77xQ=")</f>
        <v>#REF!</v>
      </c>
      <c r="V109" t="e">
        <f>AND(Liste!#REF!,"AAAAACX77xU=")</f>
        <v>#REF!</v>
      </c>
      <c r="W109" t="e">
        <f>AND(Liste!#REF!,"AAAAACX77xY=")</f>
        <v>#REF!</v>
      </c>
      <c r="X109" t="e">
        <f>AND(Liste!#REF!,"AAAAACX77xc=")</f>
        <v>#REF!</v>
      </c>
      <c r="Y109" t="e">
        <f>AND(Liste!#REF!,"AAAAACX77xg=")</f>
        <v>#REF!</v>
      </c>
      <c r="Z109" t="e">
        <f>AND(Liste!#REF!,"AAAAACX77xk=")</f>
        <v>#REF!</v>
      </c>
      <c r="AA109" t="e">
        <f>AND(Liste!#REF!,"AAAAACX77xo=")</f>
        <v>#REF!</v>
      </c>
      <c r="AB109" t="e">
        <f>AND(Liste!#REF!,"AAAAACX77xs=")</f>
        <v>#REF!</v>
      </c>
      <c r="AC109" t="e">
        <f>AND(Liste!#REF!,"AAAAACX77xw=")</f>
        <v>#REF!</v>
      </c>
      <c r="AD109" t="e">
        <f>AND(Liste!#REF!,"AAAAACX77x0=")</f>
        <v>#REF!</v>
      </c>
      <c r="AE109" t="e">
        <f>AND(Liste!#REF!,"AAAAACX77x4=")</f>
        <v>#REF!</v>
      </c>
      <c r="AF109" t="e">
        <f>AND(Liste!#REF!,"AAAAACX77x8=")</f>
        <v>#REF!</v>
      </c>
      <c r="AG109" t="e">
        <f>AND(Liste!#REF!,"AAAAACX77yA=")</f>
        <v>#REF!</v>
      </c>
      <c r="AH109" t="e">
        <f>AND(Liste!#REF!,"AAAAACX77yE=")</f>
        <v>#REF!</v>
      </c>
      <c r="AI109" t="e">
        <f>AND(Liste!#REF!,"AAAAACX77yI=")</f>
        <v>#REF!</v>
      </c>
      <c r="AJ109">
        <f>IF(Liste!570:570,"AAAAACX77yM=",0)</f>
        <v>0</v>
      </c>
      <c r="AK109" t="b">
        <f>AND(Liste!A570,"AAAAACX77yQ=")</f>
        <v>1</v>
      </c>
      <c r="AL109" t="e">
        <f>AND(Liste!#REF!,"AAAAACX77yU=")</f>
        <v>#REF!</v>
      </c>
      <c r="AM109" t="e">
        <f>AND(Liste!#REF!,"AAAAACX77yY=")</f>
        <v>#REF!</v>
      </c>
      <c r="AN109" t="e">
        <f>AND(Liste!#REF!,"AAAAACX77yc=")</f>
        <v>#REF!</v>
      </c>
      <c r="AO109" t="e">
        <f>AND(Liste!F570,"AAAAACX77yg=")</f>
        <v>#VALUE!</v>
      </c>
      <c r="AP109" t="e">
        <f>AND(Liste!G570,"AAAAACX77yk=")</f>
        <v>#VALUE!</v>
      </c>
      <c r="AQ109" t="e">
        <f>AND(Liste!H570,"AAAAACX77yo=")</f>
        <v>#VALUE!</v>
      </c>
      <c r="AR109" t="e">
        <f>AND(Liste!I570,"AAAAACX77ys=")</f>
        <v>#VALUE!</v>
      </c>
      <c r="AS109" t="e">
        <f>AND(Liste!J570,"AAAAACX77yw=")</f>
        <v>#VALUE!</v>
      </c>
      <c r="AT109" t="e">
        <f>AND(Liste!#REF!,"AAAAACX77y0=")</f>
        <v>#REF!</v>
      </c>
      <c r="AU109" t="e">
        <f>AND(Liste!#REF!,"AAAAACX77y4=")</f>
        <v>#REF!</v>
      </c>
      <c r="AV109" t="e">
        <f>AND(Liste!#REF!,"AAAAACX77y8=")</f>
        <v>#REF!</v>
      </c>
      <c r="AW109" t="e">
        <f>AND(Liste!#REF!,"AAAAACX77zA=")</f>
        <v>#REF!</v>
      </c>
      <c r="AX109" t="e">
        <f>AND(Liste!#REF!,"AAAAACX77zE=")</f>
        <v>#REF!</v>
      </c>
      <c r="AY109" t="e">
        <f>AND(Liste!#REF!,"AAAAACX77zI=")</f>
        <v>#REF!</v>
      </c>
      <c r="AZ109" t="e">
        <f>AND(Liste!#REF!,"AAAAACX77zM=")</f>
        <v>#REF!</v>
      </c>
      <c r="BA109" t="e">
        <f>AND(Liste!#REF!,"AAAAACX77zQ=")</f>
        <v>#REF!</v>
      </c>
      <c r="BB109" t="e">
        <f>AND(Liste!#REF!,"AAAAACX77zU=")</f>
        <v>#REF!</v>
      </c>
      <c r="BC109" t="e">
        <f>AND(Liste!#REF!,"AAAAACX77zY=")</f>
        <v>#REF!</v>
      </c>
      <c r="BD109" t="e">
        <f>AND(Liste!#REF!,"AAAAACX77zc=")</f>
        <v>#REF!</v>
      </c>
      <c r="BE109" t="e">
        <f>AND(Liste!#REF!,"AAAAACX77zg=")</f>
        <v>#REF!</v>
      </c>
      <c r="BF109" t="e">
        <f>AND(Liste!#REF!,"AAAAACX77zk=")</f>
        <v>#REF!</v>
      </c>
      <c r="BG109" t="e">
        <f>AND(Liste!#REF!,"AAAAACX77zo=")</f>
        <v>#REF!</v>
      </c>
      <c r="BH109" t="e">
        <f>AND(Liste!#REF!,"AAAAACX77zs=")</f>
        <v>#REF!</v>
      </c>
      <c r="BI109" t="e">
        <f>AND(Liste!#REF!,"AAAAACX77zw=")</f>
        <v>#REF!</v>
      </c>
      <c r="BJ109" t="e">
        <f>AND(Liste!#REF!,"AAAAACX77z0=")</f>
        <v>#REF!</v>
      </c>
      <c r="BK109" t="e">
        <f>AND(Liste!#REF!,"AAAAACX77z4=")</f>
        <v>#REF!</v>
      </c>
      <c r="BL109" t="e">
        <f>AND(Liste!#REF!,"AAAAACX77z8=")</f>
        <v>#REF!</v>
      </c>
      <c r="BM109" t="e">
        <f>AND(Liste!#REF!,"AAAAACX770A=")</f>
        <v>#REF!</v>
      </c>
      <c r="BN109" t="e">
        <f>AND(Liste!#REF!,"AAAAACX770E=")</f>
        <v>#REF!</v>
      </c>
      <c r="BO109">
        <f>IF(Liste!571:571,"AAAAACX770I=",0)</f>
        <v>0</v>
      </c>
      <c r="BP109" t="b">
        <f>AND(Liste!A571,"AAAAACX770M=")</f>
        <v>1</v>
      </c>
      <c r="BQ109" t="e">
        <f>AND(Liste!#REF!,"AAAAACX770Q=")</f>
        <v>#REF!</v>
      </c>
      <c r="BR109" t="e">
        <f>AND(Liste!#REF!,"AAAAACX770U=")</f>
        <v>#REF!</v>
      </c>
      <c r="BS109" t="e">
        <f>AND(Liste!#REF!,"AAAAACX770Y=")</f>
        <v>#REF!</v>
      </c>
      <c r="BT109" t="e">
        <f>AND(Liste!F571,"AAAAACX770c=")</f>
        <v>#VALUE!</v>
      </c>
      <c r="BU109" t="e">
        <f>AND(Liste!G571,"AAAAACX770g=")</f>
        <v>#VALUE!</v>
      </c>
      <c r="BV109" t="e">
        <f>AND(Liste!H571,"AAAAACX770k=")</f>
        <v>#VALUE!</v>
      </c>
      <c r="BW109" t="e">
        <f>AND(Liste!I571,"AAAAACX770o=")</f>
        <v>#VALUE!</v>
      </c>
      <c r="BX109" t="e">
        <f>AND(Liste!J571,"AAAAACX770s=")</f>
        <v>#VALUE!</v>
      </c>
      <c r="BY109" t="e">
        <f>AND(Liste!#REF!,"AAAAACX770w=")</f>
        <v>#REF!</v>
      </c>
      <c r="BZ109" t="e">
        <f>AND(Liste!#REF!,"AAAAACX7700=")</f>
        <v>#REF!</v>
      </c>
      <c r="CA109" t="e">
        <f>AND(Liste!#REF!,"AAAAACX7704=")</f>
        <v>#REF!</v>
      </c>
      <c r="CB109" t="e">
        <f>AND(Liste!#REF!,"AAAAACX7708=")</f>
        <v>#REF!</v>
      </c>
      <c r="CC109" t="e">
        <f>AND(Liste!#REF!,"AAAAACX771A=")</f>
        <v>#REF!</v>
      </c>
      <c r="CD109" t="e">
        <f>AND(Liste!#REF!,"AAAAACX771E=")</f>
        <v>#REF!</v>
      </c>
      <c r="CE109" t="e">
        <f>AND(Liste!#REF!,"AAAAACX771I=")</f>
        <v>#REF!</v>
      </c>
      <c r="CF109" t="e">
        <f>AND(Liste!#REF!,"AAAAACX771M=")</f>
        <v>#REF!</v>
      </c>
      <c r="CG109" t="e">
        <f>AND(Liste!#REF!,"AAAAACX771Q=")</f>
        <v>#REF!</v>
      </c>
      <c r="CH109" t="e">
        <f>AND(Liste!#REF!,"AAAAACX771U=")</f>
        <v>#REF!</v>
      </c>
      <c r="CI109" t="e">
        <f>AND(Liste!#REF!,"AAAAACX771Y=")</f>
        <v>#REF!</v>
      </c>
      <c r="CJ109" t="e">
        <f>AND(Liste!#REF!,"AAAAACX771c=")</f>
        <v>#REF!</v>
      </c>
      <c r="CK109" t="e">
        <f>AND(Liste!#REF!,"AAAAACX771g=")</f>
        <v>#REF!</v>
      </c>
      <c r="CL109" t="e">
        <f>AND(Liste!#REF!,"AAAAACX771k=")</f>
        <v>#REF!</v>
      </c>
      <c r="CM109" t="e">
        <f>AND(Liste!#REF!,"AAAAACX771o=")</f>
        <v>#REF!</v>
      </c>
      <c r="CN109" t="e">
        <f>AND(Liste!#REF!,"AAAAACX771s=")</f>
        <v>#REF!</v>
      </c>
      <c r="CO109" t="e">
        <f>AND(Liste!#REF!,"AAAAACX771w=")</f>
        <v>#REF!</v>
      </c>
      <c r="CP109" t="e">
        <f>AND(Liste!#REF!,"AAAAACX7710=")</f>
        <v>#REF!</v>
      </c>
      <c r="CQ109" t="e">
        <f>AND(Liste!#REF!,"AAAAACX7714=")</f>
        <v>#REF!</v>
      </c>
      <c r="CR109" t="e">
        <f>AND(Liste!#REF!,"AAAAACX7718=")</f>
        <v>#REF!</v>
      </c>
      <c r="CS109" t="e">
        <f>AND(Liste!#REF!,"AAAAACX772A=")</f>
        <v>#REF!</v>
      </c>
      <c r="CT109">
        <f>IF(Liste!572:572,"AAAAACX772E=",0)</f>
        <v>0</v>
      </c>
      <c r="CU109" t="b">
        <f>AND(Liste!A572,"AAAAACX772I=")</f>
        <v>1</v>
      </c>
      <c r="CV109" t="e">
        <f>AND(Liste!#REF!,"AAAAACX772M=")</f>
        <v>#REF!</v>
      </c>
      <c r="CW109" t="e">
        <f>AND(Liste!#REF!,"AAAAACX772Q=")</f>
        <v>#REF!</v>
      </c>
      <c r="CX109" t="e">
        <f>AND(Liste!#REF!,"AAAAACX772U=")</f>
        <v>#REF!</v>
      </c>
      <c r="CY109" t="e">
        <f>AND(Liste!F572,"AAAAACX772Y=")</f>
        <v>#VALUE!</v>
      </c>
      <c r="CZ109" t="e">
        <f>AND(Liste!G572,"AAAAACX772c=")</f>
        <v>#VALUE!</v>
      </c>
      <c r="DA109" t="e">
        <f>AND(Liste!H572,"AAAAACX772g=")</f>
        <v>#VALUE!</v>
      </c>
      <c r="DB109" t="e">
        <f>AND(Liste!I572,"AAAAACX772k=")</f>
        <v>#VALUE!</v>
      </c>
      <c r="DC109" t="e">
        <f>AND(Liste!J572,"AAAAACX772o=")</f>
        <v>#VALUE!</v>
      </c>
      <c r="DD109" t="e">
        <f>AND(Liste!#REF!,"AAAAACX772s=")</f>
        <v>#REF!</v>
      </c>
      <c r="DE109" t="e">
        <f>AND(Liste!#REF!,"AAAAACX772w=")</f>
        <v>#REF!</v>
      </c>
      <c r="DF109" t="e">
        <f>AND(Liste!#REF!,"AAAAACX7720=")</f>
        <v>#REF!</v>
      </c>
      <c r="DG109" t="e">
        <f>AND(Liste!#REF!,"AAAAACX7724=")</f>
        <v>#REF!</v>
      </c>
      <c r="DH109" t="e">
        <f>AND(Liste!#REF!,"AAAAACX7728=")</f>
        <v>#REF!</v>
      </c>
      <c r="DI109" t="e">
        <f>AND(Liste!#REF!,"AAAAACX773A=")</f>
        <v>#REF!</v>
      </c>
      <c r="DJ109" t="e">
        <f>AND(Liste!#REF!,"AAAAACX773E=")</f>
        <v>#REF!</v>
      </c>
      <c r="DK109" t="e">
        <f>AND(Liste!#REF!,"AAAAACX773I=")</f>
        <v>#REF!</v>
      </c>
      <c r="DL109" t="e">
        <f>AND(Liste!#REF!,"AAAAACX773M=")</f>
        <v>#REF!</v>
      </c>
      <c r="DM109" t="e">
        <f>AND(Liste!#REF!,"AAAAACX773Q=")</f>
        <v>#REF!</v>
      </c>
      <c r="DN109" t="e">
        <f>AND(Liste!#REF!,"AAAAACX773U=")</f>
        <v>#REF!</v>
      </c>
      <c r="DO109" t="e">
        <f>AND(Liste!#REF!,"AAAAACX773Y=")</f>
        <v>#REF!</v>
      </c>
      <c r="DP109" t="e">
        <f>AND(Liste!#REF!,"AAAAACX773c=")</f>
        <v>#REF!</v>
      </c>
      <c r="DQ109" t="e">
        <f>AND(Liste!#REF!,"AAAAACX773g=")</f>
        <v>#REF!</v>
      </c>
      <c r="DR109" t="e">
        <f>AND(Liste!#REF!,"AAAAACX773k=")</f>
        <v>#REF!</v>
      </c>
      <c r="DS109" t="e">
        <f>AND(Liste!#REF!,"AAAAACX773o=")</f>
        <v>#REF!</v>
      </c>
      <c r="DT109" t="e">
        <f>AND(Liste!#REF!,"AAAAACX773s=")</f>
        <v>#REF!</v>
      </c>
      <c r="DU109" t="e">
        <f>AND(Liste!#REF!,"AAAAACX773w=")</f>
        <v>#REF!</v>
      </c>
      <c r="DV109" t="e">
        <f>AND(Liste!#REF!,"AAAAACX7730=")</f>
        <v>#REF!</v>
      </c>
      <c r="DW109" t="e">
        <f>AND(Liste!#REF!,"AAAAACX7734=")</f>
        <v>#REF!</v>
      </c>
      <c r="DX109" t="e">
        <f>AND(Liste!#REF!,"AAAAACX7738=")</f>
        <v>#REF!</v>
      </c>
      <c r="DY109">
        <f>IF(Liste!573:573,"AAAAACX774A=",0)</f>
        <v>0</v>
      </c>
      <c r="DZ109" t="b">
        <f>AND(Liste!A573,"AAAAACX774E=")</f>
        <v>1</v>
      </c>
      <c r="EA109" t="e">
        <f>AND(Liste!#REF!,"AAAAACX774I=")</f>
        <v>#REF!</v>
      </c>
      <c r="EB109" t="e">
        <f>AND(Liste!#REF!,"AAAAACX774M=")</f>
        <v>#REF!</v>
      </c>
      <c r="EC109" t="e">
        <f>AND(Liste!#REF!,"AAAAACX774Q=")</f>
        <v>#REF!</v>
      </c>
      <c r="ED109" t="e">
        <f>AND(Liste!F573,"AAAAACX774U=")</f>
        <v>#VALUE!</v>
      </c>
      <c r="EE109" t="e">
        <f>AND(Liste!G573,"AAAAACX774Y=")</f>
        <v>#VALUE!</v>
      </c>
      <c r="EF109" t="e">
        <f>AND(Liste!H573,"AAAAACX774c=")</f>
        <v>#VALUE!</v>
      </c>
      <c r="EG109" t="e">
        <f>AND(Liste!I573,"AAAAACX774g=")</f>
        <v>#VALUE!</v>
      </c>
      <c r="EH109" t="e">
        <f>AND(Liste!J573,"AAAAACX774k=")</f>
        <v>#VALUE!</v>
      </c>
      <c r="EI109" t="e">
        <f>AND(Liste!#REF!,"AAAAACX774o=")</f>
        <v>#REF!</v>
      </c>
      <c r="EJ109" t="e">
        <f>AND(Liste!#REF!,"AAAAACX774s=")</f>
        <v>#REF!</v>
      </c>
      <c r="EK109" t="e">
        <f>AND(Liste!#REF!,"AAAAACX774w=")</f>
        <v>#REF!</v>
      </c>
      <c r="EL109" t="e">
        <f>AND(Liste!#REF!,"AAAAACX7740=")</f>
        <v>#REF!</v>
      </c>
      <c r="EM109" t="e">
        <f>AND(Liste!#REF!,"AAAAACX7744=")</f>
        <v>#REF!</v>
      </c>
      <c r="EN109" t="e">
        <f>AND(Liste!#REF!,"AAAAACX7748=")</f>
        <v>#REF!</v>
      </c>
      <c r="EO109" t="e">
        <f>AND(Liste!#REF!,"AAAAACX775A=")</f>
        <v>#REF!</v>
      </c>
      <c r="EP109" t="e">
        <f>AND(Liste!#REF!,"AAAAACX775E=")</f>
        <v>#REF!</v>
      </c>
      <c r="EQ109" t="e">
        <f>AND(Liste!#REF!,"AAAAACX775I=")</f>
        <v>#REF!</v>
      </c>
      <c r="ER109" t="e">
        <f>AND(Liste!#REF!,"AAAAACX775M=")</f>
        <v>#REF!</v>
      </c>
      <c r="ES109" t="e">
        <f>AND(Liste!#REF!,"AAAAACX775Q=")</f>
        <v>#REF!</v>
      </c>
      <c r="ET109" t="e">
        <f>AND(Liste!#REF!,"AAAAACX775U=")</f>
        <v>#REF!</v>
      </c>
      <c r="EU109" t="e">
        <f>AND(Liste!#REF!,"AAAAACX775Y=")</f>
        <v>#REF!</v>
      </c>
      <c r="EV109" t="e">
        <f>AND(Liste!#REF!,"AAAAACX775c=")</f>
        <v>#REF!</v>
      </c>
      <c r="EW109" t="e">
        <f>AND(Liste!#REF!,"AAAAACX775g=")</f>
        <v>#REF!</v>
      </c>
      <c r="EX109" t="e">
        <f>AND(Liste!#REF!,"AAAAACX775k=")</f>
        <v>#REF!</v>
      </c>
      <c r="EY109" t="e">
        <f>AND(Liste!#REF!,"AAAAACX775o=")</f>
        <v>#REF!</v>
      </c>
      <c r="EZ109" t="e">
        <f>AND(Liste!#REF!,"AAAAACX775s=")</f>
        <v>#REF!</v>
      </c>
      <c r="FA109" t="e">
        <f>AND(Liste!#REF!,"AAAAACX775w=")</f>
        <v>#REF!</v>
      </c>
      <c r="FB109" t="e">
        <f>AND(Liste!#REF!,"AAAAACX7750=")</f>
        <v>#REF!</v>
      </c>
      <c r="FC109" t="e">
        <f>AND(Liste!#REF!,"AAAAACX7754=")</f>
        <v>#REF!</v>
      </c>
      <c r="FD109" t="e">
        <f>IF(Liste!#REF!,"AAAAACX7758=",0)</f>
        <v>#REF!</v>
      </c>
      <c r="FE109" t="e">
        <f>AND(Liste!#REF!,"AAAAACX776A=")</f>
        <v>#REF!</v>
      </c>
      <c r="FF109" t="e">
        <f>AND(Liste!#REF!,"AAAAACX776E=")</f>
        <v>#REF!</v>
      </c>
      <c r="FG109" t="e">
        <f>AND(Liste!#REF!,"AAAAACX776I=")</f>
        <v>#REF!</v>
      </c>
      <c r="FH109" t="e">
        <f>AND(Liste!#REF!,"AAAAACX776M=")</f>
        <v>#REF!</v>
      </c>
      <c r="FI109" t="e">
        <f>AND(Liste!#REF!,"AAAAACX776Q=")</f>
        <v>#REF!</v>
      </c>
      <c r="FJ109" t="e">
        <f>AND(Liste!#REF!,"AAAAACX776U=")</f>
        <v>#REF!</v>
      </c>
      <c r="FK109" t="e">
        <f>AND(Liste!#REF!,"AAAAACX776Y=")</f>
        <v>#REF!</v>
      </c>
      <c r="FL109" t="e">
        <f>AND(Liste!#REF!,"AAAAACX776c=")</f>
        <v>#REF!</v>
      </c>
      <c r="FM109" t="e">
        <f>AND(Liste!#REF!,"AAAAACX776g=")</f>
        <v>#REF!</v>
      </c>
      <c r="FN109" t="e">
        <f>AND(Liste!#REF!,"AAAAACX776k=")</f>
        <v>#REF!</v>
      </c>
      <c r="FO109" t="e">
        <f>AND(Liste!#REF!,"AAAAACX776o=")</f>
        <v>#REF!</v>
      </c>
      <c r="FP109" t="e">
        <f>AND(Liste!#REF!,"AAAAACX776s=")</f>
        <v>#REF!</v>
      </c>
      <c r="FQ109" t="e">
        <f>AND(Liste!#REF!,"AAAAACX776w=")</f>
        <v>#REF!</v>
      </c>
      <c r="FR109" t="e">
        <f>AND(Liste!#REF!,"AAAAACX7760=")</f>
        <v>#REF!</v>
      </c>
      <c r="FS109" t="e">
        <f>AND(Liste!#REF!,"AAAAACX7764=")</f>
        <v>#REF!</v>
      </c>
      <c r="FT109" t="e">
        <f>AND(Liste!#REF!,"AAAAACX7768=")</f>
        <v>#REF!</v>
      </c>
      <c r="FU109" t="e">
        <f>AND(Liste!#REF!,"AAAAACX777A=")</f>
        <v>#REF!</v>
      </c>
      <c r="FV109" t="e">
        <f>AND(Liste!#REF!,"AAAAACX777E=")</f>
        <v>#REF!</v>
      </c>
      <c r="FW109" t="e">
        <f>AND(Liste!#REF!,"AAAAACX777I=")</f>
        <v>#REF!</v>
      </c>
      <c r="FX109" t="e">
        <f>AND(Liste!#REF!,"AAAAACX777M=")</f>
        <v>#REF!</v>
      </c>
      <c r="FY109" t="e">
        <f>AND(Liste!#REF!,"AAAAACX777Q=")</f>
        <v>#REF!</v>
      </c>
      <c r="FZ109" t="e">
        <f>AND(Liste!#REF!,"AAAAACX777U=")</f>
        <v>#REF!</v>
      </c>
      <c r="GA109" t="e">
        <f>AND(Liste!#REF!,"AAAAACX777Y=")</f>
        <v>#REF!</v>
      </c>
      <c r="GB109" t="e">
        <f>AND(Liste!#REF!,"AAAAACX777c=")</f>
        <v>#REF!</v>
      </c>
      <c r="GC109" t="e">
        <f>AND(Liste!#REF!,"AAAAACX777g=")</f>
        <v>#REF!</v>
      </c>
      <c r="GD109" t="e">
        <f>AND(Liste!#REF!,"AAAAACX777k=")</f>
        <v>#REF!</v>
      </c>
      <c r="GE109" t="e">
        <f>AND(Liste!#REF!,"AAAAACX777o=")</f>
        <v>#REF!</v>
      </c>
      <c r="GF109" t="e">
        <f>AND(Liste!#REF!,"AAAAACX777s=")</f>
        <v>#REF!</v>
      </c>
      <c r="GG109" t="e">
        <f>AND(Liste!#REF!,"AAAAACX777w=")</f>
        <v>#REF!</v>
      </c>
      <c r="GH109" t="e">
        <f>AND(Liste!#REF!,"AAAAACX7770=")</f>
        <v>#REF!</v>
      </c>
      <c r="GI109" t="e">
        <f>IF(Liste!#REF!,"AAAAACX7774=",0)</f>
        <v>#REF!</v>
      </c>
      <c r="GJ109" t="e">
        <f>AND(Liste!#REF!,"AAAAACX7778=")</f>
        <v>#REF!</v>
      </c>
      <c r="GK109" t="e">
        <f>AND(Liste!#REF!,"AAAAACX778A=")</f>
        <v>#REF!</v>
      </c>
      <c r="GL109" t="e">
        <f>AND(Liste!#REF!,"AAAAACX778E=")</f>
        <v>#REF!</v>
      </c>
      <c r="GM109" t="e">
        <f>AND(Liste!#REF!,"AAAAACX778I=")</f>
        <v>#REF!</v>
      </c>
      <c r="GN109" t="e">
        <f>AND(Liste!#REF!,"AAAAACX778M=")</f>
        <v>#REF!</v>
      </c>
      <c r="GO109" t="e">
        <f>AND(Liste!#REF!,"AAAAACX778Q=")</f>
        <v>#REF!</v>
      </c>
      <c r="GP109" t="e">
        <f>AND(Liste!#REF!,"AAAAACX778U=")</f>
        <v>#REF!</v>
      </c>
      <c r="GQ109" t="e">
        <f>AND(Liste!#REF!,"AAAAACX778Y=")</f>
        <v>#REF!</v>
      </c>
      <c r="GR109" t="e">
        <f>AND(Liste!#REF!,"AAAAACX778c=")</f>
        <v>#REF!</v>
      </c>
      <c r="GS109" t="e">
        <f>AND(Liste!#REF!,"AAAAACX778g=")</f>
        <v>#REF!</v>
      </c>
      <c r="GT109" t="e">
        <f>AND(Liste!#REF!,"AAAAACX778k=")</f>
        <v>#REF!</v>
      </c>
      <c r="GU109" t="e">
        <f>AND(Liste!#REF!,"AAAAACX778o=")</f>
        <v>#REF!</v>
      </c>
      <c r="GV109" t="e">
        <f>AND(Liste!#REF!,"AAAAACX778s=")</f>
        <v>#REF!</v>
      </c>
      <c r="GW109" t="e">
        <f>AND(Liste!#REF!,"AAAAACX778w=")</f>
        <v>#REF!</v>
      </c>
      <c r="GX109" t="e">
        <f>AND(Liste!#REF!,"AAAAACX7780=")</f>
        <v>#REF!</v>
      </c>
      <c r="GY109" t="e">
        <f>AND(Liste!#REF!,"AAAAACX7784=")</f>
        <v>#REF!</v>
      </c>
      <c r="GZ109" t="e">
        <f>AND(Liste!#REF!,"AAAAACX7788=")</f>
        <v>#REF!</v>
      </c>
      <c r="HA109" t="e">
        <f>AND(Liste!#REF!,"AAAAACX779A=")</f>
        <v>#REF!</v>
      </c>
      <c r="HB109" t="e">
        <f>AND(Liste!#REF!,"AAAAACX779E=")</f>
        <v>#REF!</v>
      </c>
      <c r="HC109" t="e">
        <f>AND(Liste!#REF!,"AAAAACX779I=")</f>
        <v>#REF!</v>
      </c>
      <c r="HD109" t="e">
        <f>AND(Liste!#REF!,"AAAAACX779M=")</f>
        <v>#REF!</v>
      </c>
      <c r="HE109" t="e">
        <f>AND(Liste!#REF!,"AAAAACX779Q=")</f>
        <v>#REF!</v>
      </c>
      <c r="HF109" t="e">
        <f>AND(Liste!#REF!,"AAAAACX779U=")</f>
        <v>#REF!</v>
      </c>
      <c r="HG109" t="e">
        <f>AND(Liste!#REF!,"AAAAACX779Y=")</f>
        <v>#REF!</v>
      </c>
      <c r="HH109" t="e">
        <f>AND(Liste!#REF!,"AAAAACX779c=")</f>
        <v>#REF!</v>
      </c>
      <c r="HI109" t="e">
        <f>AND(Liste!#REF!,"AAAAACX779g=")</f>
        <v>#REF!</v>
      </c>
      <c r="HJ109" t="e">
        <f>AND(Liste!#REF!,"AAAAACX779k=")</f>
        <v>#REF!</v>
      </c>
      <c r="HK109" t="e">
        <f>AND(Liste!#REF!,"AAAAACX779o=")</f>
        <v>#REF!</v>
      </c>
      <c r="HL109" t="e">
        <f>AND(Liste!#REF!,"AAAAACX779s=")</f>
        <v>#REF!</v>
      </c>
      <c r="HM109" t="e">
        <f>AND(Liste!#REF!,"AAAAACX779w=")</f>
        <v>#REF!</v>
      </c>
      <c r="HN109" t="e">
        <f>IF(Liste!#REF!,"AAAAACX7790=",0)</f>
        <v>#REF!</v>
      </c>
      <c r="HO109" t="e">
        <f>AND(Liste!#REF!,"AAAAACX7794=")</f>
        <v>#REF!</v>
      </c>
      <c r="HP109" t="e">
        <f>AND(Liste!#REF!,"AAAAACX7798=")</f>
        <v>#REF!</v>
      </c>
      <c r="HQ109" t="e">
        <f>AND(Liste!#REF!,"AAAAACX77+A=")</f>
        <v>#REF!</v>
      </c>
      <c r="HR109" t="e">
        <f>AND(Liste!#REF!,"AAAAACX77+E=")</f>
        <v>#REF!</v>
      </c>
      <c r="HS109" t="e">
        <f>AND(Liste!#REF!,"AAAAACX77+I=")</f>
        <v>#REF!</v>
      </c>
      <c r="HT109" t="e">
        <f>AND(Liste!#REF!,"AAAAACX77+M=")</f>
        <v>#REF!</v>
      </c>
      <c r="HU109" t="e">
        <f>AND(Liste!#REF!,"AAAAACX77+Q=")</f>
        <v>#REF!</v>
      </c>
      <c r="HV109" t="e">
        <f>AND(Liste!#REF!,"AAAAACX77+U=")</f>
        <v>#REF!</v>
      </c>
      <c r="HW109" t="e">
        <f>AND(Liste!#REF!,"AAAAACX77+Y=")</f>
        <v>#REF!</v>
      </c>
      <c r="HX109" t="e">
        <f>AND(Liste!#REF!,"AAAAACX77+c=")</f>
        <v>#REF!</v>
      </c>
      <c r="HY109" t="e">
        <f>AND(Liste!#REF!,"AAAAACX77+g=")</f>
        <v>#REF!</v>
      </c>
      <c r="HZ109" t="e">
        <f>AND(Liste!#REF!,"AAAAACX77+k=")</f>
        <v>#REF!</v>
      </c>
      <c r="IA109" t="e">
        <f>AND(Liste!#REF!,"AAAAACX77+o=")</f>
        <v>#REF!</v>
      </c>
      <c r="IB109" t="e">
        <f>AND(Liste!#REF!,"AAAAACX77+s=")</f>
        <v>#REF!</v>
      </c>
      <c r="IC109" t="e">
        <f>AND(Liste!#REF!,"AAAAACX77+w=")</f>
        <v>#REF!</v>
      </c>
      <c r="ID109" t="e">
        <f>AND(Liste!#REF!,"AAAAACX77+0=")</f>
        <v>#REF!</v>
      </c>
      <c r="IE109" t="e">
        <f>AND(Liste!#REF!,"AAAAACX77+4=")</f>
        <v>#REF!</v>
      </c>
      <c r="IF109" t="e">
        <f>AND(Liste!#REF!,"AAAAACX77+8=")</f>
        <v>#REF!</v>
      </c>
      <c r="IG109" t="e">
        <f>AND(Liste!#REF!,"AAAAACX77/A=")</f>
        <v>#REF!</v>
      </c>
      <c r="IH109" t="e">
        <f>AND(Liste!#REF!,"AAAAACX77/E=")</f>
        <v>#REF!</v>
      </c>
      <c r="II109" t="e">
        <f>AND(Liste!#REF!,"AAAAACX77/I=")</f>
        <v>#REF!</v>
      </c>
      <c r="IJ109" t="e">
        <f>AND(Liste!#REF!,"AAAAACX77/M=")</f>
        <v>#REF!</v>
      </c>
      <c r="IK109" t="e">
        <f>AND(Liste!#REF!,"AAAAACX77/Q=")</f>
        <v>#REF!</v>
      </c>
      <c r="IL109" t="e">
        <f>AND(Liste!#REF!,"AAAAACX77/U=")</f>
        <v>#REF!</v>
      </c>
      <c r="IM109" t="e">
        <f>AND(Liste!#REF!,"AAAAACX77/Y=")</f>
        <v>#REF!</v>
      </c>
      <c r="IN109" t="e">
        <f>AND(Liste!#REF!,"AAAAACX77/c=")</f>
        <v>#REF!</v>
      </c>
      <c r="IO109" t="e">
        <f>AND(Liste!#REF!,"AAAAACX77/g=")</f>
        <v>#REF!</v>
      </c>
      <c r="IP109" t="e">
        <f>AND(Liste!#REF!,"AAAAACX77/k=")</f>
        <v>#REF!</v>
      </c>
      <c r="IQ109" t="e">
        <f>AND(Liste!#REF!,"AAAAACX77/o=")</f>
        <v>#REF!</v>
      </c>
      <c r="IR109" t="e">
        <f>AND(Liste!#REF!,"AAAAACX77/s=")</f>
        <v>#REF!</v>
      </c>
      <c r="IS109" t="e">
        <f>IF(Liste!#REF!,"AAAAACX77/w=",0)</f>
        <v>#REF!</v>
      </c>
      <c r="IT109" t="e">
        <f>AND(Liste!#REF!,"AAAAACX77/0=")</f>
        <v>#REF!</v>
      </c>
      <c r="IU109" t="e">
        <f>AND(Liste!#REF!,"AAAAACX77/4=")</f>
        <v>#REF!</v>
      </c>
      <c r="IV109" t="e">
        <f>AND(Liste!#REF!,"AAAAACX77/8=")</f>
        <v>#REF!</v>
      </c>
    </row>
    <row r="110" spans="1:256" x14ac:dyDescent="0.2">
      <c r="A110" t="e">
        <f>AND(Liste!#REF!,"AAAAABbnvwA=")</f>
        <v>#REF!</v>
      </c>
      <c r="B110" t="e">
        <f>AND(Liste!#REF!,"AAAAABbnvwE=")</f>
        <v>#REF!</v>
      </c>
      <c r="C110" t="e">
        <f>AND(Liste!#REF!,"AAAAABbnvwI=")</f>
        <v>#REF!</v>
      </c>
      <c r="D110" t="e">
        <f>AND(Liste!#REF!,"AAAAABbnvwM=")</f>
        <v>#REF!</v>
      </c>
      <c r="E110" t="e">
        <f>AND(Liste!#REF!,"AAAAABbnvwQ=")</f>
        <v>#REF!</v>
      </c>
      <c r="F110" t="e">
        <f>AND(Liste!#REF!,"AAAAABbnvwU=")</f>
        <v>#REF!</v>
      </c>
      <c r="G110" t="e">
        <f>AND(Liste!#REF!,"AAAAABbnvwY=")</f>
        <v>#REF!</v>
      </c>
      <c r="H110" t="e">
        <f>AND(Liste!#REF!,"AAAAABbnvwc=")</f>
        <v>#REF!</v>
      </c>
      <c r="I110" t="e">
        <f>AND(Liste!#REF!,"AAAAABbnvwg=")</f>
        <v>#REF!</v>
      </c>
      <c r="J110" t="e">
        <f>AND(Liste!#REF!,"AAAAABbnvwk=")</f>
        <v>#REF!</v>
      </c>
      <c r="K110" t="e">
        <f>AND(Liste!#REF!,"AAAAABbnvwo=")</f>
        <v>#REF!</v>
      </c>
      <c r="L110" t="e">
        <f>AND(Liste!#REF!,"AAAAABbnvws=")</f>
        <v>#REF!</v>
      </c>
      <c r="M110" t="e">
        <f>AND(Liste!#REF!,"AAAAABbnvww=")</f>
        <v>#REF!</v>
      </c>
      <c r="N110" t="e">
        <f>AND(Liste!#REF!,"AAAAABbnvw0=")</f>
        <v>#REF!</v>
      </c>
      <c r="O110" t="e">
        <f>AND(Liste!#REF!,"AAAAABbnvw4=")</f>
        <v>#REF!</v>
      </c>
      <c r="P110" t="e">
        <f>AND(Liste!#REF!,"AAAAABbnvw8=")</f>
        <v>#REF!</v>
      </c>
      <c r="Q110" t="e">
        <f>AND(Liste!#REF!,"AAAAABbnvxA=")</f>
        <v>#REF!</v>
      </c>
      <c r="R110" t="e">
        <f>AND(Liste!#REF!,"AAAAABbnvxE=")</f>
        <v>#REF!</v>
      </c>
      <c r="S110" t="e">
        <f>AND(Liste!#REF!,"AAAAABbnvxI=")</f>
        <v>#REF!</v>
      </c>
      <c r="T110" t="e">
        <f>AND(Liste!#REF!,"AAAAABbnvxM=")</f>
        <v>#REF!</v>
      </c>
      <c r="U110" t="e">
        <f>AND(Liste!#REF!,"AAAAABbnvxQ=")</f>
        <v>#REF!</v>
      </c>
      <c r="V110" t="e">
        <f>AND(Liste!#REF!,"AAAAABbnvxU=")</f>
        <v>#REF!</v>
      </c>
      <c r="W110" t="e">
        <f>AND(Liste!#REF!,"AAAAABbnvxY=")</f>
        <v>#REF!</v>
      </c>
      <c r="X110" t="e">
        <f>AND(Liste!#REF!,"AAAAABbnvxc=")</f>
        <v>#REF!</v>
      </c>
      <c r="Y110" t="e">
        <f>AND(Liste!#REF!,"AAAAABbnvxg=")</f>
        <v>#REF!</v>
      </c>
      <c r="Z110" t="e">
        <f>AND(Liste!#REF!,"AAAAABbnvxk=")</f>
        <v>#REF!</v>
      </c>
      <c r="AA110" t="e">
        <f>AND(Liste!#REF!,"AAAAABbnvxo=")</f>
        <v>#REF!</v>
      </c>
      <c r="AB110" t="e">
        <f>IF(Liste!#REF!,"AAAAABbnvxs=",0)</f>
        <v>#REF!</v>
      </c>
      <c r="AC110" t="e">
        <f>AND(Liste!#REF!,"AAAAABbnvxw=")</f>
        <v>#REF!</v>
      </c>
      <c r="AD110" t="e">
        <f>AND(Liste!#REF!,"AAAAABbnvx0=")</f>
        <v>#REF!</v>
      </c>
      <c r="AE110" t="e">
        <f>AND(Liste!#REF!,"AAAAABbnvx4=")</f>
        <v>#REF!</v>
      </c>
      <c r="AF110" t="e">
        <f>AND(Liste!#REF!,"AAAAABbnvx8=")</f>
        <v>#REF!</v>
      </c>
      <c r="AG110" t="e">
        <f>AND(Liste!#REF!,"AAAAABbnvyA=")</f>
        <v>#REF!</v>
      </c>
      <c r="AH110" t="e">
        <f>AND(Liste!#REF!,"AAAAABbnvyE=")</f>
        <v>#REF!</v>
      </c>
      <c r="AI110" t="e">
        <f>AND(Liste!#REF!,"AAAAABbnvyI=")</f>
        <v>#REF!</v>
      </c>
      <c r="AJ110" t="e">
        <f>AND(Liste!#REF!,"AAAAABbnvyM=")</f>
        <v>#REF!</v>
      </c>
      <c r="AK110" t="e">
        <f>AND(Liste!#REF!,"AAAAABbnvyQ=")</f>
        <v>#REF!</v>
      </c>
      <c r="AL110" t="e">
        <f>AND(Liste!#REF!,"AAAAABbnvyU=")</f>
        <v>#REF!</v>
      </c>
      <c r="AM110" t="e">
        <f>AND(Liste!#REF!,"AAAAABbnvyY=")</f>
        <v>#REF!</v>
      </c>
      <c r="AN110" t="e">
        <f>AND(Liste!#REF!,"AAAAABbnvyc=")</f>
        <v>#REF!</v>
      </c>
      <c r="AO110" t="e">
        <f>AND(Liste!#REF!,"AAAAABbnvyg=")</f>
        <v>#REF!</v>
      </c>
      <c r="AP110" t="e">
        <f>AND(Liste!#REF!,"AAAAABbnvyk=")</f>
        <v>#REF!</v>
      </c>
      <c r="AQ110" t="e">
        <f>AND(Liste!#REF!,"AAAAABbnvyo=")</f>
        <v>#REF!</v>
      </c>
      <c r="AR110" t="e">
        <f>AND(Liste!#REF!,"AAAAABbnvys=")</f>
        <v>#REF!</v>
      </c>
      <c r="AS110" t="e">
        <f>AND(Liste!#REF!,"AAAAABbnvyw=")</f>
        <v>#REF!</v>
      </c>
      <c r="AT110" t="e">
        <f>AND(Liste!#REF!,"AAAAABbnvy0=")</f>
        <v>#REF!</v>
      </c>
      <c r="AU110" t="e">
        <f>AND(Liste!#REF!,"AAAAABbnvy4=")</f>
        <v>#REF!</v>
      </c>
      <c r="AV110" t="e">
        <f>AND(Liste!#REF!,"AAAAABbnvy8=")</f>
        <v>#REF!</v>
      </c>
      <c r="AW110" t="e">
        <f>AND(Liste!#REF!,"AAAAABbnvzA=")</f>
        <v>#REF!</v>
      </c>
      <c r="AX110" t="e">
        <f>AND(Liste!#REF!,"AAAAABbnvzE=")</f>
        <v>#REF!</v>
      </c>
      <c r="AY110" t="e">
        <f>AND(Liste!#REF!,"AAAAABbnvzI=")</f>
        <v>#REF!</v>
      </c>
      <c r="AZ110" t="e">
        <f>AND(Liste!#REF!,"AAAAABbnvzM=")</f>
        <v>#REF!</v>
      </c>
      <c r="BA110" t="e">
        <f>AND(Liste!#REF!,"AAAAABbnvzQ=")</f>
        <v>#REF!</v>
      </c>
      <c r="BB110" t="e">
        <f>AND(Liste!#REF!,"AAAAABbnvzU=")</f>
        <v>#REF!</v>
      </c>
      <c r="BC110" t="e">
        <f>AND(Liste!#REF!,"AAAAABbnvzY=")</f>
        <v>#REF!</v>
      </c>
      <c r="BD110" t="e">
        <f>AND(Liste!#REF!,"AAAAABbnvzc=")</f>
        <v>#REF!</v>
      </c>
      <c r="BE110" t="e">
        <f>AND(Liste!#REF!,"AAAAABbnvzg=")</f>
        <v>#REF!</v>
      </c>
      <c r="BF110" t="e">
        <f>AND(Liste!#REF!,"AAAAABbnvzk=")</f>
        <v>#REF!</v>
      </c>
      <c r="BG110" t="e">
        <f>IF(Liste!#REF!,"AAAAABbnvzo=",0)</f>
        <v>#REF!</v>
      </c>
      <c r="BH110" t="e">
        <f>AND(Liste!#REF!,"AAAAABbnvzs=")</f>
        <v>#REF!</v>
      </c>
      <c r="BI110" t="e">
        <f>AND(Liste!#REF!,"AAAAABbnvzw=")</f>
        <v>#REF!</v>
      </c>
      <c r="BJ110" t="e">
        <f>AND(Liste!#REF!,"AAAAABbnvz0=")</f>
        <v>#REF!</v>
      </c>
      <c r="BK110" t="e">
        <f>AND(Liste!#REF!,"AAAAABbnvz4=")</f>
        <v>#REF!</v>
      </c>
      <c r="BL110" t="e">
        <f>AND(Liste!#REF!,"AAAAABbnvz8=")</f>
        <v>#REF!</v>
      </c>
      <c r="BM110" t="e">
        <f>AND(Liste!#REF!,"AAAAABbnv0A=")</f>
        <v>#REF!</v>
      </c>
      <c r="BN110" t="e">
        <f>AND(Liste!#REF!,"AAAAABbnv0E=")</f>
        <v>#REF!</v>
      </c>
      <c r="BO110" t="e">
        <f>AND(Liste!#REF!,"AAAAABbnv0I=")</f>
        <v>#REF!</v>
      </c>
      <c r="BP110" t="e">
        <f>AND(Liste!#REF!,"AAAAABbnv0M=")</f>
        <v>#REF!</v>
      </c>
      <c r="BQ110" t="e">
        <f>AND(Liste!#REF!,"AAAAABbnv0Q=")</f>
        <v>#REF!</v>
      </c>
      <c r="BR110" t="e">
        <f>AND(Liste!#REF!,"AAAAABbnv0U=")</f>
        <v>#REF!</v>
      </c>
      <c r="BS110" t="e">
        <f>AND(Liste!#REF!,"AAAAABbnv0Y=")</f>
        <v>#REF!</v>
      </c>
      <c r="BT110" t="e">
        <f>AND(Liste!#REF!,"AAAAABbnv0c=")</f>
        <v>#REF!</v>
      </c>
      <c r="BU110" t="e">
        <f>AND(Liste!#REF!,"AAAAABbnv0g=")</f>
        <v>#REF!</v>
      </c>
      <c r="BV110" t="e">
        <f>AND(Liste!#REF!,"AAAAABbnv0k=")</f>
        <v>#REF!</v>
      </c>
      <c r="BW110" t="e">
        <f>AND(Liste!#REF!,"AAAAABbnv0o=")</f>
        <v>#REF!</v>
      </c>
      <c r="BX110" t="e">
        <f>AND(Liste!#REF!,"AAAAABbnv0s=")</f>
        <v>#REF!</v>
      </c>
      <c r="BY110" t="e">
        <f>AND(Liste!#REF!,"AAAAABbnv0w=")</f>
        <v>#REF!</v>
      </c>
      <c r="BZ110" t="e">
        <f>AND(Liste!#REF!,"AAAAABbnv00=")</f>
        <v>#REF!</v>
      </c>
      <c r="CA110" t="e">
        <f>AND(Liste!#REF!,"AAAAABbnv04=")</f>
        <v>#REF!</v>
      </c>
      <c r="CB110" t="e">
        <f>AND(Liste!#REF!,"AAAAABbnv08=")</f>
        <v>#REF!</v>
      </c>
      <c r="CC110" t="e">
        <f>AND(Liste!#REF!,"AAAAABbnv1A=")</f>
        <v>#REF!</v>
      </c>
      <c r="CD110" t="e">
        <f>AND(Liste!#REF!,"AAAAABbnv1E=")</f>
        <v>#REF!</v>
      </c>
      <c r="CE110" t="e">
        <f>AND(Liste!#REF!,"AAAAABbnv1I=")</f>
        <v>#REF!</v>
      </c>
      <c r="CF110" t="e">
        <f>AND(Liste!#REF!,"AAAAABbnv1M=")</f>
        <v>#REF!</v>
      </c>
      <c r="CG110" t="e">
        <f>AND(Liste!#REF!,"AAAAABbnv1Q=")</f>
        <v>#REF!</v>
      </c>
      <c r="CH110" t="e">
        <f>AND(Liste!#REF!,"AAAAABbnv1U=")</f>
        <v>#REF!</v>
      </c>
      <c r="CI110" t="e">
        <f>AND(Liste!#REF!,"AAAAABbnv1Y=")</f>
        <v>#REF!</v>
      </c>
      <c r="CJ110" t="e">
        <f>AND(Liste!#REF!,"AAAAABbnv1c=")</f>
        <v>#REF!</v>
      </c>
      <c r="CK110" t="e">
        <f>AND(Liste!#REF!,"AAAAABbnv1g=")</f>
        <v>#REF!</v>
      </c>
      <c r="CL110" t="e">
        <f>IF(Liste!#REF!,"AAAAABbnv1k=",0)</f>
        <v>#REF!</v>
      </c>
      <c r="CM110" t="e">
        <f>AND(Liste!#REF!,"AAAAABbnv1o=")</f>
        <v>#REF!</v>
      </c>
      <c r="CN110" t="e">
        <f>AND(Liste!#REF!,"AAAAABbnv1s=")</f>
        <v>#REF!</v>
      </c>
      <c r="CO110" t="e">
        <f>AND(Liste!#REF!,"AAAAABbnv1w=")</f>
        <v>#REF!</v>
      </c>
      <c r="CP110" t="e">
        <f>AND(Liste!#REF!,"AAAAABbnv10=")</f>
        <v>#REF!</v>
      </c>
      <c r="CQ110" t="e">
        <f>AND(Liste!#REF!,"AAAAABbnv14=")</f>
        <v>#REF!</v>
      </c>
      <c r="CR110" t="e">
        <f>AND(Liste!#REF!,"AAAAABbnv18=")</f>
        <v>#REF!</v>
      </c>
      <c r="CS110" t="e">
        <f>AND(Liste!#REF!,"AAAAABbnv2A=")</f>
        <v>#REF!</v>
      </c>
      <c r="CT110" t="e">
        <f>AND(Liste!#REF!,"AAAAABbnv2E=")</f>
        <v>#REF!</v>
      </c>
      <c r="CU110" t="e">
        <f>AND(Liste!#REF!,"AAAAABbnv2I=")</f>
        <v>#REF!</v>
      </c>
      <c r="CV110" t="e">
        <f>AND(Liste!#REF!,"AAAAABbnv2M=")</f>
        <v>#REF!</v>
      </c>
      <c r="CW110" t="e">
        <f>AND(Liste!#REF!,"AAAAABbnv2Q=")</f>
        <v>#REF!</v>
      </c>
      <c r="CX110" t="e">
        <f>AND(Liste!#REF!,"AAAAABbnv2U=")</f>
        <v>#REF!</v>
      </c>
      <c r="CY110" t="e">
        <f>AND(Liste!#REF!,"AAAAABbnv2Y=")</f>
        <v>#REF!</v>
      </c>
      <c r="CZ110" t="e">
        <f>AND(Liste!#REF!,"AAAAABbnv2c=")</f>
        <v>#REF!</v>
      </c>
      <c r="DA110" t="e">
        <f>AND(Liste!#REF!,"AAAAABbnv2g=")</f>
        <v>#REF!</v>
      </c>
      <c r="DB110" t="e">
        <f>AND(Liste!#REF!,"AAAAABbnv2k=")</f>
        <v>#REF!</v>
      </c>
      <c r="DC110" t="e">
        <f>AND(Liste!#REF!,"AAAAABbnv2o=")</f>
        <v>#REF!</v>
      </c>
      <c r="DD110" t="e">
        <f>AND(Liste!#REF!,"AAAAABbnv2s=")</f>
        <v>#REF!</v>
      </c>
      <c r="DE110" t="e">
        <f>AND(Liste!#REF!,"AAAAABbnv2w=")</f>
        <v>#REF!</v>
      </c>
      <c r="DF110" t="e">
        <f>AND(Liste!#REF!,"AAAAABbnv20=")</f>
        <v>#REF!</v>
      </c>
      <c r="DG110" t="e">
        <f>AND(Liste!#REF!,"AAAAABbnv24=")</f>
        <v>#REF!</v>
      </c>
      <c r="DH110" t="e">
        <f>AND(Liste!#REF!,"AAAAABbnv28=")</f>
        <v>#REF!</v>
      </c>
      <c r="DI110" t="e">
        <f>AND(Liste!#REF!,"AAAAABbnv3A=")</f>
        <v>#REF!</v>
      </c>
      <c r="DJ110" t="e">
        <f>AND(Liste!#REF!,"AAAAABbnv3E=")</f>
        <v>#REF!</v>
      </c>
      <c r="DK110" t="e">
        <f>AND(Liste!#REF!,"AAAAABbnv3I=")</f>
        <v>#REF!</v>
      </c>
      <c r="DL110" t="e">
        <f>AND(Liste!#REF!,"AAAAABbnv3M=")</f>
        <v>#REF!</v>
      </c>
      <c r="DM110" t="e">
        <f>AND(Liste!#REF!,"AAAAABbnv3Q=")</f>
        <v>#REF!</v>
      </c>
      <c r="DN110" t="e">
        <f>AND(Liste!#REF!,"AAAAABbnv3U=")</f>
        <v>#REF!</v>
      </c>
      <c r="DO110" t="e">
        <f>AND(Liste!#REF!,"AAAAABbnv3Y=")</f>
        <v>#REF!</v>
      </c>
      <c r="DP110" t="e">
        <f>AND(Liste!#REF!,"AAAAABbnv3c=")</f>
        <v>#REF!</v>
      </c>
      <c r="DQ110" t="e">
        <f>IF(Liste!#REF!,"AAAAABbnv3g=",0)</f>
        <v>#REF!</v>
      </c>
      <c r="DR110" t="e">
        <f>AND(Liste!#REF!,"AAAAABbnv3k=")</f>
        <v>#REF!</v>
      </c>
      <c r="DS110" t="e">
        <f>AND(Liste!#REF!,"AAAAABbnv3o=")</f>
        <v>#REF!</v>
      </c>
      <c r="DT110" t="e">
        <f>AND(Liste!#REF!,"AAAAABbnv3s=")</f>
        <v>#REF!</v>
      </c>
      <c r="DU110" t="e">
        <f>AND(Liste!#REF!,"AAAAABbnv3w=")</f>
        <v>#REF!</v>
      </c>
      <c r="DV110" t="e">
        <f>AND(Liste!#REF!,"AAAAABbnv30=")</f>
        <v>#REF!</v>
      </c>
      <c r="DW110" t="e">
        <f>AND(Liste!#REF!,"AAAAABbnv34=")</f>
        <v>#REF!</v>
      </c>
      <c r="DX110" t="e">
        <f>AND(Liste!#REF!,"AAAAABbnv38=")</f>
        <v>#REF!</v>
      </c>
      <c r="DY110" t="e">
        <f>AND(Liste!#REF!,"AAAAABbnv4A=")</f>
        <v>#REF!</v>
      </c>
      <c r="DZ110" t="e">
        <f>AND(Liste!#REF!,"AAAAABbnv4E=")</f>
        <v>#REF!</v>
      </c>
      <c r="EA110" t="e">
        <f>AND(Liste!#REF!,"AAAAABbnv4I=")</f>
        <v>#REF!</v>
      </c>
      <c r="EB110" t="e">
        <f>AND(Liste!#REF!,"AAAAABbnv4M=")</f>
        <v>#REF!</v>
      </c>
      <c r="EC110" t="e">
        <f>AND(Liste!#REF!,"AAAAABbnv4Q=")</f>
        <v>#REF!</v>
      </c>
      <c r="ED110" t="e">
        <f>AND(Liste!#REF!,"AAAAABbnv4U=")</f>
        <v>#REF!</v>
      </c>
      <c r="EE110" t="e">
        <f>AND(Liste!#REF!,"AAAAABbnv4Y=")</f>
        <v>#REF!</v>
      </c>
      <c r="EF110" t="e">
        <f>AND(Liste!#REF!,"AAAAABbnv4c=")</f>
        <v>#REF!</v>
      </c>
      <c r="EG110" t="e">
        <f>AND(Liste!#REF!,"AAAAABbnv4g=")</f>
        <v>#REF!</v>
      </c>
      <c r="EH110" t="e">
        <f>AND(Liste!#REF!,"AAAAABbnv4k=")</f>
        <v>#REF!</v>
      </c>
      <c r="EI110" t="e">
        <f>AND(Liste!#REF!,"AAAAABbnv4o=")</f>
        <v>#REF!</v>
      </c>
      <c r="EJ110" t="e">
        <f>AND(Liste!#REF!,"AAAAABbnv4s=")</f>
        <v>#REF!</v>
      </c>
      <c r="EK110" t="e">
        <f>AND(Liste!#REF!,"AAAAABbnv4w=")</f>
        <v>#REF!</v>
      </c>
      <c r="EL110" t="e">
        <f>AND(Liste!#REF!,"AAAAABbnv40=")</f>
        <v>#REF!</v>
      </c>
      <c r="EM110" t="e">
        <f>AND(Liste!#REF!,"AAAAABbnv44=")</f>
        <v>#REF!</v>
      </c>
      <c r="EN110" t="e">
        <f>AND(Liste!#REF!,"AAAAABbnv48=")</f>
        <v>#REF!</v>
      </c>
      <c r="EO110" t="e">
        <f>AND(Liste!#REF!,"AAAAABbnv5A=")</f>
        <v>#REF!</v>
      </c>
      <c r="EP110" t="e">
        <f>AND(Liste!#REF!,"AAAAABbnv5E=")</f>
        <v>#REF!</v>
      </c>
      <c r="EQ110" t="e">
        <f>AND(Liste!#REF!,"AAAAABbnv5I=")</f>
        <v>#REF!</v>
      </c>
      <c r="ER110" t="e">
        <f>AND(Liste!#REF!,"AAAAABbnv5M=")</f>
        <v>#REF!</v>
      </c>
      <c r="ES110" t="e">
        <f>AND(Liste!#REF!,"AAAAABbnv5Q=")</f>
        <v>#REF!</v>
      </c>
      <c r="ET110" t="e">
        <f>AND(Liste!#REF!,"AAAAABbnv5U=")</f>
        <v>#REF!</v>
      </c>
      <c r="EU110" t="e">
        <f>AND(Liste!#REF!,"AAAAABbnv5Y=")</f>
        <v>#REF!</v>
      </c>
      <c r="EV110" t="e">
        <f>IF(Liste!#REF!,"AAAAABbnv5c=",0)</f>
        <v>#REF!</v>
      </c>
      <c r="EW110" t="e">
        <f>AND(Liste!#REF!,"AAAAABbnv5g=")</f>
        <v>#REF!</v>
      </c>
      <c r="EX110" t="e">
        <f>AND(Liste!#REF!,"AAAAABbnv5k=")</f>
        <v>#REF!</v>
      </c>
      <c r="EY110" t="e">
        <f>AND(Liste!#REF!,"AAAAABbnv5o=")</f>
        <v>#REF!</v>
      </c>
      <c r="EZ110" t="e">
        <f>AND(Liste!#REF!,"AAAAABbnv5s=")</f>
        <v>#REF!</v>
      </c>
      <c r="FA110" t="e">
        <f>AND(Liste!#REF!,"AAAAABbnv5w=")</f>
        <v>#REF!</v>
      </c>
      <c r="FB110" t="e">
        <f>AND(Liste!#REF!,"AAAAABbnv50=")</f>
        <v>#REF!</v>
      </c>
      <c r="FC110" t="e">
        <f>AND(Liste!#REF!,"AAAAABbnv54=")</f>
        <v>#REF!</v>
      </c>
      <c r="FD110" t="e">
        <f>AND(Liste!#REF!,"AAAAABbnv58=")</f>
        <v>#REF!</v>
      </c>
      <c r="FE110" t="e">
        <f>AND(Liste!#REF!,"AAAAABbnv6A=")</f>
        <v>#REF!</v>
      </c>
      <c r="FF110" t="e">
        <f>AND(Liste!#REF!,"AAAAABbnv6E=")</f>
        <v>#REF!</v>
      </c>
      <c r="FG110" t="e">
        <f>AND(Liste!#REF!,"AAAAABbnv6I=")</f>
        <v>#REF!</v>
      </c>
      <c r="FH110" t="e">
        <f>AND(Liste!#REF!,"AAAAABbnv6M=")</f>
        <v>#REF!</v>
      </c>
      <c r="FI110" t="e">
        <f>AND(Liste!#REF!,"AAAAABbnv6Q=")</f>
        <v>#REF!</v>
      </c>
      <c r="FJ110" t="e">
        <f>AND(Liste!#REF!,"AAAAABbnv6U=")</f>
        <v>#REF!</v>
      </c>
      <c r="FK110" t="e">
        <f>AND(Liste!#REF!,"AAAAABbnv6Y=")</f>
        <v>#REF!</v>
      </c>
      <c r="FL110" t="e">
        <f>AND(Liste!#REF!,"AAAAABbnv6c=")</f>
        <v>#REF!</v>
      </c>
      <c r="FM110" t="e">
        <f>AND(Liste!#REF!,"AAAAABbnv6g=")</f>
        <v>#REF!</v>
      </c>
      <c r="FN110" t="e">
        <f>AND(Liste!#REF!,"AAAAABbnv6k=")</f>
        <v>#REF!</v>
      </c>
      <c r="FO110" t="e">
        <f>AND(Liste!#REF!,"AAAAABbnv6o=")</f>
        <v>#REF!</v>
      </c>
      <c r="FP110" t="e">
        <f>AND(Liste!#REF!,"AAAAABbnv6s=")</f>
        <v>#REF!</v>
      </c>
      <c r="FQ110" t="e">
        <f>AND(Liste!#REF!,"AAAAABbnv6w=")</f>
        <v>#REF!</v>
      </c>
      <c r="FR110" t="e">
        <f>AND(Liste!#REF!,"AAAAABbnv60=")</f>
        <v>#REF!</v>
      </c>
      <c r="FS110" t="e">
        <f>AND(Liste!#REF!,"AAAAABbnv64=")</f>
        <v>#REF!</v>
      </c>
      <c r="FT110" t="e">
        <f>AND(Liste!#REF!,"AAAAABbnv68=")</f>
        <v>#REF!</v>
      </c>
      <c r="FU110" t="e">
        <f>AND(Liste!#REF!,"AAAAABbnv7A=")</f>
        <v>#REF!</v>
      </c>
      <c r="FV110" t="e">
        <f>AND(Liste!#REF!,"AAAAABbnv7E=")</f>
        <v>#REF!</v>
      </c>
      <c r="FW110" t="e">
        <f>AND(Liste!#REF!,"AAAAABbnv7I=")</f>
        <v>#REF!</v>
      </c>
      <c r="FX110" t="e">
        <f>AND(Liste!#REF!,"AAAAABbnv7M=")</f>
        <v>#REF!</v>
      </c>
      <c r="FY110" t="e">
        <f>AND(Liste!#REF!,"AAAAABbnv7Q=")</f>
        <v>#REF!</v>
      </c>
      <c r="FZ110" t="e">
        <f>AND(Liste!#REF!,"AAAAABbnv7U=")</f>
        <v>#REF!</v>
      </c>
      <c r="GA110" t="e">
        <f>IF(Liste!#REF!,"AAAAABbnv7Y=",0)</f>
        <v>#REF!</v>
      </c>
      <c r="GB110" t="e">
        <f>AND(Liste!#REF!,"AAAAABbnv7c=")</f>
        <v>#REF!</v>
      </c>
      <c r="GC110" t="e">
        <f>AND(Liste!#REF!,"AAAAABbnv7g=")</f>
        <v>#REF!</v>
      </c>
      <c r="GD110" t="e">
        <f>AND(Liste!#REF!,"AAAAABbnv7k=")</f>
        <v>#REF!</v>
      </c>
      <c r="GE110" t="e">
        <f>AND(Liste!#REF!,"AAAAABbnv7o=")</f>
        <v>#REF!</v>
      </c>
      <c r="GF110" t="e">
        <f>AND(Liste!#REF!,"AAAAABbnv7s=")</f>
        <v>#REF!</v>
      </c>
      <c r="GG110" t="e">
        <f>AND(Liste!#REF!,"AAAAABbnv7w=")</f>
        <v>#REF!</v>
      </c>
      <c r="GH110" t="e">
        <f>AND(Liste!#REF!,"AAAAABbnv70=")</f>
        <v>#REF!</v>
      </c>
      <c r="GI110" t="e">
        <f>AND(Liste!#REF!,"AAAAABbnv74=")</f>
        <v>#REF!</v>
      </c>
      <c r="GJ110" t="e">
        <f>AND(Liste!#REF!,"AAAAABbnv78=")</f>
        <v>#REF!</v>
      </c>
      <c r="GK110" t="e">
        <f>AND(Liste!#REF!,"AAAAABbnv8A=")</f>
        <v>#REF!</v>
      </c>
      <c r="GL110" t="e">
        <f>AND(Liste!#REF!,"AAAAABbnv8E=")</f>
        <v>#REF!</v>
      </c>
      <c r="GM110" t="e">
        <f>AND(Liste!#REF!,"AAAAABbnv8I=")</f>
        <v>#REF!</v>
      </c>
      <c r="GN110" t="e">
        <f>AND(Liste!#REF!,"AAAAABbnv8M=")</f>
        <v>#REF!</v>
      </c>
      <c r="GO110" t="e">
        <f>AND(Liste!#REF!,"AAAAABbnv8Q=")</f>
        <v>#REF!</v>
      </c>
      <c r="GP110" t="e">
        <f>AND(Liste!#REF!,"AAAAABbnv8U=")</f>
        <v>#REF!</v>
      </c>
      <c r="GQ110" t="e">
        <f>AND(Liste!#REF!,"AAAAABbnv8Y=")</f>
        <v>#REF!</v>
      </c>
      <c r="GR110" t="e">
        <f>AND(Liste!#REF!,"AAAAABbnv8c=")</f>
        <v>#REF!</v>
      </c>
      <c r="GS110" t="e">
        <f>AND(Liste!#REF!,"AAAAABbnv8g=")</f>
        <v>#REF!</v>
      </c>
      <c r="GT110" t="e">
        <f>AND(Liste!#REF!,"AAAAABbnv8k=")</f>
        <v>#REF!</v>
      </c>
      <c r="GU110" t="e">
        <f>AND(Liste!#REF!,"AAAAABbnv8o=")</f>
        <v>#REF!</v>
      </c>
      <c r="GV110" t="e">
        <f>AND(Liste!#REF!,"AAAAABbnv8s=")</f>
        <v>#REF!</v>
      </c>
      <c r="GW110" t="e">
        <f>AND(Liste!#REF!,"AAAAABbnv8w=")</f>
        <v>#REF!</v>
      </c>
      <c r="GX110" t="e">
        <f>AND(Liste!#REF!,"AAAAABbnv80=")</f>
        <v>#REF!</v>
      </c>
      <c r="GY110" t="e">
        <f>AND(Liste!#REF!,"AAAAABbnv84=")</f>
        <v>#REF!</v>
      </c>
      <c r="GZ110" t="e">
        <f>AND(Liste!#REF!,"AAAAABbnv88=")</f>
        <v>#REF!</v>
      </c>
      <c r="HA110" t="e">
        <f>AND(Liste!#REF!,"AAAAABbnv9A=")</f>
        <v>#REF!</v>
      </c>
      <c r="HB110" t="e">
        <f>AND(Liste!#REF!,"AAAAABbnv9E=")</f>
        <v>#REF!</v>
      </c>
      <c r="HC110" t="e">
        <f>AND(Liste!#REF!,"AAAAABbnv9I=")</f>
        <v>#REF!</v>
      </c>
      <c r="HD110" t="e">
        <f>AND(Liste!#REF!,"AAAAABbnv9M=")</f>
        <v>#REF!</v>
      </c>
      <c r="HE110" t="e">
        <f>AND(Liste!#REF!,"AAAAABbnv9Q=")</f>
        <v>#REF!</v>
      </c>
      <c r="HF110" t="e">
        <f>IF(Liste!#REF!,"AAAAABbnv9U=",0)</f>
        <v>#REF!</v>
      </c>
      <c r="HG110" t="e">
        <f>AND(Liste!#REF!,"AAAAABbnv9Y=")</f>
        <v>#REF!</v>
      </c>
      <c r="HH110" t="e">
        <f>AND(Liste!#REF!,"AAAAABbnv9c=")</f>
        <v>#REF!</v>
      </c>
      <c r="HI110" t="e">
        <f>AND(Liste!#REF!,"AAAAABbnv9g=")</f>
        <v>#REF!</v>
      </c>
      <c r="HJ110" t="e">
        <f>AND(Liste!#REF!,"AAAAABbnv9k=")</f>
        <v>#REF!</v>
      </c>
      <c r="HK110" t="e">
        <f>AND(Liste!#REF!,"AAAAABbnv9o=")</f>
        <v>#REF!</v>
      </c>
      <c r="HL110" t="e">
        <f>AND(Liste!#REF!,"AAAAABbnv9s=")</f>
        <v>#REF!</v>
      </c>
      <c r="HM110" t="e">
        <f>AND(Liste!#REF!,"AAAAABbnv9w=")</f>
        <v>#REF!</v>
      </c>
      <c r="HN110" t="e">
        <f>AND(Liste!#REF!,"AAAAABbnv90=")</f>
        <v>#REF!</v>
      </c>
      <c r="HO110" t="e">
        <f>AND(Liste!#REF!,"AAAAABbnv94=")</f>
        <v>#REF!</v>
      </c>
      <c r="HP110" t="e">
        <f>AND(Liste!#REF!,"AAAAABbnv98=")</f>
        <v>#REF!</v>
      </c>
      <c r="HQ110" t="e">
        <f>AND(Liste!#REF!,"AAAAABbnv+A=")</f>
        <v>#REF!</v>
      </c>
      <c r="HR110" t="e">
        <f>AND(Liste!#REF!,"AAAAABbnv+E=")</f>
        <v>#REF!</v>
      </c>
      <c r="HS110" t="e">
        <f>AND(Liste!#REF!,"AAAAABbnv+I=")</f>
        <v>#REF!</v>
      </c>
      <c r="HT110" t="e">
        <f>AND(Liste!#REF!,"AAAAABbnv+M=")</f>
        <v>#REF!</v>
      </c>
      <c r="HU110" t="e">
        <f>AND(Liste!#REF!,"AAAAABbnv+Q=")</f>
        <v>#REF!</v>
      </c>
      <c r="HV110" t="e">
        <f>AND(Liste!#REF!,"AAAAABbnv+U=")</f>
        <v>#REF!</v>
      </c>
      <c r="HW110" t="e">
        <f>AND(Liste!#REF!,"AAAAABbnv+Y=")</f>
        <v>#REF!</v>
      </c>
      <c r="HX110" t="e">
        <f>AND(Liste!#REF!,"AAAAABbnv+c=")</f>
        <v>#REF!</v>
      </c>
      <c r="HY110" t="e">
        <f>AND(Liste!#REF!,"AAAAABbnv+g=")</f>
        <v>#REF!</v>
      </c>
      <c r="HZ110" t="e">
        <f>AND(Liste!#REF!,"AAAAABbnv+k=")</f>
        <v>#REF!</v>
      </c>
      <c r="IA110" t="e">
        <f>AND(Liste!#REF!,"AAAAABbnv+o=")</f>
        <v>#REF!</v>
      </c>
      <c r="IB110" t="e">
        <f>AND(Liste!#REF!,"AAAAABbnv+s=")</f>
        <v>#REF!</v>
      </c>
      <c r="IC110" t="e">
        <f>AND(Liste!#REF!,"AAAAABbnv+w=")</f>
        <v>#REF!</v>
      </c>
      <c r="ID110" t="e">
        <f>AND(Liste!#REF!,"AAAAABbnv+0=")</f>
        <v>#REF!</v>
      </c>
      <c r="IE110" t="e">
        <f>AND(Liste!#REF!,"AAAAABbnv+4=")</f>
        <v>#REF!</v>
      </c>
      <c r="IF110" t="e">
        <f>AND(Liste!#REF!,"AAAAABbnv+8=")</f>
        <v>#REF!</v>
      </c>
      <c r="IG110" t="e">
        <f>AND(Liste!#REF!,"AAAAABbnv/A=")</f>
        <v>#REF!</v>
      </c>
      <c r="IH110" t="e">
        <f>AND(Liste!#REF!,"AAAAABbnv/E=")</f>
        <v>#REF!</v>
      </c>
      <c r="II110" t="e">
        <f>AND(Liste!#REF!,"AAAAABbnv/I=")</f>
        <v>#REF!</v>
      </c>
      <c r="IJ110" t="e">
        <f>AND(Liste!#REF!,"AAAAABbnv/M=")</f>
        <v>#REF!</v>
      </c>
      <c r="IK110" t="e">
        <f>IF(Liste!#REF!,"AAAAABbnv/Q=",0)</f>
        <v>#REF!</v>
      </c>
      <c r="IL110" t="e">
        <f>AND(Liste!#REF!,"AAAAABbnv/U=")</f>
        <v>#REF!</v>
      </c>
      <c r="IM110" t="e">
        <f>AND(Liste!#REF!,"AAAAABbnv/Y=")</f>
        <v>#REF!</v>
      </c>
      <c r="IN110" t="e">
        <f>AND(Liste!#REF!,"AAAAABbnv/c=")</f>
        <v>#REF!</v>
      </c>
      <c r="IO110" t="e">
        <f>AND(Liste!#REF!,"AAAAABbnv/g=")</f>
        <v>#REF!</v>
      </c>
      <c r="IP110" t="e">
        <f>AND(Liste!#REF!,"AAAAABbnv/k=")</f>
        <v>#REF!</v>
      </c>
      <c r="IQ110" t="e">
        <f>AND(Liste!#REF!,"AAAAABbnv/o=")</f>
        <v>#REF!</v>
      </c>
      <c r="IR110" t="e">
        <f>AND(Liste!#REF!,"AAAAABbnv/s=")</f>
        <v>#REF!</v>
      </c>
      <c r="IS110" t="e">
        <f>AND(Liste!#REF!,"AAAAABbnv/w=")</f>
        <v>#REF!</v>
      </c>
      <c r="IT110" t="e">
        <f>AND(Liste!#REF!,"AAAAABbnv/0=")</f>
        <v>#REF!</v>
      </c>
      <c r="IU110" t="e">
        <f>AND(Liste!#REF!,"AAAAABbnv/4=")</f>
        <v>#REF!</v>
      </c>
      <c r="IV110" t="e">
        <f>AND(Liste!#REF!,"AAAAABbnv/8=")</f>
        <v>#REF!</v>
      </c>
    </row>
    <row r="111" spans="1:256" x14ac:dyDescent="0.2">
      <c r="A111" t="e">
        <f>AND(Liste!#REF!,"AAAAAFFXfwA=")</f>
        <v>#REF!</v>
      </c>
      <c r="B111" t="e">
        <f>AND(Liste!#REF!,"AAAAAFFXfwE=")</f>
        <v>#REF!</v>
      </c>
      <c r="C111" t="e">
        <f>AND(Liste!#REF!,"AAAAAFFXfwI=")</f>
        <v>#REF!</v>
      </c>
      <c r="D111" t="e">
        <f>AND(Liste!#REF!,"AAAAAFFXfwM=")</f>
        <v>#REF!</v>
      </c>
      <c r="E111" t="e">
        <f>AND(Liste!#REF!,"AAAAAFFXfwQ=")</f>
        <v>#REF!</v>
      </c>
      <c r="F111" t="e">
        <f>AND(Liste!#REF!,"AAAAAFFXfwU=")</f>
        <v>#REF!</v>
      </c>
      <c r="G111" t="e">
        <f>AND(Liste!#REF!,"AAAAAFFXfwY=")</f>
        <v>#REF!</v>
      </c>
      <c r="H111" t="e">
        <f>AND(Liste!#REF!,"AAAAAFFXfwc=")</f>
        <v>#REF!</v>
      </c>
      <c r="I111" t="e">
        <f>AND(Liste!#REF!,"AAAAAFFXfwg=")</f>
        <v>#REF!</v>
      </c>
      <c r="J111" t="e">
        <f>AND(Liste!#REF!,"AAAAAFFXfwk=")</f>
        <v>#REF!</v>
      </c>
      <c r="K111" t="e">
        <f>AND(Liste!#REF!,"AAAAAFFXfwo=")</f>
        <v>#REF!</v>
      </c>
      <c r="L111" t="e">
        <f>AND(Liste!#REF!,"AAAAAFFXfws=")</f>
        <v>#REF!</v>
      </c>
      <c r="M111" t="e">
        <f>AND(Liste!#REF!,"AAAAAFFXfww=")</f>
        <v>#REF!</v>
      </c>
      <c r="N111" t="e">
        <f>AND(Liste!#REF!,"AAAAAFFXfw0=")</f>
        <v>#REF!</v>
      </c>
      <c r="O111" t="e">
        <f>AND(Liste!#REF!,"AAAAAFFXfw4=")</f>
        <v>#REF!</v>
      </c>
      <c r="P111" t="e">
        <f>AND(Liste!#REF!,"AAAAAFFXfw8=")</f>
        <v>#REF!</v>
      </c>
      <c r="Q111" t="e">
        <f>AND(Liste!#REF!,"AAAAAFFXfxA=")</f>
        <v>#REF!</v>
      </c>
      <c r="R111" t="e">
        <f>AND(Liste!#REF!,"AAAAAFFXfxE=")</f>
        <v>#REF!</v>
      </c>
      <c r="S111" t="e">
        <f>AND(Liste!#REF!,"AAAAAFFXfxI=")</f>
        <v>#REF!</v>
      </c>
      <c r="T111" t="e">
        <f>IF(Liste!#REF!,"AAAAAFFXfxM=",0)</f>
        <v>#REF!</v>
      </c>
      <c r="U111" t="e">
        <f>AND(Liste!#REF!,"AAAAAFFXfxQ=")</f>
        <v>#REF!</v>
      </c>
      <c r="V111" t="e">
        <f>AND(Liste!#REF!,"AAAAAFFXfxU=")</f>
        <v>#REF!</v>
      </c>
      <c r="W111" t="e">
        <f>AND(Liste!#REF!,"AAAAAFFXfxY=")</f>
        <v>#REF!</v>
      </c>
      <c r="X111" t="e">
        <f>AND(Liste!#REF!,"AAAAAFFXfxc=")</f>
        <v>#REF!</v>
      </c>
      <c r="Y111" t="e">
        <f>AND(Liste!#REF!,"AAAAAFFXfxg=")</f>
        <v>#REF!</v>
      </c>
      <c r="Z111" t="e">
        <f>AND(Liste!#REF!,"AAAAAFFXfxk=")</f>
        <v>#REF!</v>
      </c>
      <c r="AA111" t="e">
        <f>AND(Liste!#REF!,"AAAAAFFXfxo=")</f>
        <v>#REF!</v>
      </c>
      <c r="AB111" t="e">
        <f>AND(Liste!#REF!,"AAAAAFFXfxs=")</f>
        <v>#REF!</v>
      </c>
      <c r="AC111" t="e">
        <f>AND(Liste!#REF!,"AAAAAFFXfxw=")</f>
        <v>#REF!</v>
      </c>
      <c r="AD111" t="e">
        <f>AND(Liste!#REF!,"AAAAAFFXfx0=")</f>
        <v>#REF!</v>
      </c>
      <c r="AE111" t="e">
        <f>AND(Liste!#REF!,"AAAAAFFXfx4=")</f>
        <v>#REF!</v>
      </c>
      <c r="AF111" t="e">
        <f>AND(Liste!#REF!,"AAAAAFFXfx8=")</f>
        <v>#REF!</v>
      </c>
      <c r="AG111" t="e">
        <f>AND(Liste!#REF!,"AAAAAFFXfyA=")</f>
        <v>#REF!</v>
      </c>
      <c r="AH111" t="e">
        <f>AND(Liste!#REF!,"AAAAAFFXfyE=")</f>
        <v>#REF!</v>
      </c>
      <c r="AI111" t="e">
        <f>AND(Liste!#REF!,"AAAAAFFXfyI=")</f>
        <v>#REF!</v>
      </c>
      <c r="AJ111" t="e">
        <f>AND(Liste!#REF!,"AAAAAFFXfyM=")</f>
        <v>#REF!</v>
      </c>
      <c r="AK111" t="e">
        <f>AND(Liste!#REF!,"AAAAAFFXfyQ=")</f>
        <v>#REF!</v>
      </c>
      <c r="AL111" t="e">
        <f>AND(Liste!#REF!,"AAAAAFFXfyU=")</f>
        <v>#REF!</v>
      </c>
      <c r="AM111" t="e">
        <f>AND(Liste!#REF!,"AAAAAFFXfyY=")</f>
        <v>#REF!</v>
      </c>
      <c r="AN111" t="e">
        <f>AND(Liste!#REF!,"AAAAAFFXfyc=")</f>
        <v>#REF!</v>
      </c>
      <c r="AO111" t="e">
        <f>AND(Liste!#REF!,"AAAAAFFXfyg=")</f>
        <v>#REF!</v>
      </c>
      <c r="AP111" t="e">
        <f>AND(Liste!#REF!,"AAAAAFFXfyk=")</f>
        <v>#REF!</v>
      </c>
      <c r="AQ111" t="e">
        <f>AND(Liste!#REF!,"AAAAAFFXfyo=")</f>
        <v>#REF!</v>
      </c>
      <c r="AR111" t="e">
        <f>AND(Liste!#REF!,"AAAAAFFXfys=")</f>
        <v>#REF!</v>
      </c>
      <c r="AS111" t="e">
        <f>AND(Liste!#REF!,"AAAAAFFXfyw=")</f>
        <v>#REF!</v>
      </c>
      <c r="AT111" t="e">
        <f>AND(Liste!#REF!,"AAAAAFFXfy0=")</f>
        <v>#REF!</v>
      </c>
      <c r="AU111" t="e">
        <f>AND(Liste!#REF!,"AAAAAFFXfy4=")</f>
        <v>#REF!</v>
      </c>
      <c r="AV111" t="e">
        <f>AND(Liste!#REF!,"AAAAAFFXfy8=")</f>
        <v>#REF!</v>
      </c>
      <c r="AW111" t="e">
        <f>AND(Liste!#REF!,"AAAAAFFXfzA=")</f>
        <v>#REF!</v>
      </c>
      <c r="AX111" t="e">
        <f>AND(Liste!#REF!,"AAAAAFFXfzE=")</f>
        <v>#REF!</v>
      </c>
      <c r="AY111" t="e">
        <f>IF(Liste!#REF!,"AAAAAFFXfzI=",0)</f>
        <v>#REF!</v>
      </c>
      <c r="AZ111" t="e">
        <f>AND(Liste!#REF!,"AAAAAFFXfzM=")</f>
        <v>#REF!</v>
      </c>
      <c r="BA111" t="e">
        <f>AND(Liste!#REF!,"AAAAAFFXfzQ=")</f>
        <v>#REF!</v>
      </c>
      <c r="BB111" t="e">
        <f>AND(Liste!#REF!,"AAAAAFFXfzU=")</f>
        <v>#REF!</v>
      </c>
      <c r="BC111" t="e">
        <f>AND(Liste!#REF!,"AAAAAFFXfzY=")</f>
        <v>#REF!</v>
      </c>
      <c r="BD111" t="e">
        <f>AND(Liste!#REF!,"AAAAAFFXfzc=")</f>
        <v>#REF!</v>
      </c>
      <c r="BE111" t="e">
        <f>AND(Liste!#REF!,"AAAAAFFXfzg=")</f>
        <v>#REF!</v>
      </c>
      <c r="BF111" t="e">
        <f>AND(Liste!#REF!,"AAAAAFFXfzk=")</f>
        <v>#REF!</v>
      </c>
      <c r="BG111" t="e">
        <f>AND(Liste!#REF!,"AAAAAFFXfzo=")</f>
        <v>#REF!</v>
      </c>
      <c r="BH111" t="e">
        <f>AND(Liste!#REF!,"AAAAAFFXfzs=")</f>
        <v>#REF!</v>
      </c>
      <c r="BI111" t="e">
        <f>AND(Liste!#REF!,"AAAAAFFXfzw=")</f>
        <v>#REF!</v>
      </c>
      <c r="BJ111" t="e">
        <f>AND(Liste!#REF!,"AAAAAFFXfz0=")</f>
        <v>#REF!</v>
      </c>
      <c r="BK111" t="e">
        <f>AND(Liste!#REF!,"AAAAAFFXfz4=")</f>
        <v>#REF!</v>
      </c>
      <c r="BL111" t="e">
        <f>AND(Liste!#REF!,"AAAAAFFXfz8=")</f>
        <v>#REF!</v>
      </c>
      <c r="BM111" t="e">
        <f>AND(Liste!#REF!,"AAAAAFFXf0A=")</f>
        <v>#REF!</v>
      </c>
      <c r="BN111" t="e">
        <f>AND(Liste!#REF!,"AAAAAFFXf0E=")</f>
        <v>#REF!</v>
      </c>
      <c r="BO111" t="e">
        <f>AND(Liste!#REF!,"AAAAAFFXf0I=")</f>
        <v>#REF!</v>
      </c>
      <c r="BP111" t="e">
        <f>AND(Liste!#REF!,"AAAAAFFXf0M=")</f>
        <v>#REF!</v>
      </c>
      <c r="BQ111" t="e">
        <f>AND(Liste!#REF!,"AAAAAFFXf0Q=")</f>
        <v>#REF!</v>
      </c>
      <c r="BR111" t="e">
        <f>AND(Liste!#REF!,"AAAAAFFXf0U=")</f>
        <v>#REF!</v>
      </c>
      <c r="BS111" t="e">
        <f>AND(Liste!#REF!,"AAAAAFFXf0Y=")</f>
        <v>#REF!</v>
      </c>
      <c r="BT111" t="e">
        <f>AND(Liste!#REF!,"AAAAAFFXf0c=")</f>
        <v>#REF!</v>
      </c>
      <c r="BU111" t="e">
        <f>AND(Liste!#REF!,"AAAAAFFXf0g=")</f>
        <v>#REF!</v>
      </c>
      <c r="BV111" t="e">
        <f>AND(Liste!#REF!,"AAAAAFFXf0k=")</f>
        <v>#REF!</v>
      </c>
      <c r="BW111" t="e">
        <f>AND(Liste!#REF!,"AAAAAFFXf0o=")</f>
        <v>#REF!</v>
      </c>
      <c r="BX111" t="e">
        <f>AND(Liste!#REF!,"AAAAAFFXf0s=")</f>
        <v>#REF!</v>
      </c>
      <c r="BY111" t="e">
        <f>AND(Liste!#REF!,"AAAAAFFXf0w=")</f>
        <v>#REF!</v>
      </c>
      <c r="BZ111" t="e">
        <f>AND(Liste!#REF!,"AAAAAFFXf00=")</f>
        <v>#REF!</v>
      </c>
      <c r="CA111" t="e">
        <f>AND(Liste!#REF!,"AAAAAFFXf04=")</f>
        <v>#REF!</v>
      </c>
      <c r="CB111" t="e">
        <f>AND(Liste!#REF!,"AAAAAFFXf08=")</f>
        <v>#REF!</v>
      </c>
      <c r="CC111" t="e">
        <f>AND(Liste!#REF!,"AAAAAFFXf1A=")</f>
        <v>#REF!</v>
      </c>
      <c r="CD111" t="e">
        <f>IF(Liste!#REF!,"AAAAAFFXf1E=",0)</f>
        <v>#REF!</v>
      </c>
      <c r="CE111" t="e">
        <f>AND(Liste!#REF!,"AAAAAFFXf1I=")</f>
        <v>#REF!</v>
      </c>
      <c r="CF111" t="e">
        <f>AND(Liste!#REF!,"AAAAAFFXf1M=")</f>
        <v>#REF!</v>
      </c>
      <c r="CG111" t="e">
        <f>AND(Liste!#REF!,"AAAAAFFXf1Q=")</f>
        <v>#REF!</v>
      </c>
      <c r="CH111" t="e">
        <f>AND(Liste!#REF!,"AAAAAFFXf1U=")</f>
        <v>#REF!</v>
      </c>
      <c r="CI111" t="e">
        <f>AND(Liste!#REF!,"AAAAAFFXf1Y=")</f>
        <v>#REF!</v>
      </c>
      <c r="CJ111" t="e">
        <f>AND(Liste!#REF!,"AAAAAFFXf1c=")</f>
        <v>#REF!</v>
      </c>
      <c r="CK111" t="e">
        <f>AND(Liste!#REF!,"AAAAAFFXf1g=")</f>
        <v>#REF!</v>
      </c>
      <c r="CL111" t="e">
        <f>AND(Liste!#REF!,"AAAAAFFXf1k=")</f>
        <v>#REF!</v>
      </c>
      <c r="CM111" t="e">
        <f>AND(Liste!#REF!,"AAAAAFFXf1o=")</f>
        <v>#REF!</v>
      </c>
      <c r="CN111" t="e">
        <f>AND(Liste!#REF!,"AAAAAFFXf1s=")</f>
        <v>#REF!</v>
      </c>
      <c r="CO111" t="e">
        <f>AND(Liste!#REF!,"AAAAAFFXf1w=")</f>
        <v>#REF!</v>
      </c>
      <c r="CP111" t="e">
        <f>AND(Liste!#REF!,"AAAAAFFXf10=")</f>
        <v>#REF!</v>
      </c>
      <c r="CQ111" t="e">
        <f>AND(Liste!#REF!,"AAAAAFFXf14=")</f>
        <v>#REF!</v>
      </c>
      <c r="CR111" t="e">
        <f>AND(Liste!#REF!,"AAAAAFFXf18=")</f>
        <v>#REF!</v>
      </c>
      <c r="CS111" t="e">
        <f>AND(Liste!#REF!,"AAAAAFFXf2A=")</f>
        <v>#REF!</v>
      </c>
      <c r="CT111" t="e">
        <f>AND(Liste!#REF!,"AAAAAFFXf2E=")</f>
        <v>#REF!</v>
      </c>
      <c r="CU111" t="e">
        <f>AND(Liste!#REF!,"AAAAAFFXf2I=")</f>
        <v>#REF!</v>
      </c>
      <c r="CV111" t="e">
        <f>AND(Liste!#REF!,"AAAAAFFXf2M=")</f>
        <v>#REF!</v>
      </c>
      <c r="CW111" t="e">
        <f>AND(Liste!#REF!,"AAAAAFFXf2Q=")</f>
        <v>#REF!</v>
      </c>
      <c r="CX111" t="e">
        <f>AND(Liste!#REF!,"AAAAAFFXf2U=")</f>
        <v>#REF!</v>
      </c>
      <c r="CY111" t="e">
        <f>AND(Liste!#REF!,"AAAAAFFXf2Y=")</f>
        <v>#REF!</v>
      </c>
      <c r="CZ111" t="e">
        <f>AND(Liste!#REF!,"AAAAAFFXf2c=")</f>
        <v>#REF!</v>
      </c>
      <c r="DA111" t="e">
        <f>AND(Liste!#REF!,"AAAAAFFXf2g=")</f>
        <v>#REF!</v>
      </c>
      <c r="DB111" t="e">
        <f>AND(Liste!#REF!,"AAAAAFFXf2k=")</f>
        <v>#REF!</v>
      </c>
      <c r="DC111" t="e">
        <f>AND(Liste!#REF!,"AAAAAFFXf2o=")</f>
        <v>#REF!</v>
      </c>
      <c r="DD111" t="e">
        <f>AND(Liste!#REF!,"AAAAAFFXf2s=")</f>
        <v>#REF!</v>
      </c>
      <c r="DE111" t="e">
        <f>AND(Liste!#REF!,"AAAAAFFXf2w=")</f>
        <v>#REF!</v>
      </c>
      <c r="DF111" t="e">
        <f>AND(Liste!#REF!,"AAAAAFFXf20=")</f>
        <v>#REF!</v>
      </c>
      <c r="DG111" t="e">
        <f>AND(Liste!#REF!,"AAAAAFFXf24=")</f>
        <v>#REF!</v>
      </c>
      <c r="DH111" t="e">
        <f>AND(Liste!#REF!,"AAAAAFFXf28=")</f>
        <v>#REF!</v>
      </c>
      <c r="DI111" t="e">
        <f>IF(Liste!#REF!,"AAAAAFFXf3A=",0)</f>
        <v>#REF!</v>
      </c>
      <c r="DJ111" t="e">
        <f>AND(Liste!#REF!,"AAAAAFFXf3E=")</f>
        <v>#REF!</v>
      </c>
      <c r="DK111" t="e">
        <f>AND(Liste!#REF!,"AAAAAFFXf3I=")</f>
        <v>#REF!</v>
      </c>
      <c r="DL111" t="e">
        <f>AND(Liste!#REF!,"AAAAAFFXf3M=")</f>
        <v>#REF!</v>
      </c>
      <c r="DM111" t="e">
        <f>AND(Liste!#REF!,"AAAAAFFXf3Q=")</f>
        <v>#REF!</v>
      </c>
      <c r="DN111" t="e">
        <f>AND(Liste!#REF!,"AAAAAFFXf3U=")</f>
        <v>#REF!</v>
      </c>
      <c r="DO111" t="e">
        <f>AND(Liste!#REF!,"AAAAAFFXf3Y=")</f>
        <v>#REF!</v>
      </c>
      <c r="DP111" t="e">
        <f>AND(Liste!#REF!,"AAAAAFFXf3c=")</f>
        <v>#REF!</v>
      </c>
      <c r="DQ111" t="e">
        <f>AND(Liste!#REF!,"AAAAAFFXf3g=")</f>
        <v>#REF!</v>
      </c>
      <c r="DR111" t="e">
        <f>AND(Liste!#REF!,"AAAAAFFXf3k=")</f>
        <v>#REF!</v>
      </c>
      <c r="DS111" t="e">
        <f>AND(Liste!#REF!,"AAAAAFFXf3o=")</f>
        <v>#REF!</v>
      </c>
      <c r="DT111" t="e">
        <f>AND(Liste!#REF!,"AAAAAFFXf3s=")</f>
        <v>#REF!</v>
      </c>
      <c r="DU111" t="e">
        <f>AND(Liste!#REF!,"AAAAAFFXf3w=")</f>
        <v>#REF!</v>
      </c>
      <c r="DV111" t="e">
        <f>AND(Liste!#REF!,"AAAAAFFXf30=")</f>
        <v>#REF!</v>
      </c>
      <c r="DW111" t="e">
        <f>AND(Liste!#REF!,"AAAAAFFXf34=")</f>
        <v>#REF!</v>
      </c>
      <c r="DX111" t="e">
        <f>AND(Liste!#REF!,"AAAAAFFXf38=")</f>
        <v>#REF!</v>
      </c>
      <c r="DY111" t="e">
        <f>AND(Liste!#REF!,"AAAAAFFXf4A=")</f>
        <v>#REF!</v>
      </c>
      <c r="DZ111" t="e">
        <f>AND(Liste!#REF!,"AAAAAFFXf4E=")</f>
        <v>#REF!</v>
      </c>
      <c r="EA111" t="e">
        <f>AND(Liste!#REF!,"AAAAAFFXf4I=")</f>
        <v>#REF!</v>
      </c>
      <c r="EB111" t="e">
        <f>AND(Liste!#REF!,"AAAAAFFXf4M=")</f>
        <v>#REF!</v>
      </c>
      <c r="EC111" t="e">
        <f>AND(Liste!#REF!,"AAAAAFFXf4Q=")</f>
        <v>#REF!</v>
      </c>
      <c r="ED111" t="e">
        <f>AND(Liste!#REF!,"AAAAAFFXf4U=")</f>
        <v>#REF!</v>
      </c>
      <c r="EE111" t="e">
        <f>AND(Liste!#REF!,"AAAAAFFXf4Y=")</f>
        <v>#REF!</v>
      </c>
      <c r="EF111" t="e">
        <f>AND(Liste!#REF!,"AAAAAFFXf4c=")</f>
        <v>#REF!</v>
      </c>
      <c r="EG111" t="e">
        <f>AND(Liste!#REF!,"AAAAAFFXf4g=")</f>
        <v>#REF!</v>
      </c>
      <c r="EH111" t="e">
        <f>AND(Liste!#REF!,"AAAAAFFXf4k=")</f>
        <v>#REF!</v>
      </c>
      <c r="EI111" t="e">
        <f>AND(Liste!#REF!,"AAAAAFFXf4o=")</f>
        <v>#REF!</v>
      </c>
      <c r="EJ111" t="e">
        <f>AND(Liste!#REF!,"AAAAAFFXf4s=")</f>
        <v>#REF!</v>
      </c>
      <c r="EK111" t="e">
        <f>AND(Liste!#REF!,"AAAAAFFXf4w=")</f>
        <v>#REF!</v>
      </c>
      <c r="EL111" t="e">
        <f>AND(Liste!#REF!,"AAAAAFFXf40=")</f>
        <v>#REF!</v>
      </c>
      <c r="EM111" t="e">
        <f>AND(Liste!#REF!,"AAAAAFFXf44=")</f>
        <v>#REF!</v>
      </c>
      <c r="EN111" t="e">
        <f>IF(Liste!#REF!,"AAAAAFFXf48=",0)</f>
        <v>#REF!</v>
      </c>
      <c r="EO111" t="e">
        <f>AND(Liste!#REF!,"AAAAAFFXf5A=")</f>
        <v>#REF!</v>
      </c>
      <c r="EP111" t="e">
        <f>AND(Liste!#REF!,"AAAAAFFXf5E=")</f>
        <v>#REF!</v>
      </c>
      <c r="EQ111" t="e">
        <f>AND(Liste!#REF!,"AAAAAFFXf5I=")</f>
        <v>#REF!</v>
      </c>
      <c r="ER111" t="e">
        <f>AND(Liste!#REF!,"AAAAAFFXf5M=")</f>
        <v>#REF!</v>
      </c>
      <c r="ES111" t="e">
        <f>AND(Liste!#REF!,"AAAAAFFXf5Q=")</f>
        <v>#REF!</v>
      </c>
      <c r="ET111" t="e">
        <f>AND(Liste!#REF!,"AAAAAFFXf5U=")</f>
        <v>#REF!</v>
      </c>
      <c r="EU111" t="e">
        <f>AND(Liste!#REF!,"AAAAAFFXf5Y=")</f>
        <v>#REF!</v>
      </c>
      <c r="EV111" t="e">
        <f>AND(Liste!#REF!,"AAAAAFFXf5c=")</f>
        <v>#REF!</v>
      </c>
      <c r="EW111" t="e">
        <f>AND(Liste!#REF!,"AAAAAFFXf5g=")</f>
        <v>#REF!</v>
      </c>
      <c r="EX111" t="e">
        <f>AND(Liste!#REF!,"AAAAAFFXf5k=")</f>
        <v>#REF!</v>
      </c>
      <c r="EY111" t="e">
        <f>AND(Liste!#REF!,"AAAAAFFXf5o=")</f>
        <v>#REF!</v>
      </c>
      <c r="EZ111" t="e">
        <f>AND(Liste!#REF!,"AAAAAFFXf5s=")</f>
        <v>#REF!</v>
      </c>
      <c r="FA111" t="e">
        <f>AND(Liste!#REF!,"AAAAAFFXf5w=")</f>
        <v>#REF!</v>
      </c>
      <c r="FB111" t="e">
        <f>AND(Liste!#REF!,"AAAAAFFXf50=")</f>
        <v>#REF!</v>
      </c>
      <c r="FC111" t="e">
        <f>AND(Liste!#REF!,"AAAAAFFXf54=")</f>
        <v>#REF!</v>
      </c>
      <c r="FD111" t="e">
        <f>AND(Liste!#REF!,"AAAAAFFXf58=")</f>
        <v>#REF!</v>
      </c>
      <c r="FE111" t="e">
        <f>AND(Liste!#REF!,"AAAAAFFXf6A=")</f>
        <v>#REF!</v>
      </c>
      <c r="FF111" t="e">
        <f>AND(Liste!#REF!,"AAAAAFFXf6E=")</f>
        <v>#REF!</v>
      </c>
      <c r="FG111" t="e">
        <f>AND(Liste!#REF!,"AAAAAFFXf6I=")</f>
        <v>#REF!</v>
      </c>
      <c r="FH111" t="e">
        <f>AND(Liste!#REF!,"AAAAAFFXf6M=")</f>
        <v>#REF!</v>
      </c>
      <c r="FI111" t="e">
        <f>AND(Liste!#REF!,"AAAAAFFXf6Q=")</f>
        <v>#REF!</v>
      </c>
      <c r="FJ111" t="e">
        <f>AND(Liste!#REF!,"AAAAAFFXf6U=")</f>
        <v>#REF!</v>
      </c>
      <c r="FK111" t="e">
        <f>AND(Liste!#REF!,"AAAAAFFXf6Y=")</f>
        <v>#REF!</v>
      </c>
      <c r="FL111" t="e">
        <f>AND(Liste!#REF!,"AAAAAFFXf6c=")</f>
        <v>#REF!</v>
      </c>
      <c r="FM111" t="e">
        <f>AND(Liste!#REF!,"AAAAAFFXf6g=")</f>
        <v>#REF!</v>
      </c>
      <c r="FN111" t="e">
        <f>AND(Liste!#REF!,"AAAAAFFXf6k=")</f>
        <v>#REF!</v>
      </c>
      <c r="FO111" t="e">
        <f>AND(Liste!#REF!,"AAAAAFFXf6o=")</f>
        <v>#REF!</v>
      </c>
      <c r="FP111" t="e">
        <f>AND(Liste!#REF!,"AAAAAFFXf6s=")</f>
        <v>#REF!</v>
      </c>
      <c r="FQ111" t="e">
        <f>AND(Liste!#REF!,"AAAAAFFXf6w=")</f>
        <v>#REF!</v>
      </c>
      <c r="FR111" t="e">
        <f>AND(Liste!#REF!,"AAAAAFFXf60=")</f>
        <v>#REF!</v>
      </c>
      <c r="FS111" t="e">
        <f>IF(Liste!#REF!,"AAAAAFFXf64=",0)</f>
        <v>#REF!</v>
      </c>
      <c r="FT111" t="e">
        <f>AND(Liste!#REF!,"AAAAAFFXf68=")</f>
        <v>#REF!</v>
      </c>
      <c r="FU111" t="e">
        <f>AND(Liste!#REF!,"AAAAAFFXf7A=")</f>
        <v>#REF!</v>
      </c>
      <c r="FV111" t="e">
        <f>AND(Liste!#REF!,"AAAAAFFXf7E=")</f>
        <v>#REF!</v>
      </c>
      <c r="FW111" t="e">
        <f>AND(Liste!#REF!,"AAAAAFFXf7I=")</f>
        <v>#REF!</v>
      </c>
      <c r="FX111" t="e">
        <f>AND(Liste!#REF!,"AAAAAFFXf7M=")</f>
        <v>#REF!</v>
      </c>
      <c r="FY111" t="e">
        <f>AND(Liste!#REF!,"AAAAAFFXf7Q=")</f>
        <v>#REF!</v>
      </c>
      <c r="FZ111" t="e">
        <f>AND(Liste!#REF!,"AAAAAFFXf7U=")</f>
        <v>#REF!</v>
      </c>
      <c r="GA111" t="e">
        <f>AND(Liste!#REF!,"AAAAAFFXf7Y=")</f>
        <v>#REF!</v>
      </c>
      <c r="GB111" t="e">
        <f>AND(Liste!#REF!,"AAAAAFFXf7c=")</f>
        <v>#REF!</v>
      </c>
      <c r="GC111" t="e">
        <f>AND(Liste!#REF!,"AAAAAFFXf7g=")</f>
        <v>#REF!</v>
      </c>
      <c r="GD111" t="e">
        <f>AND(Liste!#REF!,"AAAAAFFXf7k=")</f>
        <v>#REF!</v>
      </c>
      <c r="GE111" t="e">
        <f>AND(Liste!#REF!,"AAAAAFFXf7o=")</f>
        <v>#REF!</v>
      </c>
      <c r="GF111" t="e">
        <f>AND(Liste!#REF!,"AAAAAFFXf7s=")</f>
        <v>#REF!</v>
      </c>
      <c r="GG111" t="e">
        <f>AND(Liste!#REF!,"AAAAAFFXf7w=")</f>
        <v>#REF!</v>
      </c>
      <c r="GH111" t="e">
        <f>AND(Liste!#REF!,"AAAAAFFXf70=")</f>
        <v>#REF!</v>
      </c>
      <c r="GI111" t="e">
        <f>AND(Liste!#REF!,"AAAAAFFXf74=")</f>
        <v>#REF!</v>
      </c>
      <c r="GJ111" t="e">
        <f>AND(Liste!#REF!,"AAAAAFFXf78=")</f>
        <v>#REF!</v>
      </c>
      <c r="GK111" t="e">
        <f>AND(Liste!#REF!,"AAAAAFFXf8A=")</f>
        <v>#REF!</v>
      </c>
      <c r="GL111" t="e">
        <f>AND(Liste!#REF!,"AAAAAFFXf8E=")</f>
        <v>#REF!</v>
      </c>
      <c r="GM111" t="e">
        <f>AND(Liste!#REF!,"AAAAAFFXf8I=")</f>
        <v>#REF!</v>
      </c>
      <c r="GN111" t="e">
        <f>AND(Liste!#REF!,"AAAAAFFXf8M=")</f>
        <v>#REF!</v>
      </c>
      <c r="GO111" t="e">
        <f>AND(Liste!#REF!,"AAAAAFFXf8Q=")</f>
        <v>#REF!</v>
      </c>
      <c r="GP111" t="e">
        <f>AND(Liste!#REF!,"AAAAAFFXf8U=")</f>
        <v>#REF!</v>
      </c>
      <c r="GQ111" t="e">
        <f>AND(Liste!#REF!,"AAAAAFFXf8Y=")</f>
        <v>#REF!</v>
      </c>
      <c r="GR111" t="e">
        <f>AND(Liste!#REF!,"AAAAAFFXf8c=")</f>
        <v>#REF!</v>
      </c>
      <c r="GS111" t="e">
        <f>AND(Liste!#REF!,"AAAAAFFXf8g=")</f>
        <v>#REF!</v>
      </c>
      <c r="GT111" t="e">
        <f>AND(Liste!#REF!,"AAAAAFFXf8k=")</f>
        <v>#REF!</v>
      </c>
      <c r="GU111" t="e">
        <f>AND(Liste!#REF!,"AAAAAFFXf8o=")</f>
        <v>#REF!</v>
      </c>
      <c r="GV111" t="e">
        <f>AND(Liste!#REF!,"AAAAAFFXf8s=")</f>
        <v>#REF!</v>
      </c>
      <c r="GW111" t="e">
        <f>AND(Liste!#REF!,"AAAAAFFXf8w=")</f>
        <v>#REF!</v>
      </c>
      <c r="GX111" t="e">
        <f>IF(Liste!#REF!,"AAAAAFFXf80=",0)</f>
        <v>#REF!</v>
      </c>
      <c r="GY111" t="e">
        <f>AND(Liste!#REF!,"AAAAAFFXf84=")</f>
        <v>#REF!</v>
      </c>
      <c r="GZ111" t="e">
        <f>AND(Liste!#REF!,"AAAAAFFXf88=")</f>
        <v>#REF!</v>
      </c>
      <c r="HA111" t="e">
        <f>AND(Liste!#REF!,"AAAAAFFXf9A=")</f>
        <v>#REF!</v>
      </c>
      <c r="HB111" t="e">
        <f>AND(Liste!#REF!,"AAAAAFFXf9E=")</f>
        <v>#REF!</v>
      </c>
      <c r="HC111" t="e">
        <f>AND(Liste!#REF!,"AAAAAFFXf9I=")</f>
        <v>#REF!</v>
      </c>
      <c r="HD111" t="e">
        <f>AND(Liste!#REF!,"AAAAAFFXf9M=")</f>
        <v>#REF!</v>
      </c>
      <c r="HE111" t="e">
        <f>AND(Liste!#REF!,"AAAAAFFXf9Q=")</f>
        <v>#REF!</v>
      </c>
      <c r="HF111" t="e">
        <f>AND(Liste!#REF!,"AAAAAFFXf9U=")</f>
        <v>#REF!</v>
      </c>
      <c r="HG111" t="e">
        <f>AND(Liste!#REF!,"AAAAAFFXf9Y=")</f>
        <v>#REF!</v>
      </c>
      <c r="HH111" t="e">
        <f>AND(Liste!#REF!,"AAAAAFFXf9c=")</f>
        <v>#REF!</v>
      </c>
      <c r="HI111" t="e">
        <f>AND(Liste!#REF!,"AAAAAFFXf9g=")</f>
        <v>#REF!</v>
      </c>
      <c r="HJ111" t="e">
        <f>AND(Liste!#REF!,"AAAAAFFXf9k=")</f>
        <v>#REF!</v>
      </c>
      <c r="HK111" t="e">
        <f>AND(Liste!#REF!,"AAAAAFFXf9o=")</f>
        <v>#REF!</v>
      </c>
      <c r="HL111" t="e">
        <f>AND(Liste!#REF!,"AAAAAFFXf9s=")</f>
        <v>#REF!</v>
      </c>
      <c r="HM111" t="e">
        <f>AND(Liste!#REF!,"AAAAAFFXf9w=")</f>
        <v>#REF!</v>
      </c>
      <c r="HN111" t="e">
        <f>AND(Liste!#REF!,"AAAAAFFXf90=")</f>
        <v>#REF!</v>
      </c>
      <c r="HO111" t="e">
        <f>AND(Liste!#REF!,"AAAAAFFXf94=")</f>
        <v>#REF!</v>
      </c>
      <c r="HP111" t="e">
        <f>AND(Liste!#REF!,"AAAAAFFXf98=")</f>
        <v>#REF!</v>
      </c>
      <c r="HQ111" t="e">
        <f>AND(Liste!#REF!,"AAAAAFFXf+A=")</f>
        <v>#REF!</v>
      </c>
      <c r="HR111" t="e">
        <f>AND(Liste!#REF!,"AAAAAFFXf+E=")</f>
        <v>#REF!</v>
      </c>
      <c r="HS111" t="e">
        <f>AND(Liste!#REF!,"AAAAAFFXf+I=")</f>
        <v>#REF!</v>
      </c>
      <c r="HT111" t="e">
        <f>AND(Liste!#REF!,"AAAAAFFXf+M=")</f>
        <v>#REF!</v>
      </c>
      <c r="HU111" t="e">
        <f>AND(Liste!#REF!,"AAAAAFFXf+Q=")</f>
        <v>#REF!</v>
      </c>
      <c r="HV111" t="e">
        <f>AND(Liste!#REF!,"AAAAAFFXf+U=")</f>
        <v>#REF!</v>
      </c>
      <c r="HW111" t="e">
        <f>AND(Liste!#REF!,"AAAAAFFXf+Y=")</f>
        <v>#REF!</v>
      </c>
      <c r="HX111" t="e">
        <f>AND(Liste!#REF!,"AAAAAFFXf+c=")</f>
        <v>#REF!</v>
      </c>
      <c r="HY111" t="e">
        <f>AND(Liste!#REF!,"AAAAAFFXf+g=")</f>
        <v>#REF!</v>
      </c>
      <c r="HZ111" t="e">
        <f>AND(Liste!#REF!,"AAAAAFFXf+k=")</f>
        <v>#REF!</v>
      </c>
      <c r="IA111" t="e">
        <f>AND(Liste!#REF!,"AAAAAFFXf+o=")</f>
        <v>#REF!</v>
      </c>
      <c r="IB111" t="e">
        <f>AND(Liste!#REF!,"AAAAAFFXf+s=")</f>
        <v>#REF!</v>
      </c>
      <c r="IC111" t="e">
        <f>IF(Liste!#REF!,"AAAAAFFXf+w=",0)</f>
        <v>#REF!</v>
      </c>
      <c r="ID111" t="e">
        <f>AND(Liste!#REF!,"AAAAAFFXf+0=")</f>
        <v>#REF!</v>
      </c>
      <c r="IE111" t="e">
        <f>AND(Liste!#REF!,"AAAAAFFXf+4=")</f>
        <v>#REF!</v>
      </c>
      <c r="IF111" t="e">
        <f>AND(Liste!#REF!,"AAAAAFFXf+8=")</f>
        <v>#REF!</v>
      </c>
      <c r="IG111" t="e">
        <f>AND(Liste!#REF!,"AAAAAFFXf/A=")</f>
        <v>#REF!</v>
      </c>
      <c r="IH111" t="e">
        <f>AND(Liste!#REF!,"AAAAAFFXf/E=")</f>
        <v>#REF!</v>
      </c>
      <c r="II111" t="e">
        <f>AND(Liste!#REF!,"AAAAAFFXf/I=")</f>
        <v>#REF!</v>
      </c>
      <c r="IJ111" t="e">
        <f>AND(Liste!#REF!,"AAAAAFFXf/M=")</f>
        <v>#REF!</v>
      </c>
      <c r="IK111" t="e">
        <f>AND(Liste!#REF!,"AAAAAFFXf/Q=")</f>
        <v>#REF!</v>
      </c>
      <c r="IL111" t="e">
        <f>AND(Liste!#REF!,"AAAAAFFXf/U=")</f>
        <v>#REF!</v>
      </c>
      <c r="IM111" t="e">
        <f>AND(Liste!#REF!,"AAAAAFFXf/Y=")</f>
        <v>#REF!</v>
      </c>
      <c r="IN111" t="e">
        <f>AND(Liste!#REF!,"AAAAAFFXf/c=")</f>
        <v>#REF!</v>
      </c>
      <c r="IO111" t="e">
        <f>AND(Liste!#REF!,"AAAAAFFXf/g=")</f>
        <v>#REF!</v>
      </c>
      <c r="IP111" t="e">
        <f>AND(Liste!#REF!,"AAAAAFFXf/k=")</f>
        <v>#REF!</v>
      </c>
      <c r="IQ111" t="e">
        <f>AND(Liste!#REF!,"AAAAAFFXf/o=")</f>
        <v>#REF!</v>
      </c>
      <c r="IR111" t="e">
        <f>AND(Liste!#REF!,"AAAAAFFXf/s=")</f>
        <v>#REF!</v>
      </c>
      <c r="IS111" t="e">
        <f>AND(Liste!#REF!,"AAAAAFFXf/w=")</f>
        <v>#REF!</v>
      </c>
      <c r="IT111" t="e">
        <f>AND(Liste!#REF!,"AAAAAFFXf/0=")</f>
        <v>#REF!</v>
      </c>
      <c r="IU111" t="e">
        <f>AND(Liste!#REF!,"AAAAAFFXf/4=")</f>
        <v>#REF!</v>
      </c>
      <c r="IV111" t="e">
        <f>AND(Liste!#REF!,"AAAAAFFXf/8=")</f>
        <v>#REF!</v>
      </c>
    </row>
    <row r="112" spans="1:256" x14ac:dyDescent="0.2">
      <c r="A112" t="e">
        <f>AND(Liste!#REF!,"AAAAAH2z/wA=")</f>
        <v>#REF!</v>
      </c>
      <c r="B112" t="e">
        <f>AND(Liste!#REF!,"AAAAAH2z/wE=")</f>
        <v>#REF!</v>
      </c>
      <c r="C112" t="e">
        <f>AND(Liste!#REF!,"AAAAAH2z/wI=")</f>
        <v>#REF!</v>
      </c>
      <c r="D112" t="e">
        <f>AND(Liste!#REF!,"AAAAAH2z/wM=")</f>
        <v>#REF!</v>
      </c>
      <c r="E112" t="e">
        <f>AND(Liste!#REF!,"AAAAAH2z/wQ=")</f>
        <v>#REF!</v>
      </c>
      <c r="F112" t="e">
        <f>AND(Liste!#REF!,"AAAAAH2z/wU=")</f>
        <v>#REF!</v>
      </c>
      <c r="G112" t="e">
        <f>AND(Liste!#REF!,"AAAAAH2z/wY=")</f>
        <v>#REF!</v>
      </c>
      <c r="H112" t="e">
        <f>AND(Liste!#REF!,"AAAAAH2z/wc=")</f>
        <v>#REF!</v>
      </c>
      <c r="I112" t="e">
        <f>AND(Liste!#REF!,"AAAAAH2z/wg=")</f>
        <v>#REF!</v>
      </c>
      <c r="J112" t="e">
        <f>AND(Liste!#REF!,"AAAAAH2z/wk=")</f>
        <v>#REF!</v>
      </c>
      <c r="K112" t="e">
        <f>AND(Liste!#REF!,"AAAAAH2z/wo=")</f>
        <v>#REF!</v>
      </c>
      <c r="L112" t="e">
        <f>IF(Liste!#REF!,"AAAAAH2z/ws=",0)</f>
        <v>#REF!</v>
      </c>
      <c r="M112" t="e">
        <f>AND(Liste!#REF!,"AAAAAH2z/ww=")</f>
        <v>#REF!</v>
      </c>
      <c r="N112" t="e">
        <f>AND(Liste!#REF!,"AAAAAH2z/w0=")</f>
        <v>#REF!</v>
      </c>
      <c r="O112" t="e">
        <f>AND(Liste!#REF!,"AAAAAH2z/w4=")</f>
        <v>#REF!</v>
      </c>
      <c r="P112" t="e">
        <f>AND(Liste!#REF!,"AAAAAH2z/w8=")</f>
        <v>#REF!</v>
      </c>
      <c r="Q112" t="e">
        <f>AND(Liste!#REF!,"AAAAAH2z/xA=")</f>
        <v>#REF!</v>
      </c>
      <c r="R112" t="e">
        <f>AND(Liste!#REF!,"AAAAAH2z/xE=")</f>
        <v>#REF!</v>
      </c>
      <c r="S112" t="e">
        <f>AND(Liste!#REF!,"AAAAAH2z/xI=")</f>
        <v>#REF!</v>
      </c>
      <c r="T112" t="e">
        <f>AND(Liste!#REF!,"AAAAAH2z/xM=")</f>
        <v>#REF!</v>
      </c>
      <c r="U112" t="e">
        <f>AND(Liste!#REF!,"AAAAAH2z/xQ=")</f>
        <v>#REF!</v>
      </c>
      <c r="V112" t="e">
        <f>AND(Liste!#REF!,"AAAAAH2z/xU=")</f>
        <v>#REF!</v>
      </c>
      <c r="W112" t="e">
        <f>AND(Liste!#REF!,"AAAAAH2z/xY=")</f>
        <v>#REF!</v>
      </c>
      <c r="X112" t="e">
        <f>AND(Liste!#REF!,"AAAAAH2z/xc=")</f>
        <v>#REF!</v>
      </c>
      <c r="Y112" t="e">
        <f>AND(Liste!#REF!,"AAAAAH2z/xg=")</f>
        <v>#REF!</v>
      </c>
      <c r="Z112" t="e">
        <f>AND(Liste!#REF!,"AAAAAH2z/xk=")</f>
        <v>#REF!</v>
      </c>
      <c r="AA112" t="e">
        <f>AND(Liste!#REF!,"AAAAAH2z/xo=")</f>
        <v>#REF!</v>
      </c>
      <c r="AB112" t="e">
        <f>AND(Liste!#REF!,"AAAAAH2z/xs=")</f>
        <v>#REF!</v>
      </c>
      <c r="AC112" t="e">
        <f>AND(Liste!#REF!,"AAAAAH2z/xw=")</f>
        <v>#REF!</v>
      </c>
      <c r="AD112" t="e">
        <f>AND(Liste!#REF!,"AAAAAH2z/x0=")</f>
        <v>#REF!</v>
      </c>
      <c r="AE112" t="e">
        <f>AND(Liste!#REF!,"AAAAAH2z/x4=")</f>
        <v>#REF!</v>
      </c>
      <c r="AF112" t="e">
        <f>AND(Liste!#REF!,"AAAAAH2z/x8=")</f>
        <v>#REF!</v>
      </c>
      <c r="AG112" t="e">
        <f>AND(Liste!#REF!,"AAAAAH2z/yA=")</f>
        <v>#REF!</v>
      </c>
      <c r="AH112" t="e">
        <f>AND(Liste!#REF!,"AAAAAH2z/yE=")</f>
        <v>#REF!</v>
      </c>
      <c r="AI112" t="e">
        <f>AND(Liste!#REF!,"AAAAAH2z/yI=")</f>
        <v>#REF!</v>
      </c>
      <c r="AJ112" t="e">
        <f>AND(Liste!#REF!,"AAAAAH2z/yM=")</f>
        <v>#REF!</v>
      </c>
      <c r="AK112" t="e">
        <f>AND(Liste!#REF!,"AAAAAH2z/yQ=")</f>
        <v>#REF!</v>
      </c>
      <c r="AL112" t="e">
        <f>AND(Liste!#REF!,"AAAAAH2z/yU=")</f>
        <v>#REF!</v>
      </c>
      <c r="AM112" t="e">
        <f>AND(Liste!#REF!,"AAAAAH2z/yY=")</f>
        <v>#REF!</v>
      </c>
      <c r="AN112" t="e">
        <f>AND(Liste!#REF!,"AAAAAH2z/yc=")</f>
        <v>#REF!</v>
      </c>
      <c r="AO112" t="e">
        <f>AND(Liste!#REF!,"AAAAAH2z/yg=")</f>
        <v>#REF!</v>
      </c>
      <c r="AP112" t="e">
        <f>AND(Liste!#REF!,"AAAAAH2z/yk=")</f>
        <v>#REF!</v>
      </c>
      <c r="AQ112">
        <f>IF(Liste!582:582,"AAAAAH2z/yo=",0)</f>
        <v>0</v>
      </c>
      <c r="AR112" t="e">
        <f>AND(Liste!A582,"AAAAAH2z/ys=")</f>
        <v>#VALUE!</v>
      </c>
      <c r="AS112" t="e">
        <f>AND(Liste!C582,"AAAAAH2z/yw=")</f>
        <v>#VALUE!</v>
      </c>
      <c r="AT112" t="e">
        <f>AND(Liste!D582,"AAAAAH2z/y0=")</f>
        <v>#VALUE!</v>
      </c>
      <c r="AU112" t="e">
        <f>AND(Liste!E582,"AAAAAH2z/y4=")</f>
        <v>#VALUE!</v>
      </c>
      <c r="AV112" t="e">
        <f>AND(Liste!F582,"AAAAAH2z/y8=")</f>
        <v>#VALUE!</v>
      </c>
      <c r="AW112" t="e">
        <f>AND(Liste!G582,"AAAAAH2z/zA=")</f>
        <v>#VALUE!</v>
      </c>
      <c r="AX112" t="e">
        <f>AND(Liste!H582,"AAAAAH2z/zE=")</f>
        <v>#VALUE!</v>
      </c>
      <c r="AY112" t="e">
        <f>AND(Liste!I582,"AAAAAH2z/zI=")</f>
        <v>#VALUE!</v>
      </c>
      <c r="AZ112" t="e">
        <f>AND(Liste!J582,"AAAAAH2z/zM=")</f>
        <v>#VALUE!</v>
      </c>
      <c r="BA112" t="e">
        <f>AND(Liste!#REF!,"AAAAAH2z/zQ=")</f>
        <v>#REF!</v>
      </c>
      <c r="BB112" t="e">
        <f>AND(Liste!#REF!,"AAAAAH2z/zU=")</f>
        <v>#REF!</v>
      </c>
      <c r="BC112" t="e">
        <f>AND(Liste!#REF!,"AAAAAH2z/zY=")</f>
        <v>#REF!</v>
      </c>
      <c r="BD112" t="e">
        <f>AND(Liste!#REF!,"AAAAAH2z/zc=")</f>
        <v>#REF!</v>
      </c>
      <c r="BE112" t="e">
        <f>AND(Liste!#REF!,"AAAAAH2z/zg=")</f>
        <v>#REF!</v>
      </c>
      <c r="BF112" t="e">
        <f>AND(Liste!#REF!,"AAAAAH2z/zk=")</f>
        <v>#REF!</v>
      </c>
      <c r="BG112" t="e">
        <f>AND(Liste!#REF!,"AAAAAH2z/zo=")</f>
        <v>#REF!</v>
      </c>
      <c r="BH112" t="e">
        <f>AND(Liste!#REF!,"AAAAAH2z/zs=")</f>
        <v>#REF!</v>
      </c>
      <c r="BI112" t="e">
        <f>AND(Liste!#REF!,"AAAAAH2z/zw=")</f>
        <v>#REF!</v>
      </c>
      <c r="BJ112" t="e">
        <f>AND(Liste!#REF!,"AAAAAH2z/z0=")</f>
        <v>#REF!</v>
      </c>
      <c r="BK112" t="e">
        <f>AND(Liste!#REF!,"AAAAAH2z/z4=")</f>
        <v>#REF!</v>
      </c>
      <c r="BL112" t="e">
        <f>AND(Liste!#REF!,"AAAAAH2z/z8=")</f>
        <v>#REF!</v>
      </c>
      <c r="BM112" t="e">
        <f>AND(Liste!#REF!,"AAAAAH2z/0A=")</f>
        <v>#REF!</v>
      </c>
      <c r="BN112" t="e">
        <f>AND(Liste!#REF!,"AAAAAH2z/0E=")</f>
        <v>#REF!</v>
      </c>
      <c r="BO112" t="e">
        <f>AND(Liste!#REF!,"AAAAAH2z/0I=")</f>
        <v>#REF!</v>
      </c>
      <c r="BP112" t="e">
        <f>AND(Liste!#REF!,"AAAAAH2z/0M=")</f>
        <v>#REF!</v>
      </c>
      <c r="BQ112" t="e">
        <f>AND(Liste!#REF!,"AAAAAH2z/0Q=")</f>
        <v>#REF!</v>
      </c>
      <c r="BR112" t="e">
        <f>AND(Liste!#REF!,"AAAAAH2z/0U=")</f>
        <v>#REF!</v>
      </c>
      <c r="BS112" t="e">
        <f>AND(Liste!#REF!,"AAAAAH2z/0Y=")</f>
        <v>#REF!</v>
      </c>
      <c r="BT112" t="e">
        <f>AND(Liste!#REF!,"AAAAAH2z/0c=")</f>
        <v>#REF!</v>
      </c>
      <c r="BU112" t="e">
        <f>AND(Liste!#REF!,"AAAAAH2z/0g=")</f>
        <v>#REF!</v>
      </c>
      <c r="BV112">
        <f>IF(Liste!583:583,"AAAAAH2z/0k=",0)</f>
        <v>0</v>
      </c>
      <c r="BW112" t="e">
        <f>AND(Liste!A583,"AAAAAH2z/0o=")</f>
        <v>#VALUE!</v>
      </c>
      <c r="BX112" t="e">
        <f>AND(Liste!C583,"AAAAAH2z/0s=")</f>
        <v>#VALUE!</v>
      </c>
      <c r="BY112" t="e">
        <f>AND(Liste!D583,"AAAAAH2z/0w=")</f>
        <v>#VALUE!</v>
      </c>
      <c r="BZ112" t="e">
        <f>AND(Liste!E583,"AAAAAH2z/00=")</f>
        <v>#VALUE!</v>
      </c>
      <c r="CA112" t="e">
        <f>AND(Liste!F583,"AAAAAH2z/04=")</f>
        <v>#VALUE!</v>
      </c>
      <c r="CB112" t="e">
        <f>AND(Liste!G583,"AAAAAH2z/08=")</f>
        <v>#VALUE!</v>
      </c>
      <c r="CC112" t="e">
        <f>AND(Liste!H583,"AAAAAH2z/1A=")</f>
        <v>#VALUE!</v>
      </c>
      <c r="CD112" t="e">
        <f>AND(Liste!I583,"AAAAAH2z/1E=")</f>
        <v>#VALUE!</v>
      </c>
      <c r="CE112" t="e">
        <f>AND(Liste!J583,"AAAAAH2z/1I=")</f>
        <v>#VALUE!</v>
      </c>
      <c r="CF112" t="e">
        <f>AND(Liste!#REF!,"AAAAAH2z/1M=")</f>
        <v>#REF!</v>
      </c>
      <c r="CG112" t="e">
        <f>AND(Liste!#REF!,"AAAAAH2z/1Q=")</f>
        <v>#REF!</v>
      </c>
      <c r="CH112" t="e">
        <f>AND(Liste!#REF!,"AAAAAH2z/1U=")</f>
        <v>#REF!</v>
      </c>
      <c r="CI112" t="e">
        <f>AND(Liste!#REF!,"AAAAAH2z/1Y=")</f>
        <v>#REF!</v>
      </c>
      <c r="CJ112" t="e">
        <f>AND(Liste!#REF!,"AAAAAH2z/1c=")</f>
        <v>#REF!</v>
      </c>
      <c r="CK112" t="e">
        <f>AND(Liste!#REF!,"AAAAAH2z/1g=")</f>
        <v>#REF!</v>
      </c>
      <c r="CL112" t="e">
        <f>AND(Liste!#REF!,"AAAAAH2z/1k=")</f>
        <v>#REF!</v>
      </c>
      <c r="CM112" t="e">
        <f>AND(Liste!#REF!,"AAAAAH2z/1o=")</f>
        <v>#REF!</v>
      </c>
      <c r="CN112" t="e">
        <f>AND(Liste!#REF!,"AAAAAH2z/1s=")</f>
        <v>#REF!</v>
      </c>
      <c r="CO112" t="e">
        <f>AND(Liste!#REF!,"AAAAAH2z/1w=")</f>
        <v>#REF!</v>
      </c>
      <c r="CP112" t="e">
        <f>AND(Liste!#REF!,"AAAAAH2z/10=")</f>
        <v>#REF!</v>
      </c>
      <c r="CQ112" t="e">
        <f>AND(Liste!#REF!,"AAAAAH2z/14=")</f>
        <v>#REF!</v>
      </c>
      <c r="CR112" t="e">
        <f>AND(Liste!#REF!,"AAAAAH2z/18=")</f>
        <v>#REF!</v>
      </c>
      <c r="CS112" t="e">
        <f>AND(Liste!#REF!,"AAAAAH2z/2A=")</f>
        <v>#REF!</v>
      </c>
      <c r="CT112" t="e">
        <f>AND(Liste!#REF!,"AAAAAH2z/2E=")</f>
        <v>#REF!</v>
      </c>
      <c r="CU112" t="e">
        <f>AND(Liste!#REF!,"AAAAAH2z/2I=")</f>
        <v>#REF!</v>
      </c>
      <c r="CV112" t="e">
        <f>AND(Liste!#REF!,"AAAAAH2z/2M=")</f>
        <v>#REF!</v>
      </c>
      <c r="CW112" t="e">
        <f>AND(Liste!#REF!,"AAAAAH2z/2Q=")</f>
        <v>#REF!</v>
      </c>
      <c r="CX112" t="e">
        <f>AND(Liste!#REF!,"AAAAAH2z/2U=")</f>
        <v>#REF!</v>
      </c>
      <c r="CY112" t="e">
        <f>AND(Liste!#REF!,"AAAAAH2z/2Y=")</f>
        <v>#REF!</v>
      </c>
      <c r="CZ112" t="e">
        <f>AND(Liste!#REF!,"AAAAAH2z/2c=")</f>
        <v>#REF!</v>
      </c>
      <c r="DA112">
        <f>IF(Liste!584:584,"AAAAAH2z/2g=",0)</f>
        <v>0</v>
      </c>
      <c r="DB112" t="b">
        <f>AND(Liste!A584,"AAAAAH2z/2k=")</f>
        <v>1</v>
      </c>
      <c r="DC112" t="e">
        <f>AND(Liste!#REF!,"AAAAAH2z/2o=")</f>
        <v>#REF!</v>
      </c>
      <c r="DD112" t="e">
        <f>AND(Liste!#REF!,"AAAAAH2z/2s=")</f>
        <v>#REF!</v>
      </c>
      <c r="DE112" t="e">
        <f>AND(Liste!#REF!,"AAAAAH2z/2w=")</f>
        <v>#REF!</v>
      </c>
      <c r="DF112" t="e">
        <f>AND(Liste!F584,"AAAAAH2z/20=")</f>
        <v>#VALUE!</v>
      </c>
      <c r="DG112" t="e">
        <f>AND(Liste!G584,"AAAAAH2z/24=")</f>
        <v>#VALUE!</v>
      </c>
      <c r="DH112" t="e">
        <f>AND(Liste!H584,"AAAAAH2z/28=")</f>
        <v>#VALUE!</v>
      </c>
      <c r="DI112" t="e">
        <f>AND(Liste!I584,"AAAAAH2z/3A=")</f>
        <v>#VALUE!</v>
      </c>
      <c r="DJ112" t="e">
        <f>AND(Liste!J584,"AAAAAH2z/3E=")</f>
        <v>#VALUE!</v>
      </c>
      <c r="DK112" t="e">
        <f>AND(Liste!#REF!,"AAAAAH2z/3I=")</f>
        <v>#REF!</v>
      </c>
      <c r="DL112" t="e">
        <f>AND(Liste!#REF!,"AAAAAH2z/3M=")</f>
        <v>#REF!</v>
      </c>
      <c r="DM112" t="e">
        <f>AND(Liste!#REF!,"AAAAAH2z/3Q=")</f>
        <v>#REF!</v>
      </c>
      <c r="DN112" t="e">
        <f>AND(Liste!#REF!,"AAAAAH2z/3U=")</f>
        <v>#REF!</v>
      </c>
      <c r="DO112" t="e">
        <f>AND(Liste!#REF!,"AAAAAH2z/3Y=")</f>
        <v>#REF!</v>
      </c>
      <c r="DP112" t="e">
        <f>AND(Liste!#REF!,"AAAAAH2z/3c=")</f>
        <v>#REF!</v>
      </c>
      <c r="DQ112" t="e">
        <f>AND(Liste!#REF!,"AAAAAH2z/3g=")</f>
        <v>#REF!</v>
      </c>
      <c r="DR112" t="e">
        <f>AND(Liste!#REF!,"AAAAAH2z/3k=")</f>
        <v>#REF!</v>
      </c>
      <c r="DS112" t="e">
        <f>AND(Liste!#REF!,"AAAAAH2z/3o=")</f>
        <v>#REF!</v>
      </c>
      <c r="DT112" t="e">
        <f>AND(Liste!#REF!,"AAAAAH2z/3s=")</f>
        <v>#REF!</v>
      </c>
      <c r="DU112" t="e">
        <f>AND(Liste!#REF!,"AAAAAH2z/3w=")</f>
        <v>#REF!</v>
      </c>
      <c r="DV112" t="e">
        <f>AND(Liste!#REF!,"AAAAAH2z/30=")</f>
        <v>#REF!</v>
      </c>
      <c r="DW112" t="e">
        <f>AND(Liste!#REF!,"AAAAAH2z/34=")</f>
        <v>#REF!</v>
      </c>
      <c r="DX112" t="e">
        <f>AND(Liste!#REF!,"AAAAAH2z/38=")</f>
        <v>#REF!</v>
      </c>
      <c r="DY112" t="e">
        <f>AND(Liste!#REF!,"AAAAAH2z/4A=")</f>
        <v>#REF!</v>
      </c>
      <c r="DZ112" t="e">
        <f>AND(Liste!#REF!,"AAAAAH2z/4E=")</f>
        <v>#REF!</v>
      </c>
      <c r="EA112" t="e">
        <f>AND(Liste!#REF!,"AAAAAH2z/4I=")</f>
        <v>#REF!</v>
      </c>
      <c r="EB112" t="e">
        <f>AND(Liste!#REF!,"AAAAAH2z/4M=")</f>
        <v>#REF!</v>
      </c>
      <c r="EC112" t="e">
        <f>AND(Liste!#REF!,"AAAAAH2z/4Q=")</f>
        <v>#REF!</v>
      </c>
      <c r="ED112" t="e">
        <f>AND(Liste!#REF!,"AAAAAH2z/4U=")</f>
        <v>#REF!</v>
      </c>
      <c r="EE112" t="e">
        <f>AND(Liste!#REF!,"AAAAAH2z/4Y=")</f>
        <v>#REF!</v>
      </c>
      <c r="EF112">
        <f>IF(Liste!585:585,"AAAAAH2z/4c=",0)</f>
        <v>0</v>
      </c>
      <c r="EG112" t="b">
        <f>AND(Liste!A585,"AAAAAH2z/4g=")</f>
        <v>1</v>
      </c>
      <c r="EH112" t="e">
        <f>AND(Liste!#REF!,"AAAAAH2z/4k=")</f>
        <v>#REF!</v>
      </c>
      <c r="EI112" t="e">
        <f>AND(Liste!#REF!,"AAAAAH2z/4o=")</f>
        <v>#REF!</v>
      </c>
      <c r="EJ112" t="e">
        <f>AND(Liste!#REF!,"AAAAAH2z/4s=")</f>
        <v>#REF!</v>
      </c>
      <c r="EK112" t="e">
        <f>AND(Liste!F585,"AAAAAH2z/4w=")</f>
        <v>#VALUE!</v>
      </c>
      <c r="EL112" t="e">
        <f>AND(Liste!G585,"AAAAAH2z/40=")</f>
        <v>#VALUE!</v>
      </c>
      <c r="EM112" t="e">
        <f>AND(Liste!H585,"AAAAAH2z/44=")</f>
        <v>#VALUE!</v>
      </c>
      <c r="EN112" t="e">
        <f>AND(Liste!I585,"AAAAAH2z/48=")</f>
        <v>#VALUE!</v>
      </c>
      <c r="EO112" t="e">
        <f>AND(Liste!J585,"AAAAAH2z/5A=")</f>
        <v>#VALUE!</v>
      </c>
      <c r="EP112" t="e">
        <f>AND(Liste!#REF!,"AAAAAH2z/5E=")</f>
        <v>#REF!</v>
      </c>
      <c r="EQ112" t="e">
        <f>AND(Liste!#REF!,"AAAAAH2z/5I=")</f>
        <v>#REF!</v>
      </c>
      <c r="ER112" t="e">
        <f>AND(Liste!#REF!,"AAAAAH2z/5M=")</f>
        <v>#REF!</v>
      </c>
      <c r="ES112" t="e">
        <f>AND(Liste!#REF!,"AAAAAH2z/5Q=")</f>
        <v>#REF!</v>
      </c>
      <c r="ET112" t="e">
        <f>AND(Liste!#REF!,"AAAAAH2z/5U=")</f>
        <v>#REF!</v>
      </c>
      <c r="EU112" t="e">
        <f>AND(Liste!#REF!,"AAAAAH2z/5Y=")</f>
        <v>#REF!</v>
      </c>
      <c r="EV112" t="e">
        <f>AND(Liste!#REF!,"AAAAAH2z/5c=")</f>
        <v>#REF!</v>
      </c>
      <c r="EW112" t="e">
        <f>AND(Liste!#REF!,"AAAAAH2z/5g=")</f>
        <v>#REF!</v>
      </c>
      <c r="EX112" t="e">
        <f>AND(Liste!#REF!,"AAAAAH2z/5k=")</f>
        <v>#REF!</v>
      </c>
      <c r="EY112" t="e">
        <f>AND(Liste!#REF!,"AAAAAH2z/5o=")</f>
        <v>#REF!</v>
      </c>
      <c r="EZ112" t="e">
        <f>AND(Liste!#REF!,"AAAAAH2z/5s=")</f>
        <v>#REF!</v>
      </c>
      <c r="FA112" t="e">
        <f>AND(Liste!#REF!,"AAAAAH2z/5w=")</f>
        <v>#REF!</v>
      </c>
      <c r="FB112" t="e">
        <f>AND(Liste!#REF!,"AAAAAH2z/50=")</f>
        <v>#REF!</v>
      </c>
      <c r="FC112" t="e">
        <f>AND(Liste!#REF!,"AAAAAH2z/54=")</f>
        <v>#REF!</v>
      </c>
      <c r="FD112" t="e">
        <f>AND(Liste!#REF!,"AAAAAH2z/58=")</f>
        <v>#REF!</v>
      </c>
      <c r="FE112" t="e">
        <f>AND(Liste!#REF!,"AAAAAH2z/6A=")</f>
        <v>#REF!</v>
      </c>
      <c r="FF112" t="e">
        <f>AND(Liste!#REF!,"AAAAAH2z/6E=")</f>
        <v>#REF!</v>
      </c>
      <c r="FG112" t="e">
        <f>AND(Liste!#REF!,"AAAAAH2z/6I=")</f>
        <v>#REF!</v>
      </c>
      <c r="FH112" t="e">
        <f>AND(Liste!#REF!,"AAAAAH2z/6M=")</f>
        <v>#REF!</v>
      </c>
      <c r="FI112" t="e">
        <f>AND(Liste!#REF!,"AAAAAH2z/6Q=")</f>
        <v>#REF!</v>
      </c>
      <c r="FJ112" t="e">
        <f>AND(Liste!#REF!,"AAAAAH2z/6U=")</f>
        <v>#REF!</v>
      </c>
      <c r="FK112">
        <f>IF(Liste!586:586,"AAAAAH2z/6Y=",0)</f>
        <v>0</v>
      </c>
      <c r="FL112" t="b">
        <f>AND(Liste!A586,"AAAAAH2z/6c=")</f>
        <v>1</v>
      </c>
      <c r="FM112" t="e">
        <f>AND(Liste!#REF!,"AAAAAH2z/6g=")</f>
        <v>#REF!</v>
      </c>
      <c r="FN112" t="e">
        <f>AND(Liste!#REF!,"AAAAAH2z/6k=")</f>
        <v>#REF!</v>
      </c>
      <c r="FO112" t="e">
        <f>AND(Liste!#REF!,"AAAAAH2z/6o=")</f>
        <v>#REF!</v>
      </c>
      <c r="FP112" t="e">
        <f>AND(Liste!F586,"AAAAAH2z/6s=")</f>
        <v>#VALUE!</v>
      </c>
      <c r="FQ112" t="e">
        <f>AND(Liste!G586,"AAAAAH2z/6w=")</f>
        <v>#VALUE!</v>
      </c>
      <c r="FR112" t="e">
        <f>AND(Liste!H586,"AAAAAH2z/60=")</f>
        <v>#VALUE!</v>
      </c>
      <c r="FS112" t="e">
        <f>AND(Liste!I586,"AAAAAH2z/64=")</f>
        <v>#VALUE!</v>
      </c>
      <c r="FT112" t="e">
        <f>AND(Liste!J586,"AAAAAH2z/68=")</f>
        <v>#VALUE!</v>
      </c>
      <c r="FU112" t="e">
        <f>AND(Liste!#REF!,"AAAAAH2z/7A=")</f>
        <v>#REF!</v>
      </c>
      <c r="FV112" t="e">
        <f>AND(Liste!#REF!,"AAAAAH2z/7E=")</f>
        <v>#REF!</v>
      </c>
      <c r="FW112" t="e">
        <f>AND(Liste!#REF!,"AAAAAH2z/7I=")</f>
        <v>#REF!</v>
      </c>
      <c r="FX112" t="e">
        <f>AND(Liste!#REF!,"AAAAAH2z/7M=")</f>
        <v>#REF!</v>
      </c>
      <c r="FY112" t="e">
        <f>AND(Liste!#REF!,"AAAAAH2z/7Q=")</f>
        <v>#REF!</v>
      </c>
      <c r="FZ112" t="e">
        <f>AND(Liste!#REF!,"AAAAAH2z/7U=")</f>
        <v>#REF!</v>
      </c>
      <c r="GA112" t="e">
        <f>AND(Liste!#REF!,"AAAAAH2z/7Y=")</f>
        <v>#REF!</v>
      </c>
      <c r="GB112" t="e">
        <f>AND(Liste!#REF!,"AAAAAH2z/7c=")</f>
        <v>#REF!</v>
      </c>
      <c r="GC112" t="e">
        <f>AND(Liste!#REF!,"AAAAAH2z/7g=")</f>
        <v>#REF!</v>
      </c>
      <c r="GD112" t="e">
        <f>AND(Liste!#REF!,"AAAAAH2z/7k=")</f>
        <v>#REF!</v>
      </c>
      <c r="GE112" t="e">
        <f>AND(Liste!#REF!,"AAAAAH2z/7o=")</f>
        <v>#REF!</v>
      </c>
      <c r="GF112" t="e">
        <f>AND(Liste!#REF!,"AAAAAH2z/7s=")</f>
        <v>#REF!</v>
      </c>
      <c r="GG112" t="e">
        <f>AND(Liste!#REF!,"AAAAAH2z/7w=")</f>
        <v>#REF!</v>
      </c>
      <c r="GH112" t="e">
        <f>AND(Liste!#REF!,"AAAAAH2z/70=")</f>
        <v>#REF!</v>
      </c>
      <c r="GI112" t="e">
        <f>AND(Liste!#REF!,"AAAAAH2z/74=")</f>
        <v>#REF!</v>
      </c>
      <c r="GJ112" t="e">
        <f>AND(Liste!#REF!,"AAAAAH2z/78=")</f>
        <v>#REF!</v>
      </c>
      <c r="GK112" t="e">
        <f>AND(Liste!#REF!,"AAAAAH2z/8A=")</f>
        <v>#REF!</v>
      </c>
      <c r="GL112" t="e">
        <f>AND(Liste!#REF!,"AAAAAH2z/8E=")</f>
        <v>#REF!</v>
      </c>
      <c r="GM112" t="e">
        <f>AND(Liste!#REF!,"AAAAAH2z/8I=")</f>
        <v>#REF!</v>
      </c>
      <c r="GN112" t="e">
        <f>AND(Liste!#REF!,"AAAAAH2z/8M=")</f>
        <v>#REF!</v>
      </c>
      <c r="GO112" t="e">
        <f>AND(Liste!#REF!,"AAAAAH2z/8Q=")</f>
        <v>#REF!</v>
      </c>
      <c r="GP112">
        <f>IF(Liste!587:587,"AAAAAH2z/8U=",0)</f>
        <v>0</v>
      </c>
      <c r="GQ112" t="b">
        <f>AND(Liste!A587,"AAAAAH2z/8Y=")</f>
        <v>1</v>
      </c>
      <c r="GR112" t="e">
        <f>AND(Liste!#REF!,"AAAAAH2z/8c=")</f>
        <v>#REF!</v>
      </c>
      <c r="GS112" t="e">
        <f>AND(Liste!#REF!,"AAAAAH2z/8g=")</f>
        <v>#REF!</v>
      </c>
      <c r="GT112" t="e">
        <f>AND(Liste!#REF!,"AAAAAH2z/8k=")</f>
        <v>#REF!</v>
      </c>
      <c r="GU112" t="e">
        <f>AND(Liste!F587,"AAAAAH2z/8o=")</f>
        <v>#VALUE!</v>
      </c>
      <c r="GV112" t="e">
        <f>AND(Liste!G587,"AAAAAH2z/8s=")</f>
        <v>#VALUE!</v>
      </c>
      <c r="GW112" t="e">
        <f>AND(Liste!H587,"AAAAAH2z/8w=")</f>
        <v>#VALUE!</v>
      </c>
      <c r="GX112" t="e">
        <f>AND(Liste!I587,"AAAAAH2z/80=")</f>
        <v>#VALUE!</v>
      </c>
      <c r="GY112" t="e">
        <f>AND(Liste!J587,"AAAAAH2z/84=")</f>
        <v>#VALUE!</v>
      </c>
      <c r="GZ112" t="e">
        <f>AND(Liste!#REF!,"AAAAAH2z/88=")</f>
        <v>#REF!</v>
      </c>
      <c r="HA112" t="e">
        <f>AND(Liste!#REF!,"AAAAAH2z/9A=")</f>
        <v>#REF!</v>
      </c>
      <c r="HB112" t="e">
        <f>AND(Liste!#REF!,"AAAAAH2z/9E=")</f>
        <v>#REF!</v>
      </c>
      <c r="HC112" t="e">
        <f>AND(Liste!#REF!,"AAAAAH2z/9I=")</f>
        <v>#REF!</v>
      </c>
      <c r="HD112" t="e">
        <f>AND(Liste!#REF!,"AAAAAH2z/9M=")</f>
        <v>#REF!</v>
      </c>
      <c r="HE112" t="e">
        <f>AND(Liste!#REF!,"AAAAAH2z/9Q=")</f>
        <v>#REF!</v>
      </c>
      <c r="HF112" t="e">
        <f>AND(Liste!#REF!,"AAAAAH2z/9U=")</f>
        <v>#REF!</v>
      </c>
      <c r="HG112" t="e">
        <f>AND(Liste!#REF!,"AAAAAH2z/9Y=")</f>
        <v>#REF!</v>
      </c>
      <c r="HH112" t="e">
        <f>AND(Liste!#REF!,"AAAAAH2z/9c=")</f>
        <v>#REF!</v>
      </c>
      <c r="HI112" t="e">
        <f>AND(Liste!#REF!,"AAAAAH2z/9g=")</f>
        <v>#REF!</v>
      </c>
      <c r="HJ112" t="e">
        <f>AND(Liste!#REF!,"AAAAAH2z/9k=")</f>
        <v>#REF!</v>
      </c>
      <c r="HK112" t="e">
        <f>AND(Liste!#REF!,"AAAAAH2z/9o=")</f>
        <v>#REF!</v>
      </c>
      <c r="HL112" t="e">
        <f>AND(Liste!#REF!,"AAAAAH2z/9s=")</f>
        <v>#REF!</v>
      </c>
      <c r="HM112" t="e">
        <f>AND(Liste!#REF!,"AAAAAH2z/9w=")</f>
        <v>#REF!</v>
      </c>
      <c r="HN112" t="e">
        <f>AND(Liste!#REF!,"AAAAAH2z/90=")</f>
        <v>#REF!</v>
      </c>
      <c r="HO112" t="e">
        <f>AND(Liste!#REF!,"AAAAAH2z/94=")</f>
        <v>#REF!</v>
      </c>
      <c r="HP112" t="e">
        <f>AND(Liste!#REF!,"AAAAAH2z/98=")</f>
        <v>#REF!</v>
      </c>
      <c r="HQ112" t="e">
        <f>AND(Liste!#REF!,"AAAAAH2z/+A=")</f>
        <v>#REF!</v>
      </c>
      <c r="HR112" t="e">
        <f>AND(Liste!#REF!,"AAAAAH2z/+E=")</f>
        <v>#REF!</v>
      </c>
      <c r="HS112" t="e">
        <f>AND(Liste!#REF!,"AAAAAH2z/+I=")</f>
        <v>#REF!</v>
      </c>
      <c r="HT112" t="e">
        <f>AND(Liste!#REF!,"AAAAAH2z/+M=")</f>
        <v>#REF!</v>
      </c>
      <c r="HU112">
        <f>IF(Liste!588:588,"AAAAAH2z/+Q=",0)</f>
        <v>0</v>
      </c>
      <c r="HV112" t="b">
        <f>AND(Liste!A588,"AAAAAH2z/+U=")</f>
        <v>1</v>
      </c>
      <c r="HW112" t="e">
        <f>AND(Liste!#REF!,"AAAAAH2z/+Y=")</f>
        <v>#REF!</v>
      </c>
      <c r="HX112" t="e">
        <f>AND(Liste!#REF!,"AAAAAH2z/+c=")</f>
        <v>#REF!</v>
      </c>
      <c r="HY112" t="e">
        <f>AND(Liste!#REF!,"AAAAAH2z/+g=")</f>
        <v>#REF!</v>
      </c>
      <c r="HZ112" t="e">
        <f>AND(Liste!F588,"AAAAAH2z/+k=")</f>
        <v>#VALUE!</v>
      </c>
      <c r="IA112" t="e">
        <f>AND(Liste!G588,"AAAAAH2z/+o=")</f>
        <v>#VALUE!</v>
      </c>
      <c r="IB112" t="e">
        <f>AND(Liste!H588,"AAAAAH2z/+s=")</f>
        <v>#VALUE!</v>
      </c>
      <c r="IC112" t="e">
        <f>AND(Liste!I588,"AAAAAH2z/+w=")</f>
        <v>#VALUE!</v>
      </c>
      <c r="ID112" t="e">
        <f>AND(Liste!J588,"AAAAAH2z/+0=")</f>
        <v>#VALUE!</v>
      </c>
      <c r="IE112" t="e">
        <f>AND(Liste!#REF!,"AAAAAH2z/+4=")</f>
        <v>#REF!</v>
      </c>
      <c r="IF112" t="e">
        <f>AND(Liste!#REF!,"AAAAAH2z/+8=")</f>
        <v>#REF!</v>
      </c>
      <c r="IG112" t="e">
        <f>AND(Liste!#REF!,"AAAAAH2z//A=")</f>
        <v>#REF!</v>
      </c>
      <c r="IH112" t="e">
        <f>AND(Liste!#REF!,"AAAAAH2z//E=")</f>
        <v>#REF!</v>
      </c>
      <c r="II112" t="e">
        <f>AND(Liste!#REF!,"AAAAAH2z//I=")</f>
        <v>#REF!</v>
      </c>
      <c r="IJ112" t="e">
        <f>AND(Liste!#REF!,"AAAAAH2z//M=")</f>
        <v>#REF!</v>
      </c>
      <c r="IK112" t="e">
        <f>AND(Liste!#REF!,"AAAAAH2z//Q=")</f>
        <v>#REF!</v>
      </c>
      <c r="IL112" t="e">
        <f>AND(Liste!#REF!,"AAAAAH2z//U=")</f>
        <v>#REF!</v>
      </c>
      <c r="IM112" t="e">
        <f>AND(Liste!#REF!,"AAAAAH2z//Y=")</f>
        <v>#REF!</v>
      </c>
      <c r="IN112" t="e">
        <f>AND(Liste!#REF!,"AAAAAH2z//c=")</f>
        <v>#REF!</v>
      </c>
      <c r="IO112" t="e">
        <f>AND(Liste!#REF!,"AAAAAH2z//g=")</f>
        <v>#REF!</v>
      </c>
      <c r="IP112" t="e">
        <f>AND(Liste!#REF!,"AAAAAH2z//k=")</f>
        <v>#REF!</v>
      </c>
      <c r="IQ112" t="e">
        <f>AND(Liste!#REF!,"AAAAAH2z//o=")</f>
        <v>#REF!</v>
      </c>
      <c r="IR112" t="e">
        <f>AND(Liste!#REF!,"AAAAAH2z//s=")</f>
        <v>#REF!</v>
      </c>
      <c r="IS112" t="e">
        <f>AND(Liste!#REF!,"AAAAAH2z//w=")</f>
        <v>#REF!</v>
      </c>
      <c r="IT112" t="e">
        <f>AND(Liste!#REF!,"AAAAAH2z//0=")</f>
        <v>#REF!</v>
      </c>
      <c r="IU112" t="e">
        <f>AND(Liste!#REF!,"AAAAAH2z//4=")</f>
        <v>#REF!</v>
      </c>
      <c r="IV112" t="e">
        <f>AND(Liste!#REF!,"AAAAAH2z//8=")</f>
        <v>#REF!</v>
      </c>
    </row>
    <row r="113" spans="1:256" x14ac:dyDescent="0.2">
      <c r="A113" t="e">
        <f>AND(Liste!#REF!,"AAAAAHt7/wA=")</f>
        <v>#REF!</v>
      </c>
      <c r="B113" t="e">
        <f>AND(Liste!#REF!,"AAAAAHt7/wE=")</f>
        <v>#REF!</v>
      </c>
      <c r="C113" t="e">
        <f>AND(Liste!#REF!,"AAAAAHt7/wI=")</f>
        <v>#REF!</v>
      </c>
      <c r="D113" t="e">
        <f>IF(Liste!589:589,"AAAAAHt7/wM=",0)</f>
        <v>#VALUE!</v>
      </c>
      <c r="E113" t="b">
        <f>AND(Liste!A589,"AAAAAHt7/wQ=")</f>
        <v>1</v>
      </c>
      <c r="F113" t="e">
        <f>AND(Liste!#REF!,"AAAAAHt7/wU=")</f>
        <v>#REF!</v>
      </c>
      <c r="G113" t="e">
        <f>AND(Liste!#REF!,"AAAAAHt7/wY=")</f>
        <v>#REF!</v>
      </c>
      <c r="H113" t="e">
        <f>AND(Liste!#REF!,"AAAAAHt7/wc=")</f>
        <v>#REF!</v>
      </c>
      <c r="I113" t="e">
        <f>AND(Liste!F589,"AAAAAHt7/wg=")</f>
        <v>#VALUE!</v>
      </c>
      <c r="J113" t="e">
        <f>AND(Liste!G589,"AAAAAHt7/wk=")</f>
        <v>#VALUE!</v>
      </c>
      <c r="K113" t="e">
        <f>AND(Liste!H589,"AAAAAHt7/wo=")</f>
        <v>#VALUE!</v>
      </c>
      <c r="L113" t="e">
        <f>AND(Liste!I589,"AAAAAHt7/ws=")</f>
        <v>#VALUE!</v>
      </c>
      <c r="M113" t="e">
        <f>AND(Liste!J589,"AAAAAHt7/ww=")</f>
        <v>#VALUE!</v>
      </c>
      <c r="N113" t="e">
        <f>AND(Liste!#REF!,"AAAAAHt7/w0=")</f>
        <v>#REF!</v>
      </c>
      <c r="O113" t="e">
        <f>AND(Liste!#REF!,"AAAAAHt7/w4=")</f>
        <v>#REF!</v>
      </c>
      <c r="P113" t="e">
        <f>AND(Liste!#REF!,"AAAAAHt7/w8=")</f>
        <v>#REF!</v>
      </c>
      <c r="Q113" t="e">
        <f>AND(Liste!#REF!,"AAAAAHt7/xA=")</f>
        <v>#REF!</v>
      </c>
      <c r="R113" t="e">
        <f>AND(Liste!#REF!,"AAAAAHt7/xE=")</f>
        <v>#REF!</v>
      </c>
      <c r="S113" t="e">
        <f>AND(Liste!#REF!,"AAAAAHt7/xI=")</f>
        <v>#REF!</v>
      </c>
      <c r="T113" t="e">
        <f>AND(Liste!#REF!,"AAAAAHt7/xM=")</f>
        <v>#REF!</v>
      </c>
      <c r="U113" t="e">
        <f>AND(Liste!#REF!,"AAAAAHt7/xQ=")</f>
        <v>#REF!</v>
      </c>
      <c r="V113" t="e">
        <f>AND(Liste!#REF!,"AAAAAHt7/xU=")</f>
        <v>#REF!</v>
      </c>
      <c r="W113" t="e">
        <f>AND(Liste!#REF!,"AAAAAHt7/xY=")</f>
        <v>#REF!</v>
      </c>
      <c r="X113" t="e">
        <f>AND(Liste!#REF!,"AAAAAHt7/xc=")</f>
        <v>#REF!</v>
      </c>
      <c r="Y113" t="e">
        <f>AND(Liste!#REF!,"AAAAAHt7/xg=")</f>
        <v>#REF!</v>
      </c>
      <c r="Z113" t="e">
        <f>AND(Liste!#REF!,"AAAAAHt7/xk=")</f>
        <v>#REF!</v>
      </c>
      <c r="AA113" t="e">
        <f>AND(Liste!#REF!,"AAAAAHt7/xo=")</f>
        <v>#REF!</v>
      </c>
      <c r="AB113" t="e">
        <f>AND(Liste!#REF!,"AAAAAHt7/xs=")</f>
        <v>#REF!</v>
      </c>
      <c r="AC113" t="e">
        <f>AND(Liste!#REF!,"AAAAAHt7/xw=")</f>
        <v>#REF!</v>
      </c>
      <c r="AD113" t="e">
        <f>AND(Liste!#REF!,"AAAAAHt7/x0=")</f>
        <v>#REF!</v>
      </c>
      <c r="AE113" t="e">
        <f>AND(Liste!#REF!,"AAAAAHt7/x4=")</f>
        <v>#REF!</v>
      </c>
      <c r="AF113" t="e">
        <f>AND(Liste!#REF!,"AAAAAHt7/x8=")</f>
        <v>#REF!</v>
      </c>
      <c r="AG113" t="e">
        <f>AND(Liste!#REF!,"AAAAAHt7/yA=")</f>
        <v>#REF!</v>
      </c>
      <c r="AH113" t="e">
        <f>AND(Liste!#REF!,"AAAAAHt7/yE=")</f>
        <v>#REF!</v>
      </c>
      <c r="AI113">
        <f>IF(Liste!590:590,"AAAAAHt7/yI=",0)</f>
        <v>0</v>
      </c>
      <c r="AJ113" t="b">
        <f>AND(Liste!A590,"AAAAAHt7/yM=")</f>
        <v>1</v>
      </c>
      <c r="AK113" t="e">
        <f>AND(Liste!#REF!,"AAAAAHt7/yQ=")</f>
        <v>#REF!</v>
      </c>
      <c r="AL113" t="e">
        <f>AND(Liste!#REF!,"AAAAAHt7/yU=")</f>
        <v>#REF!</v>
      </c>
      <c r="AM113" t="e">
        <f>AND(Liste!#REF!,"AAAAAHt7/yY=")</f>
        <v>#REF!</v>
      </c>
      <c r="AN113" t="e">
        <f>AND(Liste!F590,"AAAAAHt7/yc=")</f>
        <v>#VALUE!</v>
      </c>
      <c r="AO113" t="e">
        <f>AND(Liste!G590,"AAAAAHt7/yg=")</f>
        <v>#VALUE!</v>
      </c>
      <c r="AP113" t="e">
        <f>AND(Liste!H590,"AAAAAHt7/yk=")</f>
        <v>#VALUE!</v>
      </c>
      <c r="AQ113" t="e">
        <f>AND(Liste!I590,"AAAAAHt7/yo=")</f>
        <v>#VALUE!</v>
      </c>
      <c r="AR113" t="e">
        <f>AND(Liste!J590,"AAAAAHt7/ys=")</f>
        <v>#VALUE!</v>
      </c>
      <c r="AS113" t="e">
        <f>AND(Liste!#REF!,"AAAAAHt7/yw=")</f>
        <v>#REF!</v>
      </c>
      <c r="AT113" t="e">
        <f>AND(Liste!#REF!,"AAAAAHt7/y0=")</f>
        <v>#REF!</v>
      </c>
      <c r="AU113" t="e">
        <f>AND(Liste!#REF!,"AAAAAHt7/y4=")</f>
        <v>#REF!</v>
      </c>
      <c r="AV113" t="e">
        <f>AND(Liste!#REF!,"AAAAAHt7/y8=")</f>
        <v>#REF!</v>
      </c>
      <c r="AW113" t="e">
        <f>AND(Liste!#REF!,"AAAAAHt7/zA=")</f>
        <v>#REF!</v>
      </c>
      <c r="AX113" t="e">
        <f>AND(Liste!#REF!,"AAAAAHt7/zE=")</f>
        <v>#REF!</v>
      </c>
      <c r="AY113" t="e">
        <f>AND(Liste!#REF!,"AAAAAHt7/zI=")</f>
        <v>#REF!</v>
      </c>
      <c r="AZ113" t="e">
        <f>AND(Liste!#REF!,"AAAAAHt7/zM=")</f>
        <v>#REF!</v>
      </c>
      <c r="BA113" t="e">
        <f>AND(Liste!#REF!,"AAAAAHt7/zQ=")</f>
        <v>#REF!</v>
      </c>
      <c r="BB113" t="e">
        <f>AND(Liste!#REF!,"AAAAAHt7/zU=")</f>
        <v>#REF!</v>
      </c>
      <c r="BC113" t="e">
        <f>AND(Liste!#REF!,"AAAAAHt7/zY=")</f>
        <v>#REF!</v>
      </c>
      <c r="BD113" t="e">
        <f>AND(Liste!#REF!,"AAAAAHt7/zc=")</f>
        <v>#REF!</v>
      </c>
      <c r="BE113" t="e">
        <f>AND(Liste!#REF!,"AAAAAHt7/zg=")</f>
        <v>#REF!</v>
      </c>
      <c r="BF113" t="e">
        <f>AND(Liste!#REF!,"AAAAAHt7/zk=")</f>
        <v>#REF!</v>
      </c>
      <c r="BG113" t="e">
        <f>AND(Liste!#REF!,"AAAAAHt7/zo=")</f>
        <v>#REF!</v>
      </c>
      <c r="BH113" t="e">
        <f>AND(Liste!#REF!,"AAAAAHt7/zs=")</f>
        <v>#REF!</v>
      </c>
      <c r="BI113" t="e">
        <f>AND(Liste!#REF!,"AAAAAHt7/zw=")</f>
        <v>#REF!</v>
      </c>
      <c r="BJ113" t="e">
        <f>AND(Liste!#REF!,"AAAAAHt7/z0=")</f>
        <v>#REF!</v>
      </c>
      <c r="BK113" t="e">
        <f>AND(Liste!#REF!,"AAAAAHt7/z4=")</f>
        <v>#REF!</v>
      </c>
      <c r="BL113" t="e">
        <f>AND(Liste!#REF!,"AAAAAHt7/z8=")</f>
        <v>#REF!</v>
      </c>
      <c r="BM113" t="e">
        <f>AND(Liste!#REF!,"AAAAAHt7/0A=")</f>
        <v>#REF!</v>
      </c>
      <c r="BN113">
        <f>IF(Liste!591:591,"AAAAAHt7/0E=",0)</f>
        <v>0</v>
      </c>
      <c r="BO113" t="b">
        <f>AND(Liste!A591,"AAAAAHt7/0I=")</f>
        <v>1</v>
      </c>
      <c r="BP113" t="e">
        <f>AND(Liste!#REF!,"AAAAAHt7/0M=")</f>
        <v>#REF!</v>
      </c>
      <c r="BQ113" t="e">
        <f>AND(Liste!#REF!,"AAAAAHt7/0Q=")</f>
        <v>#REF!</v>
      </c>
      <c r="BR113" t="e">
        <f>AND(Liste!#REF!,"AAAAAHt7/0U=")</f>
        <v>#REF!</v>
      </c>
      <c r="BS113" t="e">
        <f>AND(Liste!F591,"AAAAAHt7/0Y=")</f>
        <v>#VALUE!</v>
      </c>
      <c r="BT113" t="e">
        <f>AND(Liste!G591,"AAAAAHt7/0c=")</f>
        <v>#VALUE!</v>
      </c>
      <c r="BU113" t="e">
        <f>AND(Liste!H591,"AAAAAHt7/0g=")</f>
        <v>#VALUE!</v>
      </c>
      <c r="BV113" t="e">
        <f>AND(Liste!I591,"AAAAAHt7/0k=")</f>
        <v>#VALUE!</v>
      </c>
      <c r="BW113" t="e">
        <f>AND(Liste!J591,"AAAAAHt7/0o=")</f>
        <v>#VALUE!</v>
      </c>
      <c r="BX113" t="e">
        <f>AND(Liste!#REF!,"AAAAAHt7/0s=")</f>
        <v>#REF!</v>
      </c>
      <c r="BY113" t="e">
        <f>AND(Liste!#REF!,"AAAAAHt7/0w=")</f>
        <v>#REF!</v>
      </c>
      <c r="BZ113" t="e">
        <f>AND(Liste!#REF!,"AAAAAHt7/00=")</f>
        <v>#REF!</v>
      </c>
      <c r="CA113" t="e">
        <f>AND(Liste!#REF!,"AAAAAHt7/04=")</f>
        <v>#REF!</v>
      </c>
      <c r="CB113" t="e">
        <f>AND(Liste!#REF!,"AAAAAHt7/08=")</f>
        <v>#REF!</v>
      </c>
      <c r="CC113" t="e">
        <f>AND(Liste!#REF!,"AAAAAHt7/1A=")</f>
        <v>#REF!</v>
      </c>
      <c r="CD113" t="e">
        <f>AND(Liste!#REF!,"AAAAAHt7/1E=")</f>
        <v>#REF!</v>
      </c>
      <c r="CE113" t="e">
        <f>AND(Liste!#REF!,"AAAAAHt7/1I=")</f>
        <v>#REF!</v>
      </c>
      <c r="CF113" t="e">
        <f>AND(Liste!#REF!,"AAAAAHt7/1M=")</f>
        <v>#REF!</v>
      </c>
      <c r="CG113" t="e">
        <f>AND(Liste!#REF!,"AAAAAHt7/1Q=")</f>
        <v>#REF!</v>
      </c>
      <c r="CH113" t="e">
        <f>AND(Liste!#REF!,"AAAAAHt7/1U=")</f>
        <v>#REF!</v>
      </c>
      <c r="CI113" t="e">
        <f>AND(Liste!#REF!,"AAAAAHt7/1Y=")</f>
        <v>#REF!</v>
      </c>
      <c r="CJ113" t="e">
        <f>AND(Liste!#REF!,"AAAAAHt7/1c=")</f>
        <v>#REF!</v>
      </c>
      <c r="CK113" t="e">
        <f>AND(Liste!#REF!,"AAAAAHt7/1g=")</f>
        <v>#REF!</v>
      </c>
      <c r="CL113" t="e">
        <f>AND(Liste!#REF!,"AAAAAHt7/1k=")</f>
        <v>#REF!</v>
      </c>
      <c r="CM113" t="e">
        <f>AND(Liste!#REF!,"AAAAAHt7/1o=")</f>
        <v>#REF!</v>
      </c>
      <c r="CN113" t="e">
        <f>AND(Liste!#REF!,"AAAAAHt7/1s=")</f>
        <v>#REF!</v>
      </c>
      <c r="CO113" t="e">
        <f>AND(Liste!#REF!,"AAAAAHt7/1w=")</f>
        <v>#REF!</v>
      </c>
      <c r="CP113" t="e">
        <f>AND(Liste!#REF!,"AAAAAHt7/10=")</f>
        <v>#REF!</v>
      </c>
      <c r="CQ113" t="e">
        <f>AND(Liste!#REF!,"AAAAAHt7/14=")</f>
        <v>#REF!</v>
      </c>
      <c r="CR113" t="e">
        <f>AND(Liste!#REF!,"AAAAAHt7/18=")</f>
        <v>#REF!</v>
      </c>
      <c r="CS113">
        <f>IF(Liste!592:592,"AAAAAHt7/2A=",0)</f>
        <v>0</v>
      </c>
      <c r="CT113" t="b">
        <f>AND(Liste!A592,"AAAAAHt7/2E=")</f>
        <v>1</v>
      </c>
      <c r="CU113" t="e">
        <f>AND(Liste!#REF!,"AAAAAHt7/2I=")</f>
        <v>#REF!</v>
      </c>
      <c r="CV113" t="e">
        <f>AND(Liste!#REF!,"AAAAAHt7/2M=")</f>
        <v>#REF!</v>
      </c>
      <c r="CW113" t="e">
        <f>AND(Liste!#REF!,"AAAAAHt7/2Q=")</f>
        <v>#REF!</v>
      </c>
      <c r="CX113" t="e">
        <f>AND(Liste!F592,"AAAAAHt7/2U=")</f>
        <v>#VALUE!</v>
      </c>
      <c r="CY113" t="e">
        <f>AND(Liste!G592,"AAAAAHt7/2Y=")</f>
        <v>#VALUE!</v>
      </c>
      <c r="CZ113" t="e">
        <f>AND(Liste!H592,"AAAAAHt7/2c=")</f>
        <v>#VALUE!</v>
      </c>
      <c r="DA113" t="e">
        <f>AND(Liste!I592,"AAAAAHt7/2g=")</f>
        <v>#VALUE!</v>
      </c>
      <c r="DB113" t="e">
        <f>AND(Liste!J592,"AAAAAHt7/2k=")</f>
        <v>#VALUE!</v>
      </c>
      <c r="DC113" t="e">
        <f>AND(Liste!#REF!,"AAAAAHt7/2o=")</f>
        <v>#REF!</v>
      </c>
      <c r="DD113" t="e">
        <f>AND(Liste!#REF!,"AAAAAHt7/2s=")</f>
        <v>#REF!</v>
      </c>
      <c r="DE113" t="e">
        <f>AND(Liste!#REF!,"AAAAAHt7/2w=")</f>
        <v>#REF!</v>
      </c>
      <c r="DF113" t="e">
        <f>AND(Liste!#REF!,"AAAAAHt7/20=")</f>
        <v>#REF!</v>
      </c>
      <c r="DG113" t="e">
        <f>AND(Liste!#REF!,"AAAAAHt7/24=")</f>
        <v>#REF!</v>
      </c>
      <c r="DH113" t="e">
        <f>AND(Liste!#REF!,"AAAAAHt7/28=")</f>
        <v>#REF!</v>
      </c>
      <c r="DI113" t="e">
        <f>AND(Liste!#REF!,"AAAAAHt7/3A=")</f>
        <v>#REF!</v>
      </c>
      <c r="DJ113" t="e">
        <f>AND(Liste!#REF!,"AAAAAHt7/3E=")</f>
        <v>#REF!</v>
      </c>
      <c r="DK113" t="e">
        <f>AND(Liste!#REF!,"AAAAAHt7/3I=")</f>
        <v>#REF!</v>
      </c>
      <c r="DL113" t="e">
        <f>AND(Liste!#REF!,"AAAAAHt7/3M=")</f>
        <v>#REF!</v>
      </c>
      <c r="DM113" t="e">
        <f>AND(Liste!#REF!,"AAAAAHt7/3Q=")</f>
        <v>#REF!</v>
      </c>
      <c r="DN113" t="e">
        <f>AND(Liste!#REF!,"AAAAAHt7/3U=")</f>
        <v>#REF!</v>
      </c>
      <c r="DO113" t="e">
        <f>AND(Liste!#REF!,"AAAAAHt7/3Y=")</f>
        <v>#REF!</v>
      </c>
      <c r="DP113" t="e">
        <f>AND(Liste!#REF!,"AAAAAHt7/3c=")</f>
        <v>#REF!</v>
      </c>
      <c r="DQ113" t="e">
        <f>AND(Liste!#REF!,"AAAAAHt7/3g=")</f>
        <v>#REF!</v>
      </c>
      <c r="DR113" t="e">
        <f>AND(Liste!#REF!,"AAAAAHt7/3k=")</f>
        <v>#REF!</v>
      </c>
      <c r="DS113" t="e">
        <f>AND(Liste!#REF!,"AAAAAHt7/3o=")</f>
        <v>#REF!</v>
      </c>
      <c r="DT113" t="e">
        <f>AND(Liste!#REF!,"AAAAAHt7/3s=")</f>
        <v>#REF!</v>
      </c>
      <c r="DU113" t="e">
        <f>AND(Liste!#REF!,"AAAAAHt7/3w=")</f>
        <v>#REF!</v>
      </c>
      <c r="DV113" t="e">
        <f>AND(Liste!#REF!,"AAAAAHt7/30=")</f>
        <v>#REF!</v>
      </c>
      <c r="DW113" t="e">
        <f>AND(Liste!#REF!,"AAAAAHt7/34=")</f>
        <v>#REF!</v>
      </c>
      <c r="DX113">
        <f>IF(Liste!593:593,"AAAAAHt7/38=",0)</f>
        <v>0</v>
      </c>
      <c r="DY113" t="b">
        <f>AND(Liste!A593,"AAAAAHt7/4A=")</f>
        <v>1</v>
      </c>
      <c r="DZ113" t="e">
        <f>AND(Liste!#REF!,"AAAAAHt7/4E=")</f>
        <v>#REF!</v>
      </c>
      <c r="EA113" t="e">
        <f>AND(Liste!#REF!,"AAAAAHt7/4I=")</f>
        <v>#REF!</v>
      </c>
      <c r="EB113" t="e">
        <f>AND(Liste!#REF!,"AAAAAHt7/4M=")</f>
        <v>#REF!</v>
      </c>
      <c r="EC113" t="e">
        <f>AND(Liste!F593,"AAAAAHt7/4Q=")</f>
        <v>#VALUE!</v>
      </c>
      <c r="ED113" t="e">
        <f>AND(Liste!G593,"AAAAAHt7/4U=")</f>
        <v>#VALUE!</v>
      </c>
      <c r="EE113" t="e">
        <f>AND(Liste!H593,"AAAAAHt7/4Y=")</f>
        <v>#VALUE!</v>
      </c>
      <c r="EF113" t="e">
        <f>AND(Liste!I593,"AAAAAHt7/4c=")</f>
        <v>#VALUE!</v>
      </c>
      <c r="EG113" t="e">
        <f>AND(Liste!J593,"AAAAAHt7/4g=")</f>
        <v>#VALUE!</v>
      </c>
      <c r="EH113" t="e">
        <f>AND(Liste!#REF!,"AAAAAHt7/4k=")</f>
        <v>#REF!</v>
      </c>
      <c r="EI113" t="e">
        <f>AND(Liste!#REF!,"AAAAAHt7/4o=")</f>
        <v>#REF!</v>
      </c>
      <c r="EJ113" t="e">
        <f>AND(Liste!#REF!,"AAAAAHt7/4s=")</f>
        <v>#REF!</v>
      </c>
      <c r="EK113" t="e">
        <f>AND(Liste!#REF!,"AAAAAHt7/4w=")</f>
        <v>#REF!</v>
      </c>
      <c r="EL113" t="e">
        <f>AND(Liste!#REF!,"AAAAAHt7/40=")</f>
        <v>#REF!</v>
      </c>
      <c r="EM113" t="e">
        <f>AND(Liste!#REF!,"AAAAAHt7/44=")</f>
        <v>#REF!</v>
      </c>
      <c r="EN113" t="e">
        <f>AND(Liste!#REF!,"AAAAAHt7/48=")</f>
        <v>#REF!</v>
      </c>
      <c r="EO113" t="e">
        <f>AND(Liste!#REF!,"AAAAAHt7/5A=")</f>
        <v>#REF!</v>
      </c>
      <c r="EP113" t="e">
        <f>AND(Liste!#REF!,"AAAAAHt7/5E=")</f>
        <v>#REF!</v>
      </c>
      <c r="EQ113" t="e">
        <f>AND(Liste!#REF!,"AAAAAHt7/5I=")</f>
        <v>#REF!</v>
      </c>
      <c r="ER113" t="e">
        <f>AND(Liste!#REF!,"AAAAAHt7/5M=")</f>
        <v>#REF!</v>
      </c>
      <c r="ES113" t="e">
        <f>AND(Liste!#REF!,"AAAAAHt7/5Q=")</f>
        <v>#REF!</v>
      </c>
      <c r="ET113" t="e">
        <f>AND(Liste!#REF!,"AAAAAHt7/5U=")</f>
        <v>#REF!</v>
      </c>
      <c r="EU113" t="e">
        <f>AND(Liste!#REF!,"AAAAAHt7/5Y=")</f>
        <v>#REF!</v>
      </c>
      <c r="EV113" t="e">
        <f>AND(Liste!#REF!,"AAAAAHt7/5c=")</f>
        <v>#REF!</v>
      </c>
      <c r="EW113" t="e">
        <f>AND(Liste!#REF!,"AAAAAHt7/5g=")</f>
        <v>#REF!</v>
      </c>
      <c r="EX113" t="e">
        <f>AND(Liste!#REF!,"AAAAAHt7/5k=")</f>
        <v>#REF!</v>
      </c>
      <c r="EY113" t="e">
        <f>AND(Liste!#REF!,"AAAAAHt7/5o=")</f>
        <v>#REF!</v>
      </c>
      <c r="EZ113" t="e">
        <f>AND(Liste!#REF!,"AAAAAHt7/5s=")</f>
        <v>#REF!</v>
      </c>
      <c r="FA113" t="e">
        <f>AND(Liste!#REF!,"AAAAAHt7/5w=")</f>
        <v>#REF!</v>
      </c>
      <c r="FB113" t="e">
        <f>AND(Liste!#REF!,"AAAAAHt7/50=")</f>
        <v>#REF!</v>
      </c>
      <c r="FC113">
        <f>IF(Liste!594:594,"AAAAAHt7/54=",0)</f>
        <v>0</v>
      </c>
      <c r="FD113" t="b">
        <f>AND(Liste!A594,"AAAAAHt7/58=")</f>
        <v>1</v>
      </c>
      <c r="FE113" t="e">
        <f>AND(Liste!#REF!,"AAAAAHt7/6A=")</f>
        <v>#REF!</v>
      </c>
      <c r="FF113" t="e">
        <f>AND(Liste!#REF!,"AAAAAHt7/6E=")</f>
        <v>#REF!</v>
      </c>
      <c r="FG113" t="e">
        <f>AND(Liste!#REF!,"AAAAAHt7/6I=")</f>
        <v>#REF!</v>
      </c>
      <c r="FH113" t="e">
        <f>AND(Liste!F594,"AAAAAHt7/6M=")</f>
        <v>#VALUE!</v>
      </c>
      <c r="FI113" t="e">
        <f>AND(Liste!G594,"AAAAAHt7/6Q=")</f>
        <v>#VALUE!</v>
      </c>
      <c r="FJ113" t="e">
        <f>AND(Liste!H594,"AAAAAHt7/6U=")</f>
        <v>#VALUE!</v>
      </c>
      <c r="FK113" t="e">
        <f>AND(Liste!I594,"AAAAAHt7/6Y=")</f>
        <v>#VALUE!</v>
      </c>
      <c r="FL113" t="e">
        <f>AND(Liste!J594,"AAAAAHt7/6c=")</f>
        <v>#VALUE!</v>
      </c>
      <c r="FM113" t="e">
        <f>AND(Liste!#REF!,"AAAAAHt7/6g=")</f>
        <v>#REF!</v>
      </c>
      <c r="FN113" t="e">
        <f>AND(Liste!#REF!,"AAAAAHt7/6k=")</f>
        <v>#REF!</v>
      </c>
      <c r="FO113" t="e">
        <f>AND(Liste!#REF!,"AAAAAHt7/6o=")</f>
        <v>#REF!</v>
      </c>
      <c r="FP113" t="e">
        <f>AND(Liste!#REF!,"AAAAAHt7/6s=")</f>
        <v>#REF!</v>
      </c>
      <c r="FQ113" t="e">
        <f>AND(Liste!#REF!,"AAAAAHt7/6w=")</f>
        <v>#REF!</v>
      </c>
      <c r="FR113" t="e">
        <f>AND(Liste!#REF!,"AAAAAHt7/60=")</f>
        <v>#REF!</v>
      </c>
      <c r="FS113" t="e">
        <f>AND(Liste!#REF!,"AAAAAHt7/64=")</f>
        <v>#REF!</v>
      </c>
      <c r="FT113" t="e">
        <f>AND(Liste!#REF!,"AAAAAHt7/68=")</f>
        <v>#REF!</v>
      </c>
      <c r="FU113" t="e">
        <f>AND(Liste!#REF!,"AAAAAHt7/7A=")</f>
        <v>#REF!</v>
      </c>
      <c r="FV113" t="e">
        <f>AND(Liste!#REF!,"AAAAAHt7/7E=")</f>
        <v>#REF!</v>
      </c>
      <c r="FW113" t="e">
        <f>AND(Liste!#REF!,"AAAAAHt7/7I=")</f>
        <v>#REF!</v>
      </c>
      <c r="FX113" t="e">
        <f>AND(Liste!#REF!,"AAAAAHt7/7M=")</f>
        <v>#REF!</v>
      </c>
      <c r="FY113" t="e">
        <f>AND(Liste!#REF!,"AAAAAHt7/7Q=")</f>
        <v>#REF!</v>
      </c>
      <c r="FZ113" t="e">
        <f>AND(Liste!#REF!,"AAAAAHt7/7U=")</f>
        <v>#REF!</v>
      </c>
      <c r="GA113" t="e">
        <f>AND(Liste!#REF!,"AAAAAHt7/7Y=")</f>
        <v>#REF!</v>
      </c>
      <c r="GB113" t="e">
        <f>AND(Liste!#REF!,"AAAAAHt7/7c=")</f>
        <v>#REF!</v>
      </c>
      <c r="GC113" t="e">
        <f>AND(Liste!#REF!,"AAAAAHt7/7g=")</f>
        <v>#REF!</v>
      </c>
      <c r="GD113" t="e">
        <f>AND(Liste!#REF!,"AAAAAHt7/7k=")</f>
        <v>#REF!</v>
      </c>
      <c r="GE113" t="e">
        <f>AND(Liste!#REF!,"AAAAAHt7/7o=")</f>
        <v>#REF!</v>
      </c>
      <c r="GF113" t="e">
        <f>AND(Liste!#REF!,"AAAAAHt7/7s=")</f>
        <v>#REF!</v>
      </c>
      <c r="GG113" t="e">
        <f>AND(Liste!#REF!,"AAAAAHt7/7w=")</f>
        <v>#REF!</v>
      </c>
      <c r="GH113">
        <f>IF(Liste!595:595,"AAAAAHt7/70=",0)</f>
        <v>0</v>
      </c>
      <c r="GI113" t="b">
        <f>AND(Liste!A595,"AAAAAHt7/74=")</f>
        <v>1</v>
      </c>
      <c r="GJ113" t="e">
        <f>AND(Liste!#REF!,"AAAAAHt7/78=")</f>
        <v>#REF!</v>
      </c>
      <c r="GK113" t="e">
        <f>AND(Liste!#REF!,"AAAAAHt7/8A=")</f>
        <v>#REF!</v>
      </c>
      <c r="GL113" t="e">
        <f>AND(Liste!#REF!,"AAAAAHt7/8E=")</f>
        <v>#REF!</v>
      </c>
      <c r="GM113" t="e">
        <f>AND(Liste!F595,"AAAAAHt7/8I=")</f>
        <v>#VALUE!</v>
      </c>
      <c r="GN113" t="e">
        <f>AND(Liste!G595,"AAAAAHt7/8M=")</f>
        <v>#VALUE!</v>
      </c>
      <c r="GO113" t="e">
        <f>AND(Liste!H595,"AAAAAHt7/8Q=")</f>
        <v>#VALUE!</v>
      </c>
      <c r="GP113" t="e">
        <f>AND(Liste!I595,"AAAAAHt7/8U=")</f>
        <v>#VALUE!</v>
      </c>
      <c r="GQ113" t="e">
        <f>AND(Liste!J595,"AAAAAHt7/8Y=")</f>
        <v>#VALUE!</v>
      </c>
      <c r="GR113" t="e">
        <f>AND(Liste!#REF!,"AAAAAHt7/8c=")</f>
        <v>#REF!</v>
      </c>
      <c r="GS113" t="e">
        <f>AND(Liste!#REF!,"AAAAAHt7/8g=")</f>
        <v>#REF!</v>
      </c>
      <c r="GT113" t="e">
        <f>AND(Liste!#REF!,"AAAAAHt7/8k=")</f>
        <v>#REF!</v>
      </c>
      <c r="GU113" t="e">
        <f>AND(Liste!#REF!,"AAAAAHt7/8o=")</f>
        <v>#REF!</v>
      </c>
      <c r="GV113" t="e">
        <f>AND(Liste!#REF!,"AAAAAHt7/8s=")</f>
        <v>#REF!</v>
      </c>
      <c r="GW113" t="e">
        <f>AND(Liste!#REF!,"AAAAAHt7/8w=")</f>
        <v>#REF!</v>
      </c>
      <c r="GX113" t="e">
        <f>AND(Liste!#REF!,"AAAAAHt7/80=")</f>
        <v>#REF!</v>
      </c>
      <c r="GY113" t="e">
        <f>AND(Liste!#REF!,"AAAAAHt7/84=")</f>
        <v>#REF!</v>
      </c>
      <c r="GZ113" t="e">
        <f>AND(Liste!#REF!,"AAAAAHt7/88=")</f>
        <v>#REF!</v>
      </c>
      <c r="HA113" t="e">
        <f>AND(Liste!#REF!,"AAAAAHt7/9A=")</f>
        <v>#REF!</v>
      </c>
      <c r="HB113" t="e">
        <f>AND(Liste!#REF!,"AAAAAHt7/9E=")</f>
        <v>#REF!</v>
      </c>
      <c r="HC113" t="e">
        <f>AND(Liste!#REF!,"AAAAAHt7/9I=")</f>
        <v>#REF!</v>
      </c>
      <c r="HD113" t="e">
        <f>AND(Liste!#REF!,"AAAAAHt7/9M=")</f>
        <v>#REF!</v>
      </c>
      <c r="HE113" t="e">
        <f>AND(Liste!#REF!,"AAAAAHt7/9Q=")</f>
        <v>#REF!</v>
      </c>
      <c r="HF113" t="e">
        <f>AND(Liste!#REF!,"AAAAAHt7/9U=")</f>
        <v>#REF!</v>
      </c>
      <c r="HG113" t="e">
        <f>AND(Liste!#REF!,"AAAAAHt7/9Y=")</f>
        <v>#REF!</v>
      </c>
      <c r="HH113" t="e">
        <f>AND(Liste!#REF!,"AAAAAHt7/9c=")</f>
        <v>#REF!</v>
      </c>
      <c r="HI113" t="e">
        <f>AND(Liste!#REF!,"AAAAAHt7/9g=")</f>
        <v>#REF!</v>
      </c>
      <c r="HJ113" t="e">
        <f>AND(Liste!#REF!,"AAAAAHt7/9k=")</f>
        <v>#REF!</v>
      </c>
      <c r="HK113" t="e">
        <f>AND(Liste!#REF!,"AAAAAHt7/9o=")</f>
        <v>#REF!</v>
      </c>
      <c r="HL113" t="e">
        <f>AND(Liste!#REF!,"AAAAAHt7/9s=")</f>
        <v>#REF!</v>
      </c>
      <c r="HM113">
        <f>IF(Liste!596:596,"AAAAAHt7/9w=",0)</f>
        <v>0</v>
      </c>
      <c r="HN113" t="b">
        <f>AND(Liste!A596,"AAAAAHt7/90=")</f>
        <v>1</v>
      </c>
      <c r="HO113" t="e">
        <f>AND(Liste!#REF!,"AAAAAHt7/94=")</f>
        <v>#REF!</v>
      </c>
      <c r="HP113" t="e">
        <f>AND(Liste!#REF!,"AAAAAHt7/98=")</f>
        <v>#REF!</v>
      </c>
      <c r="HQ113" t="e">
        <f>AND(Liste!#REF!,"AAAAAHt7/+A=")</f>
        <v>#REF!</v>
      </c>
      <c r="HR113" t="e">
        <f>AND(Liste!F596,"AAAAAHt7/+E=")</f>
        <v>#VALUE!</v>
      </c>
      <c r="HS113" t="e">
        <f>AND(Liste!G596,"AAAAAHt7/+I=")</f>
        <v>#VALUE!</v>
      </c>
      <c r="HT113" t="e">
        <f>AND(Liste!H596,"AAAAAHt7/+M=")</f>
        <v>#VALUE!</v>
      </c>
      <c r="HU113" t="e">
        <f>AND(Liste!I596,"AAAAAHt7/+Q=")</f>
        <v>#VALUE!</v>
      </c>
      <c r="HV113" t="e">
        <f>AND(Liste!J596,"AAAAAHt7/+U=")</f>
        <v>#VALUE!</v>
      </c>
      <c r="HW113" t="e">
        <f>AND(Liste!#REF!,"AAAAAHt7/+Y=")</f>
        <v>#REF!</v>
      </c>
      <c r="HX113" t="e">
        <f>AND(Liste!#REF!,"AAAAAHt7/+c=")</f>
        <v>#REF!</v>
      </c>
      <c r="HY113" t="e">
        <f>AND(Liste!#REF!,"AAAAAHt7/+g=")</f>
        <v>#REF!</v>
      </c>
      <c r="HZ113" t="e">
        <f>AND(Liste!#REF!,"AAAAAHt7/+k=")</f>
        <v>#REF!</v>
      </c>
      <c r="IA113" t="e">
        <f>AND(Liste!#REF!,"AAAAAHt7/+o=")</f>
        <v>#REF!</v>
      </c>
      <c r="IB113" t="e">
        <f>AND(Liste!#REF!,"AAAAAHt7/+s=")</f>
        <v>#REF!</v>
      </c>
      <c r="IC113" t="e">
        <f>AND(Liste!#REF!,"AAAAAHt7/+w=")</f>
        <v>#REF!</v>
      </c>
      <c r="ID113" t="e">
        <f>AND(Liste!#REF!,"AAAAAHt7/+0=")</f>
        <v>#REF!</v>
      </c>
      <c r="IE113" t="e">
        <f>AND(Liste!#REF!,"AAAAAHt7/+4=")</f>
        <v>#REF!</v>
      </c>
      <c r="IF113" t="e">
        <f>AND(Liste!#REF!,"AAAAAHt7/+8=")</f>
        <v>#REF!</v>
      </c>
      <c r="IG113" t="e">
        <f>AND(Liste!#REF!,"AAAAAHt7//A=")</f>
        <v>#REF!</v>
      </c>
      <c r="IH113" t="e">
        <f>AND(Liste!#REF!,"AAAAAHt7//E=")</f>
        <v>#REF!</v>
      </c>
      <c r="II113" t="e">
        <f>AND(Liste!#REF!,"AAAAAHt7//I=")</f>
        <v>#REF!</v>
      </c>
      <c r="IJ113" t="e">
        <f>AND(Liste!#REF!,"AAAAAHt7//M=")</f>
        <v>#REF!</v>
      </c>
      <c r="IK113" t="e">
        <f>AND(Liste!#REF!,"AAAAAHt7//Q=")</f>
        <v>#REF!</v>
      </c>
      <c r="IL113" t="e">
        <f>AND(Liste!#REF!,"AAAAAHt7//U=")</f>
        <v>#REF!</v>
      </c>
      <c r="IM113" t="e">
        <f>AND(Liste!#REF!,"AAAAAHt7//Y=")</f>
        <v>#REF!</v>
      </c>
      <c r="IN113" t="e">
        <f>AND(Liste!#REF!,"AAAAAHt7//c=")</f>
        <v>#REF!</v>
      </c>
      <c r="IO113" t="e">
        <f>AND(Liste!#REF!,"AAAAAHt7//g=")</f>
        <v>#REF!</v>
      </c>
      <c r="IP113" t="e">
        <f>AND(Liste!#REF!,"AAAAAHt7//k=")</f>
        <v>#REF!</v>
      </c>
      <c r="IQ113" t="e">
        <f>AND(Liste!#REF!,"AAAAAHt7//o=")</f>
        <v>#REF!</v>
      </c>
      <c r="IR113">
        <f>IF(Liste!597:597,"AAAAAHt7//s=",0)</f>
        <v>0</v>
      </c>
      <c r="IS113" t="b">
        <f>AND(Liste!A597,"AAAAAHt7//w=")</f>
        <v>1</v>
      </c>
      <c r="IT113" t="e">
        <f>AND(Liste!#REF!,"AAAAAHt7//0=")</f>
        <v>#REF!</v>
      </c>
      <c r="IU113" t="e">
        <f>AND(Liste!#REF!,"AAAAAHt7//4=")</f>
        <v>#REF!</v>
      </c>
      <c r="IV113" t="e">
        <f>AND(Liste!#REF!,"AAAAAHt7//8=")</f>
        <v>#REF!</v>
      </c>
    </row>
    <row r="114" spans="1:256" x14ac:dyDescent="0.2">
      <c r="A114" t="e">
        <f>AND(Liste!F597,"AAAAAH39PQA=")</f>
        <v>#VALUE!</v>
      </c>
      <c r="B114" t="e">
        <f>AND(Liste!G597,"AAAAAH39PQE=")</f>
        <v>#VALUE!</v>
      </c>
      <c r="C114" t="e">
        <f>AND(Liste!H597,"AAAAAH39PQI=")</f>
        <v>#VALUE!</v>
      </c>
      <c r="D114" t="e">
        <f>AND(Liste!I597,"AAAAAH39PQM=")</f>
        <v>#VALUE!</v>
      </c>
      <c r="E114" t="e">
        <f>AND(Liste!J597,"AAAAAH39PQQ=")</f>
        <v>#VALUE!</v>
      </c>
      <c r="F114" t="e">
        <f>AND(Liste!#REF!,"AAAAAH39PQU=")</f>
        <v>#REF!</v>
      </c>
      <c r="G114" t="e">
        <f>AND(Liste!#REF!,"AAAAAH39PQY=")</f>
        <v>#REF!</v>
      </c>
      <c r="H114" t="e">
        <f>AND(Liste!#REF!,"AAAAAH39PQc=")</f>
        <v>#REF!</v>
      </c>
      <c r="I114" t="e">
        <f>AND(Liste!#REF!,"AAAAAH39PQg=")</f>
        <v>#REF!</v>
      </c>
      <c r="J114" t="e">
        <f>AND(Liste!#REF!,"AAAAAH39PQk=")</f>
        <v>#REF!</v>
      </c>
      <c r="K114" t="e">
        <f>AND(Liste!#REF!,"AAAAAH39PQo=")</f>
        <v>#REF!</v>
      </c>
      <c r="L114" t="e">
        <f>AND(Liste!#REF!,"AAAAAH39PQs=")</f>
        <v>#REF!</v>
      </c>
      <c r="M114" t="e">
        <f>AND(Liste!#REF!,"AAAAAH39PQw=")</f>
        <v>#REF!</v>
      </c>
      <c r="N114" t="e">
        <f>AND(Liste!#REF!,"AAAAAH39PQ0=")</f>
        <v>#REF!</v>
      </c>
      <c r="O114" t="e">
        <f>AND(Liste!#REF!,"AAAAAH39PQ4=")</f>
        <v>#REF!</v>
      </c>
      <c r="P114" t="e">
        <f>AND(Liste!#REF!,"AAAAAH39PQ8=")</f>
        <v>#REF!</v>
      </c>
      <c r="Q114" t="e">
        <f>AND(Liste!#REF!,"AAAAAH39PRA=")</f>
        <v>#REF!</v>
      </c>
      <c r="R114" t="e">
        <f>AND(Liste!#REF!,"AAAAAH39PRE=")</f>
        <v>#REF!</v>
      </c>
      <c r="S114" t="e">
        <f>AND(Liste!#REF!,"AAAAAH39PRI=")</f>
        <v>#REF!</v>
      </c>
      <c r="T114" t="e">
        <f>AND(Liste!#REF!,"AAAAAH39PRM=")</f>
        <v>#REF!</v>
      </c>
      <c r="U114" t="e">
        <f>AND(Liste!#REF!,"AAAAAH39PRQ=")</f>
        <v>#REF!</v>
      </c>
      <c r="V114" t="e">
        <f>AND(Liste!#REF!,"AAAAAH39PRU=")</f>
        <v>#REF!</v>
      </c>
      <c r="W114" t="e">
        <f>AND(Liste!#REF!,"AAAAAH39PRY=")</f>
        <v>#REF!</v>
      </c>
      <c r="X114" t="e">
        <f>AND(Liste!#REF!,"AAAAAH39PRc=")</f>
        <v>#REF!</v>
      </c>
      <c r="Y114" t="e">
        <f>AND(Liste!#REF!,"AAAAAH39PRg=")</f>
        <v>#REF!</v>
      </c>
      <c r="Z114" t="e">
        <f>AND(Liste!#REF!,"AAAAAH39PRk=")</f>
        <v>#REF!</v>
      </c>
      <c r="AA114">
        <f>IF(Liste!600:600,"AAAAAH39PRo=",0)</f>
        <v>0</v>
      </c>
      <c r="AB114" t="b">
        <f>AND(Liste!A599,"AAAAAH39PRs=")</f>
        <v>1</v>
      </c>
      <c r="AC114" t="e">
        <f>AND(Liste!#REF!,"AAAAAH39PRw=")</f>
        <v>#REF!</v>
      </c>
      <c r="AD114" t="e">
        <f>AND(Liste!#REF!,"AAAAAH39PR0=")</f>
        <v>#REF!</v>
      </c>
      <c r="AE114" t="e">
        <f>AND(Liste!#REF!,"AAAAAH39PR4=")</f>
        <v>#REF!</v>
      </c>
      <c r="AF114" t="e">
        <f>AND(Liste!F600,"AAAAAH39PR8=")</f>
        <v>#VALUE!</v>
      </c>
      <c r="AG114" t="e">
        <f>AND(Liste!G600,"AAAAAH39PSA=")</f>
        <v>#VALUE!</v>
      </c>
      <c r="AH114" t="e">
        <f>AND(Liste!H600,"AAAAAH39PSE=")</f>
        <v>#VALUE!</v>
      </c>
      <c r="AI114" t="e">
        <f>AND(Liste!I600,"AAAAAH39PSI=")</f>
        <v>#VALUE!</v>
      </c>
      <c r="AJ114" t="e">
        <f>AND(Liste!J600,"AAAAAH39PSM=")</f>
        <v>#VALUE!</v>
      </c>
      <c r="AK114" t="e">
        <f>AND(Liste!#REF!,"AAAAAH39PSQ=")</f>
        <v>#REF!</v>
      </c>
      <c r="AL114" t="e">
        <f>AND(Liste!#REF!,"AAAAAH39PSU=")</f>
        <v>#REF!</v>
      </c>
      <c r="AM114" t="e">
        <f>AND(Liste!#REF!,"AAAAAH39PSY=")</f>
        <v>#REF!</v>
      </c>
      <c r="AN114" t="e">
        <f>AND(Liste!#REF!,"AAAAAH39PSc=")</f>
        <v>#REF!</v>
      </c>
      <c r="AO114" t="e">
        <f>AND(Liste!#REF!,"AAAAAH39PSg=")</f>
        <v>#REF!</v>
      </c>
      <c r="AP114" t="e">
        <f>AND(Liste!#REF!,"AAAAAH39PSk=")</f>
        <v>#REF!</v>
      </c>
      <c r="AQ114" t="e">
        <f>AND(Liste!#REF!,"AAAAAH39PSo=")</f>
        <v>#REF!</v>
      </c>
      <c r="AR114" t="e">
        <f>AND(Liste!#REF!,"AAAAAH39PSs=")</f>
        <v>#REF!</v>
      </c>
      <c r="AS114" t="e">
        <f>AND(Liste!#REF!,"AAAAAH39PSw=")</f>
        <v>#REF!</v>
      </c>
      <c r="AT114" t="e">
        <f>AND(Liste!#REF!,"AAAAAH39PS0=")</f>
        <v>#REF!</v>
      </c>
      <c r="AU114" t="e">
        <f>AND(Liste!#REF!,"AAAAAH39PS4=")</f>
        <v>#REF!</v>
      </c>
      <c r="AV114" t="e">
        <f>AND(Liste!#REF!,"AAAAAH39PS8=")</f>
        <v>#REF!</v>
      </c>
      <c r="AW114" t="e">
        <f>AND(Liste!#REF!,"AAAAAH39PTA=")</f>
        <v>#REF!</v>
      </c>
      <c r="AX114" t="e">
        <f>AND(Liste!#REF!,"AAAAAH39PTE=")</f>
        <v>#REF!</v>
      </c>
      <c r="AY114" t="e">
        <f>AND(Liste!#REF!,"AAAAAH39PTI=")</f>
        <v>#REF!</v>
      </c>
      <c r="AZ114" t="e">
        <f>AND(Liste!#REF!,"AAAAAH39PTM=")</f>
        <v>#REF!</v>
      </c>
      <c r="BA114" t="e">
        <f>AND(Liste!#REF!,"AAAAAH39PTQ=")</f>
        <v>#REF!</v>
      </c>
      <c r="BB114" t="e">
        <f>AND(Liste!#REF!,"AAAAAH39PTU=")</f>
        <v>#REF!</v>
      </c>
      <c r="BC114" t="e">
        <f>AND(Liste!#REF!,"AAAAAH39PTY=")</f>
        <v>#REF!</v>
      </c>
      <c r="BD114" t="e">
        <f>AND(Liste!#REF!,"AAAAAH39PTc=")</f>
        <v>#REF!</v>
      </c>
      <c r="BE114" t="e">
        <f>AND(Liste!#REF!,"AAAAAH39PTg=")</f>
        <v>#REF!</v>
      </c>
      <c r="BF114" t="e">
        <f>IF(Liste!#REF!,"AAAAAH39PTk=",0)</f>
        <v>#REF!</v>
      </c>
      <c r="BG114" t="e">
        <f>AND(Liste!#REF!,"AAAAAH39PTo=")</f>
        <v>#REF!</v>
      </c>
      <c r="BH114" t="e">
        <f>AND(Liste!#REF!,"AAAAAH39PTs=")</f>
        <v>#REF!</v>
      </c>
      <c r="BI114" t="e">
        <f>AND(Liste!#REF!,"AAAAAH39PTw=")</f>
        <v>#REF!</v>
      </c>
      <c r="BJ114" t="e">
        <f>AND(Liste!#REF!,"AAAAAH39PT0=")</f>
        <v>#REF!</v>
      </c>
      <c r="BK114" t="e">
        <f>AND(Liste!#REF!,"AAAAAH39PT4=")</f>
        <v>#REF!</v>
      </c>
      <c r="BL114" t="e">
        <f>AND(Liste!#REF!,"AAAAAH39PT8=")</f>
        <v>#REF!</v>
      </c>
      <c r="BM114" t="e">
        <f>AND(Liste!#REF!,"AAAAAH39PUA=")</f>
        <v>#REF!</v>
      </c>
      <c r="BN114" t="e">
        <f>AND(Liste!#REF!,"AAAAAH39PUE=")</f>
        <v>#REF!</v>
      </c>
      <c r="BO114" t="e">
        <f>AND(Liste!#REF!,"AAAAAH39PUI=")</f>
        <v>#REF!</v>
      </c>
      <c r="BP114" t="e">
        <f>AND(Liste!#REF!,"AAAAAH39PUM=")</f>
        <v>#REF!</v>
      </c>
      <c r="BQ114" t="e">
        <f>AND(Liste!#REF!,"AAAAAH39PUQ=")</f>
        <v>#REF!</v>
      </c>
      <c r="BR114" t="e">
        <f>AND(Liste!#REF!,"AAAAAH39PUU=")</f>
        <v>#REF!</v>
      </c>
      <c r="BS114" t="e">
        <f>AND(Liste!#REF!,"AAAAAH39PUY=")</f>
        <v>#REF!</v>
      </c>
      <c r="BT114" t="e">
        <f>AND(Liste!#REF!,"AAAAAH39PUc=")</f>
        <v>#REF!</v>
      </c>
      <c r="BU114" t="e">
        <f>AND(Liste!#REF!,"AAAAAH39PUg=")</f>
        <v>#REF!</v>
      </c>
      <c r="BV114" t="e">
        <f>AND(Liste!#REF!,"AAAAAH39PUk=")</f>
        <v>#REF!</v>
      </c>
      <c r="BW114" t="e">
        <f>AND(Liste!#REF!,"AAAAAH39PUo=")</f>
        <v>#REF!</v>
      </c>
      <c r="BX114" t="e">
        <f>AND(Liste!#REF!,"AAAAAH39PUs=")</f>
        <v>#REF!</v>
      </c>
      <c r="BY114" t="e">
        <f>AND(Liste!#REF!,"AAAAAH39PUw=")</f>
        <v>#REF!</v>
      </c>
      <c r="BZ114" t="e">
        <f>AND(Liste!#REF!,"AAAAAH39PU0=")</f>
        <v>#REF!</v>
      </c>
      <c r="CA114" t="e">
        <f>AND(Liste!#REF!,"AAAAAH39PU4=")</f>
        <v>#REF!</v>
      </c>
      <c r="CB114" t="e">
        <f>AND(Liste!#REF!,"AAAAAH39PU8=")</f>
        <v>#REF!</v>
      </c>
      <c r="CC114" t="e">
        <f>AND(Liste!#REF!,"AAAAAH39PVA=")</f>
        <v>#REF!</v>
      </c>
      <c r="CD114" t="e">
        <f>AND(Liste!#REF!,"AAAAAH39PVE=")</f>
        <v>#REF!</v>
      </c>
      <c r="CE114" t="e">
        <f>AND(Liste!#REF!,"AAAAAH39PVI=")</f>
        <v>#REF!</v>
      </c>
      <c r="CF114" t="e">
        <f>AND(Liste!#REF!,"AAAAAH39PVM=")</f>
        <v>#REF!</v>
      </c>
      <c r="CG114" t="e">
        <f>AND(Liste!#REF!,"AAAAAH39PVQ=")</f>
        <v>#REF!</v>
      </c>
      <c r="CH114" t="e">
        <f>AND(Liste!#REF!,"AAAAAH39PVU=")</f>
        <v>#REF!</v>
      </c>
      <c r="CI114" t="e">
        <f>AND(Liste!#REF!,"AAAAAH39PVY=")</f>
        <v>#REF!</v>
      </c>
      <c r="CJ114" t="e">
        <f>AND(Liste!#REF!,"AAAAAH39PVc=")</f>
        <v>#REF!</v>
      </c>
      <c r="CK114" t="e">
        <f>IF(Liste!#REF!,"AAAAAH39PVg=",0)</f>
        <v>#REF!</v>
      </c>
      <c r="CL114" t="e">
        <f>AND(Liste!#REF!,"AAAAAH39PVk=")</f>
        <v>#REF!</v>
      </c>
      <c r="CM114" t="e">
        <f>AND(Liste!#REF!,"AAAAAH39PVo=")</f>
        <v>#REF!</v>
      </c>
      <c r="CN114" t="e">
        <f>AND(Liste!#REF!,"AAAAAH39PVs=")</f>
        <v>#REF!</v>
      </c>
      <c r="CO114" t="e">
        <f>AND(Liste!#REF!,"AAAAAH39PVw=")</f>
        <v>#REF!</v>
      </c>
      <c r="CP114" t="e">
        <f>AND(Liste!#REF!,"AAAAAH39PV0=")</f>
        <v>#REF!</v>
      </c>
      <c r="CQ114" t="e">
        <f>AND(Liste!#REF!,"AAAAAH39PV4=")</f>
        <v>#REF!</v>
      </c>
      <c r="CR114" t="e">
        <f>AND(Liste!#REF!,"AAAAAH39PV8=")</f>
        <v>#REF!</v>
      </c>
      <c r="CS114" t="e">
        <f>AND(Liste!#REF!,"AAAAAH39PWA=")</f>
        <v>#REF!</v>
      </c>
      <c r="CT114" t="e">
        <f>AND(Liste!#REF!,"AAAAAH39PWE=")</f>
        <v>#REF!</v>
      </c>
      <c r="CU114" t="e">
        <f>AND(Liste!#REF!,"AAAAAH39PWI=")</f>
        <v>#REF!</v>
      </c>
      <c r="CV114" t="e">
        <f>AND(Liste!#REF!,"AAAAAH39PWM=")</f>
        <v>#REF!</v>
      </c>
      <c r="CW114" t="e">
        <f>AND(Liste!#REF!,"AAAAAH39PWQ=")</f>
        <v>#REF!</v>
      </c>
      <c r="CX114" t="e">
        <f>AND(Liste!#REF!,"AAAAAH39PWU=")</f>
        <v>#REF!</v>
      </c>
      <c r="CY114" t="e">
        <f>AND(Liste!#REF!,"AAAAAH39PWY=")</f>
        <v>#REF!</v>
      </c>
      <c r="CZ114" t="e">
        <f>AND(Liste!#REF!,"AAAAAH39PWc=")</f>
        <v>#REF!</v>
      </c>
      <c r="DA114" t="e">
        <f>AND(Liste!#REF!,"AAAAAH39PWg=")</f>
        <v>#REF!</v>
      </c>
      <c r="DB114" t="e">
        <f>AND(Liste!#REF!,"AAAAAH39PWk=")</f>
        <v>#REF!</v>
      </c>
      <c r="DC114" t="e">
        <f>AND(Liste!#REF!,"AAAAAH39PWo=")</f>
        <v>#REF!</v>
      </c>
      <c r="DD114" t="e">
        <f>AND(Liste!#REF!,"AAAAAH39PWs=")</f>
        <v>#REF!</v>
      </c>
      <c r="DE114" t="e">
        <f>AND(Liste!#REF!,"AAAAAH39PWw=")</f>
        <v>#REF!</v>
      </c>
      <c r="DF114" t="e">
        <f>AND(Liste!#REF!,"AAAAAH39PW0=")</f>
        <v>#REF!</v>
      </c>
      <c r="DG114" t="e">
        <f>AND(Liste!#REF!,"AAAAAH39PW4=")</f>
        <v>#REF!</v>
      </c>
      <c r="DH114" t="e">
        <f>AND(Liste!#REF!,"AAAAAH39PW8=")</f>
        <v>#REF!</v>
      </c>
      <c r="DI114" t="e">
        <f>AND(Liste!#REF!,"AAAAAH39PXA=")</f>
        <v>#REF!</v>
      </c>
      <c r="DJ114" t="e">
        <f>AND(Liste!#REF!,"AAAAAH39PXE=")</f>
        <v>#REF!</v>
      </c>
      <c r="DK114" t="e">
        <f>AND(Liste!#REF!,"AAAAAH39PXI=")</f>
        <v>#REF!</v>
      </c>
      <c r="DL114" t="e">
        <f>AND(Liste!#REF!,"AAAAAH39PXM=")</f>
        <v>#REF!</v>
      </c>
      <c r="DM114" t="e">
        <f>AND(Liste!#REF!,"AAAAAH39PXQ=")</f>
        <v>#REF!</v>
      </c>
      <c r="DN114" t="e">
        <f>AND(Liste!#REF!,"AAAAAH39PXU=")</f>
        <v>#REF!</v>
      </c>
      <c r="DO114" t="e">
        <f>AND(Liste!#REF!,"AAAAAH39PXY=")</f>
        <v>#REF!</v>
      </c>
      <c r="DP114" t="e">
        <f>IF(Liste!#REF!,"AAAAAH39PXc=",0)</f>
        <v>#REF!</v>
      </c>
      <c r="DQ114" t="e">
        <f>AND(Liste!#REF!,"AAAAAH39PXg=")</f>
        <v>#REF!</v>
      </c>
      <c r="DR114" t="e">
        <f>AND(Liste!#REF!,"AAAAAH39PXk=")</f>
        <v>#REF!</v>
      </c>
      <c r="DS114" t="e">
        <f>AND(Liste!#REF!,"AAAAAH39PXo=")</f>
        <v>#REF!</v>
      </c>
      <c r="DT114" t="e">
        <f>AND(Liste!#REF!,"AAAAAH39PXs=")</f>
        <v>#REF!</v>
      </c>
      <c r="DU114" t="e">
        <f>AND(Liste!#REF!,"AAAAAH39PXw=")</f>
        <v>#REF!</v>
      </c>
      <c r="DV114" t="e">
        <f>AND(Liste!#REF!,"AAAAAH39PX0=")</f>
        <v>#REF!</v>
      </c>
      <c r="DW114" t="e">
        <f>AND(Liste!#REF!,"AAAAAH39PX4=")</f>
        <v>#REF!</v>
      </c>
      <c r="DX114" t="e">
        <f>AND(Liste!#REF!,"AAAAAH39PX8=")</f>
        <v>#REF!</v>
      </c>
      <c r="DY114" t="e">
        <f>AND(Liste!#REF!,"AAAAAH39PYA=")</f>
        <v>#REF!</v>
      </c>
      <c r="DZ114" t="e">
        <f>AND(Liste!#REF!,"AAAAAH39PYE=")</f>
        <v>#REF!</v>
      </c>
      <c r="EA114" t="e">
        <f>AND(Liste!#REF!,"AAAAAH39PYI=")</f>
        <v>#REF!</v>
      </c>
      <c r="EB114" t="e">
        <f>AND(Liste!#REF!,"AAAAAH39PYM=")</f>
        <v>#REF!</v>
      </c>
      <c r="EC114" t="e">
        <f>AND(Liste!#REF!,"AAAAAH39PYQ=")</f>
        <v>#REF!</v>
      </c>
      <c r="ED114" t="e">
        <f>AND(Liste!#REF!,"AAAAAH39PYU=")</f>
        <v>#REF!</v>
      </c>
      <c r="EE114" t="e">
        <f>AND(Liste!#REF!,"AAAAAH39PYY=")</f>
        <v>#REF!</v>
      </c>
      <c r="EF114" t="e">
        <f>AND(Liste!#REF!,"AAAAAH39PYc=")</f>
        <v>#REF!</v>
      </c>
      <c r="EG114" t="e">
        <f>AND(Liste!#REF!,"AAAAAH39PYg=")</f>
        <v>#REF!</v>
      </c>
      <c r="EH114" t="e">
        <f>AND(Liste!#REF!,"AAAAAH39PYk=")</f>
        <v>#REF!</v>
      </c>
      <c r="EI114" t="e">
        <f>AND(Liste!#REF!,"AAAAAH39PYo=")</f>
        <v>#REF!</v>
      </c>
      <c r="EJ114" t="e">
        <f>AND(Liste!#REF!,"AAAAAH39PYs=")</f>
        <v>#REF!</v>
      </c>
      <c r="EK114" t="e">
        <f>AND(Liste!#REF!,"AAAAAH39PYw=")</f>
        <v>#REF!</v>
      </c>
      <c r="EL114" t="e">
        <f>AND(Liste!#REF!,"AAAAAH39PY0=")</f>
        <v>#REF!</v>
      </c>
      <c r="EM114" t="e">
        <f>AND(Liste!#REF!,"AAAAAH39PY4=")</f>
        <v>#REF!</v>
      </c>
      <c r="EN114" t="e">
        <f>AND(Liste!#REF!,"AAAAAH39PY8=")</f>
        <v>#REF!</v>
      </c>
      <c r="EO114" t="e">
        <f>AND(Liste!#REF!,"AAAAAH39PZA=")</f>
        <v>#REF!</v>
      </c>
      <c r="EP114" t="e">
        <f>AND(Liste!#REF!,"AAAAAH39PZE=")</f>
        <v>#REF!</v>
      </c>
      <c r="EQ114" t="e">
        <f>AND(Liste!#REF!,"AAAAAH39PZI=")</f>
        <v>#REF!</v>
      </c>
      <c r="ER114" t="e">
        <f>AND(Liste!#REF!,"AAAAAH39PZM=")</f>
        <v>#REF!</v>
      </c>
      <c r="ES114" t="e">
        <f>AND(Liste!#REF!,"AAAAAH39PZQ=")</f>
        <v>#REF!</v>
      </c>
      <c r="ET114" t="e">
        <f>AND(Liste!#REF!,"AAAAAH39PZU=")</f>
        <v>#REF!</v>
      </c>
      <c r="EU114" t="e">
        <f>IF(Liste!#REF!,"AAAAAH39PZY=",0)</f>
        <v>#REF!</v>
      </c>
      <c r="EV114" t="e">
        <f>AND(Liste!#REF!,"AAAAAH39PZc=")</f>
        <v>#REF!</v>
      </c>
      <c r="EW114" t="e">
        <f>AND(Liste!#REF!,"AAAAAH39PZg=")</f>
        <v>#REF!</v>
      </c>
      <c r="EX114" t="e">
        <f>AND(Liste!#REF!,"AAAAAH39PZk=")</f>
        <v>#REF!</v>
      </c>
      <c r="EY114" t="e">
        <f>AND(Liste!#REF!,"AAAAAH39PZo=")</f>
        <v>#REF!</v>
      </c>
      <c r="EZ114" t="e">
        <f>AND(Liste!#REF!,"AAAAAH39PZs=")</f>
        <v>#REF!</v>
      </c>
      <c r="FA114" t="e">
        <f>AND(Liste!#REF!,"AAAAAH39PZw=")</f>
        <v>#REF!</v>
      </c>
      <c r="FB114" t="e">
        <f>AND(Liste!#REF!,"AAAAAH39PZ0=")</f>
        <v>#REF!</v>
      </c>
      <c r="FC114" t="e">
        <f>AND(Liste!#REF!,"AAAAAH39PZ4=")</f>
        <v>#REF!</v>
      </c>
      <c r="FD114" t="e">
        <f>AND(Liste!#REF!,"AAAAAH39PZ8=")</f>
        <v>#REF!</v>
      </c>
      <c r="FE114" t="e">
        <f>AND(Liste!#REF!,"AAAAAH39PaA=")</f>
        <v>#REF!</v>
      </c>
      <c r="FF114" t="e">
        <f>AND(Liste!#REF!,"AAAAAH39PaE=")</f>
        <v>#REF!</v>
      </c>
      <c r="FG114" t="e">
        <f>AND(Liste!#REF!,"AAAAAH39PaI=")</f>
        <v>#REF!</v>
      </c>
      <c r="FH114" t="e">
        <f>AND(Liste!#REF!,"AAAAAH39PaM=")</f>
        <v>#REF!</v>
      </c>
      <c r="FI114" t="e">
        <f>AND(Liste!#REF!,"AAAAAH39PaQ=")</f>
        <v>#REF!</v>
      </c>
      <c r="FJ114" t="e">
        <f>AND(Liste!#REF!,"AAAAAH39PaU=")</f>
        <v>#REF!</v>
      </c>
      <c r="FK114" t="e">
        <f>AND(Liste!#REF!,"AAAAAH39PaY=")</f>
        <v>#REF!</v>
      </c>
      <c r="FL114" t="e">
        <f>AND(Liste!#REF!,"AAAAAH39Pac=")</f>
        <v>#REF!</v>
      </c>
      <c r="FM114" t="e">
        <f>AND(Liste!#REF!,"AAAAAH39Pag=")</f>
        <v>#REF!</v>
      </c>
      <c r="FN114" t="e">
        <f>AND(Liste!#REF!,"AAAAAH39Pak=")</f>
        <v>#REF!</v>
      </c>
      <c r="FO114" t="e">
        <f>AND(Liste!#REF!,"AAAAAH39Pao=")</f>
        <v>#REF!</v>
      </c>
      <c r="FP114" t="e">
        <f>AND(Liste!#REF!,"AAAAAH39Pas=")</f>
        <v>#REF!</v>
      </c>
      <c r="FQ114" t="e">
        <f>AND(Liste!#REF!,"AAAAAH39Paw=")</f>
        <v>#REF!</v>
      </c>
      <c r="FR114" t="e">
        <f>AND(Liste!#REF!,"AAAAAH39Pa0=")</f>
        <v>#REF!</v>
      </c>
      <c r="FS114" t="e">
        <f>AND(Liste!#REF!,"AAAAAH39Pa4=")</f>
        <v>#REF!</v>
      </c>
      <c r="FT114" t="e">
        <f>AND(Liste!#REF!,"AAAAAH39Pa8=")</f>
        <v>#REF!</v>
      </c>
      <c r="FU114" t="e">
        <f>AND(Liste!#REF!,"AAAAAH39PbA=")</f>
        <v>#REF!</v>
      </c>
      <c r="FV114" t="e">
        <f>AND(Liste!#REF!,"AAAAAH39PbE=")</f>
        <v>#REF!</v>
      </c>
      <c r="FW114" t="e">
        <f>AND(Liste!#REF!,"AAAAAH39PbI=")</f>
        <v>#REF!</v>
      </c>
      <c r="FX114" t="e">
        <f>AND(Liste!#REF!,"AAAAAH39PbM=")</f>
        <v>#REF!</v>
      </c>
      <c r="FY114" t="e">
        <f>AND(Liste!#REF!,"AAAAAH39PbQ=")</f>
        <v>#REF!</v>
      </c>
      <c r="FZ114" t="e">
        <f>IF(Liste!#REF!,"AAAAAH39PbU=",0)</f>
        <v>#REF!</v>
      </c>
      <c r="GA114" t="e">
        <f>AND(Liste!#REF!,"AAAAAH39PbY=")</f>
        <v>#REF!</v>
      </c>
      <c r="GB114" t="e">
        <f>AND(Liste!#REF!,"AAAAAH39Pbc=")</f>
        <v>#REF!</v>
      </c>
      <c r="GC114" t="e">
        <f>AND(Liste!#REF!,"AAAAAH39Pbg=")</f>
        <v>#REF!</v>
      </c>
      <c r="GD114" t="e">
        <f>AND(Liste!#REF!,"AAAAAH39Pbk=")</f>
        <v>#REF!</v>
      </c>
      <c r="GE114" t="e">
        <f>AND(Liste!#REF!,"AAAAAH39Pbo=")</f>
        <v>#REF!</v>
      </c>
      <c r="GF114" t="e">
        <f>AND(Liste!#REF!,"AAAAAH39Pbs=")</f>
        <v>#REF!</v>
      </c>
      <c r="GG114" t="e">
        <f>AND(Liste!#REF!,"AAAAAH39Pbw=")</f>
        <v>#REF!</v>
      </c>
      <c r="GH114" t="e">
        <f>AND(Liste!#REF!,"AAAAAH39Pb0=")</f>
        <v>#REF!</v>
      </c>
      <c r="GI114" t="e">
        <f>AND(Liste!#REF!,"AAAAAH39Pb4=")</f>
        <v>#REF!</v>
      </c>
      <c r="GJ114" t="e">
        <f>AND(Liste!#REF!,"AAAAAH39Pb8=")</f>
        <v>#REF!</v>
      </c>
      <c r="GK114" t="e">
        <f>AND(Liste!#REF!,"AAAAAH39PcA=")</f>
        <v>#REF!</v>
      </c>
      <c r="GL114" t="e">
        <f>AND(Liste!#REF!,"AAAAAH39PcE=")</f>
        <v>#REF!</v>
      </c>
      <c r="GM114" t="e">
        <f>AND(Liste!#REF!,"AAAAAH39PcI=")</f>
        <v>#REF!</v>
      </c>
      <c r="GN114" t="e">
        <f>AND(Liste!#REF!,"AAAAAH39PcM=")</f>
        <v>#REF!</v>
      </c>
      <c r="GO114" t="e">
        <f>AND(Liste!#REF!,"AAAAAH39PcQ=")</f>
        <v>#REF!</v>
      </c>
      <c r="GP114" t="e">
        <f>AND(Liste!#REF!,"AAAAAH39PcU=")</f>
        <v>#REF!</v>
      </c>
      <c r="GQ114" t="e">
        <f>AND(Liste!#REF!,"AAAAAH39PcY=")</f>
        <v>#REF!</v>
      </c>
      <c r="GR114" t="e">
        <f>AND(Liste!#REF!,"AAAAAH39Pcc=")</f>
        <v>#REF!</v>
      </c>
      <c r="GS114" t="e">
        <f>AND(Liste!#REF!,"AAAAAH39Pcg=")</f>
        <v>#REF!</v>
      </c>
      <c r="GT114" t="e">
        <f>AND(Liste!#REF!,"AAAAAH39Pck=")</f>
        <v>#REF!</v>
      </c>
      <c r="GU114" t="e">
        <f>AND(Liste!#REF!,"AAAAAH39Pco=")</f>
        <v>#REF!</v>
      </c>
      <c r="GV114" t="e">
        <f>AND(Liste!#REF!,"AAAAAH39Pcs=")</f>
        <v>#REF!</v>
      </c>
      <c r="GW114" t="e">
        <f>AND(Liste!#REF!,"AAAAAH39Pcw=")</f>
        <v>#REF!</v>
      </c>
      <c r="GX114" t="e">
        <f>AND(Liste!#REF!,"AAAAAH39Pc0=")</f>
        <v>#REF!</v>
      </c>
      <c r="GY114" t="e">
        <f>AND(Liste!#REF!,"AAAAAH39Pc4=")</f>
        <v>#REF!</v>
      </c>
      <c r="GZ114" t="e">
        <f>AND(Liste!#REF!,"AAAAAH39Pc8=")</f>
        <v>#REF!</v>
      </c>
      <c r="HA114" t="e">
        <f>AND(Liste!#REF!,"AAAAAH39PdA=")</f>
        <v>#REF!</v>
      </c>
      <c r="HB114" t="e">
        <f>AND(Liste!#REF!,"AAAAAH39PdE=")</f>
        <v>#REF!</v>
      </c>
      <c r="HC114" t="e">
        <f>AND(Liste!#REF!,"AAAAAH39PdI=")</f>
        <v>#REF!</v>
      </c>
      <c r="HD114" t="e">
        <f>AND(Liste!#REF!,"AAAAAH39PdM=")</f>
        <v>#REF!</v>
      </c>
      <c r="HE114" t="e">
        <f>IF(Liste!#REF!,"AAAAAH39PdQ=",0)</f>
        <v>#REF!</v>
      </c>
      <c r="HF114" t="e">
        <f>AND(Liste!#REF!,"AAAAAH39PdU=")</f>
        <v>#REF!</v>
      </c>
      <c r="HG114" t="e">
        <f>AND(Liste!#REF!,"AAAAAH39PdY=")</f>
        <v>#REF!</v>
      </c>
      <c r="HH114" t="e">
        <f>AND(Liste!#REF!,"AAAAAH39Pdc=")</f>
        <v>#REF!</v>
      </c>
      <c r="HI114" t="e">
        <f>AND(Liste!#REF!,"AAAAAH39Pdg=")</f>
        <v>#REF!</v>
      </c>
      <c r="HJ114" t="e">
        <f>AND(Liste!#REF!,"AAAAAH39Pdk=")</f>
        <v>#REF!</v>
      </c>
      <c r="HK114" t="e">
        <f>AND(Liste!#REF!,"AAAAAH39Pdo=")</f>
        <v>#REF!</v>
      </c>
      <c r="HL114" t="e">
        <f>AND(Liste!#REF!,"AAAAAH39Pds=")</f>
        <v>#REF!</v>
      </c>
      <c r="HM114" t="e">
        <f>AND(Liste!#REF!,"AAAAAH39Pdw=")</f>
        <v>#REF!</v>
      </c>
      <c r="HN114" t="e">
        <f>AND(Liste!#REF!,"AAAAAH39Pd0=")</f>
        <v>#REF!</v>
      </c>
      <c r="HO114" t="e">
        <f>AND(Liste!#REF!,"AAAAAH39Pd4=")</f>
        <v>#REF!</v>
      </c>
      <c r="HP114" t="e">
        <f>AND(Liste!#REF!,"AAAAAH39Pd8=")</f>
        <v>#REF!</v>
      </c>
      <c r="HQ114" t="e">
        <f>AND(Liste!#REF!,"AAAAAH39PeA=")</f>
        <v>#REF!</v>
      </c>
      <c r="HR114" t="e">
        <f>AND(Liste!#REF!,"AAAAAH39PeE=")</f>
        <v>#REF!</v>
      </c>
      <c r="HS114" t="e">
        <f>AND(Liste!#REF!,"AAAAAH39PeI=")</f>
        <v>#REF!</v>
      </c>
      <c r="HT114" t="e">
        <f>AND(Liste!#REF!,"AAAAAH39PeM=")</f>
        <v>#REF!</v>
      </c>
      <c r="HU114" t="e">
        <f>AND(Liste!#REF!,"AAAAAH39PeQ=")</f>
        <v>#REF!</v>
      </c>
      <c r="HV114" t="e">
        <f>AND(Liste!#REF!,"AAAAAH39PeU=")</f>
        <v>#REF!</v>
      </c>
      <c r="HW114" t="e">
        <f>AND(Liste!#REF!,"AAAAAH39PeY=")</f>
        <v>#REF!</v>
      </c>
      <c r="HX114" t="e">
        <f>AND(Liste!#REF!,"AAAAAH39Pec=")</f>
        <v>#REF!</v>
      </c>
      <c r="HY114" t="e">
        <f>AND(Liste!#REF!,"AAAAAH39Peg=")</f>
        <v>#REF!</v>
      </c>
      <c r="HZ114" t="e">
        <f>AND(Liste!#REF!,"AAAAAH39Pek=")</f>
        <v>#REF!</v>
      </c>
      <c r="IA114" t="e">
        <f>AND(Liste!#REF!,"AAAAAH39Peo=")</f>
        <v>#REF!</v>
      </c>
      <c r="IB114" t="e">
        <f>AND(Liste!#REF!,"AAAAAH39Pes=")</f>
        <v>#REF!</v>
      </c>
      <c r="IC114" t="e">
        <f>AND(Liste!#REF!,"AAAAAH39Pew=")</f>
        <v>#REF!</v>
      </c>
      <c r="ID114" t="e">
        <f>AND(Liste!#REF!,"AAAAAH39Pe0=")</f>
        <v>#REF!</v>
      </c>
      <c r="IE114" t="e">
        <f>AND(Liste!#REF!,"AAAAAH39Pe4=")</f>
        <v>#REF!</v>
      </c>
      <c r="IF114" t="e">
        <f>AND(Liste!#REF!,"AAAAAH39Pe8=")</f>
        <v>#REF!</v>
      </c>
      <c r="IG114" t="e">
        <f>AND(Liste!#REF!,"AAAAAH39PfA=")</f>
        <v>#REF!</v>
      </c>
      <c r="IH114" t="e">
        <f>AND(Liste!#REF!,"AAAAAH39PfE=")</f>
        <v>#REF!</v>
      </c>
      <c r="II114" t="e">
        <f>AND(Liste!#REF!,"AAAAAH39PfI=")</f>
        <v>#REF!</v>
      </c>
      <c r="IJ114" t="e">
        <f>IF(Liste!#REF!,"AAAAAH39PfM=",0)</f>
        <v>#REF!</v>
      </c>
      <c r="IK114" t="e">
        <f>AND(Liste!#REF!,"AAAAAH39PfQ=")</f>
        <v>#REF!</v>
      </c>
      <c r="IL114" t="e">
        <f>AND(Liste!#REF!,"AAAAAH39PfU=")</f>
        <v>#REF!</v>
      </c>
      <c r="IM114" t="e">
        <f>AND(Liste!#REF!,"AAAAAH39PfY=")</f>
        <v>#REF!</v>
      </c>
      <c r="IN114" t="e">
        <f>AND(Liste!#REF!,"AAAAAH39Pfc=")</f>
        <v>#REF!</v>
      </c>
      <c r="IO114" t="e">
        <f>AND(Liste!#REF!,"AAAAAH39Pfg=")</f>
        <v>#REF!</v>
      </c>
      <c r="IP114" t="e">
        <f>AND(Liste!#REF!,"AAAAAH39Pfk=")</f>
        <v>#REF!</v>
      </c>
      <c r="IQ114" t="e">
        <f>AND(Liste!#REF!,"AAAAAH39Pfo=")</f>
        <v>#REF!</v>
      </c>
      <c r="IR114" t="e">
        <f>AND(Liste!#REF!,"AAAAAH39Pfs=")</f>
        <v>#REF!</v>
      </c>
      <c r="IS114" t="e">
        <f>AND(Liste!#REF!,"AAAAAH39Pfw=")</f>
        <v>#REF!</v>
      </c>
      <c r="IT114" t="e">
        <f>AND(Liste!#REF!,"AAAAAH39Pf0=")</f>
        <v>#REF!</v>
      </c>
      <c r="IU114" t="e">
        <f>AND(Liste!#REF!,"AAAAAH39Pf4=")</f>
        <v>#REF!</v>
      </c>
      <c r="IV114" t="e">
        <f>AND(Liste!#REF!,"AAAAAH39Pf8=")</f>
        <v>#REF!</v>
      </c>
    </row>
    <row r="115" spans="1:256" x14ac:dyDescent="0.2">
      <c r="A115" t="e">
        <f>AND(Liste!#REF!,"AAAAAHn10QA=")</f>
        <v>#REF!</v>
      </c>
      <c r="B115" t="e">
        <f>AND(Liste!#REF!,"AAAAAHn10QE=")</f>
        <v>#REF!</v>
      </c>
      <c r="C115" t="e">
        <f>AND(Liste!#REF!,"AAAAAHn10QI=")</f>
        <v>#REF!</v>
      </c>
      <c r="D115" t="e">
        <f>AND(Liste!#REF!,"AAAAAHn10QM=")</f>
        <v>#REF!</v>
      </c>
      <c r="E115" t="e">
        <f>AND(Liste!#REF!,"AAAAAHn10QQ=")</f>
        <v>#REF!</v>
      </c>
      <c r="F115" t="e">
        <f>AND(Liste!#REF!,"AAAAAHn10QU=")</f>
        <v>#REF!</v>
      </c>
      <c r="G115" t="e">
        <f>AND(Liste!#REF!,"AAAAAHn10QY=")</f>
        <v>#REF!</v>
      </c>
      <c r="H115" t="e">
        <f>AND(Liste!#REF!,"AAAAAHn10Qc=")</f>
        <v>#REF!</v>
      </c>
      <c r="I115" t="e">
        <f>AND(Liste!#REF!,"AAAAAHn10Qg=")</f>
        <v>#REF!</v>
      </c>
      <c r="J115" t="e">
        <f>AND(Liste!#REF!,"AAAAAHn10Qk=")</f>
        <v>#REF!</v>
      </c>
      <c r="K115" t="e">
        <f>AND(Liste!#REF!,"AAAAAHn10Qo=")</f>
        <v>#REF!</v>
      </c>
      <c r="L115" t="e">
        <f>AND(Liste!#REF!,"AAAAAHn10Qs=")</f>
        <v>#REF!</v>
      </c>
      <c r="M115" t="e">
        <f>AND(Liste!#REF!,"AAAAAHn10Qw=")</f>
        <v>#REF!</v>
      </c>
      <c r="N115" t="e">
        <f>AND(Liste!#REF!,"AAAAAHn10Q0=")</f>
        <v>#REF!</v>
      </c>
      <c r="O115" t="e">
        <f>AND(Liste!#REF!,"AAAAAHn10Q4=")</f>
        <v>#REF!</v>
      </c>
      <c r="P115" t="e">
        <f>AND(Liste!#REF!,"AAAAAHn10Q8=")</f>
        <v>#REF!</v>
      </c>
      <c r="Q115" t="e">
        <f>AND(Liste!#REF!,"AAAAAHn10RA=")</f>
        <v>#REF!</v>
      </c>
      <c r="R115" t="e">
        <f>AND(Liste!#REF!,"AAAAAHn10RE=")</f>
        <v>#REF!</v>
      </c>
      <c r="S115" t="e">
        <f>IF(Liste!#REF!,"AAAAAHn10RI=",0)</f>
        <v>#REF!</v>
      </c>
      <c r="T115" t="e">
        <f>AND(Liste!#REF!,"AAAAAHn10RM=")</f>
        <v>#REF!</v>
      </c>
      <c r="U115" t="e">
        <f>AND(Liste!#REF!,"AAAAAHn10RQ=")</f>
        <v>#REF!</v>
      </c>
      <c r="V115" t="e">
        <f>AND(Liste!#REF!,"AAAAAHn10RU=")</f>
        <v>#REF!</v>
      </c>
      <c r="W115" t="e">
        <f>AND(Liste!#REF!,"AAAAAHn10RY=")</f>
        <v>#REF!</v>
      </c>
      <c r="X115" t="e">
        <f>AND(Liste!#REF!,"AAAAAHn10Rc=")</f>
        <v>#REF!</v>
      </c>
      <c r="Y115" t="e">
        <f>AND(Liste!#REF!,"AAAAAHn10Rg=")</f>
        <v>#REF!</v>
      </c>
      <c r="Z115" t="e">
        <f>AND(Liste!#REF!,"AAAAAHn10Rk=")</f>
        <v>#REF!</v>
      </c>
      <c r="AA115" t="e">
        <f>AND(Liste!#REF!,"AAAAAHn10Ro=")</f>
        <v>#REF!</v>
      </c>
      <c r="AB115" t="e">
        <f>AND(Liste!#REF!,"AAAAAHn10Rs=")</f>
        <v>#REF!</v>
      </c>
      <c r="AC115" t="e">
        <f>AND(Liste!#REF!,"AAAAAHn10Rw=")</f>
        <v>#REF!</v>
      </c>
      <c r="AD115" t="e">
        <f>AND(Liste!#REF!,"AAAAAHn10R0=")</f>
        <v>#REF!</v>
      </c>
      <c r="AE115" t="e">
        <f>AND(Liste!#REF!,"AAAAAHn10R4=")</f>
        <v>#REF!</v>
      </c>
      <c r="AF115" t="e">
        <f>AND(Liste!#REF!,"AAAAAHn10R8=")</f>
        <v>#REF!</v>
      </c>
      <c r="AG115" t="e">
        <f>AND(Liste!#REF!,"AAAAAHn10SA=")</f>
        <v>#REF!</v>
      </c>
      <c r="AH115" t="e">
        <f>AND(Liste!#REF!,"AAAAAHn10SE=")</f>
        <v>#REF!</v>
      </c>
      <c r="AI115" t="e">
        <f>AND(Liste!#REF!,"AAAAAHn10SI=")</f>
        <v>#REF!</v>
      </c>
      <c r="AJ115" t="e">
        <f>AND(Liste!#REF!,"AAAAAHn10SM=")</f>
        <v>#REF!</v>
      </c>
      <c r="AK115" t="e">
        <f>AND(Liste!#REF!,"AAAAAHn10SQ=")</f>
        <v>#REF!</v>
      </c>
      <c r="AL115" t="e">
        <f>AND(Liste!#REF!,"AAAAAHn10SU=")</f>
        <v>#REF!</v>
      </c>
      <c r="AM115" t="e">
        <f>AND(Liste!#REF!,"AAAAAHn10SY=")</f>
        <v>#REF!</v>
      </c>
      <c r="AN115" t="e">
        <f>AND(Liste!#REF!,"AAAAAHn10Sc=")</f>
        <v>#REF!</v>
      </c>
      <c r="AO115" t="e">
        <f>AND(Liste!#REF!,"AAAAAHn10Sg=")</f>
        <v>#REF!</v>
      </c>
      <c r="AP115" t="e">
        <f>AND(Liste!#REF!,"AAAAAHn10Sk=")</f>
        <v>#REF!</v>
      </c>
      <c r="AQ115" t="e">
        <f>AND(Liste!#REF!,"AAAAAHn10So=")</f>
        <v>#REF!</v>
      </c>
      <c r="AR115" t="e">
        <f>AND(Liste!#REF!,"AAAAAHn10Ss=")</f>
        <v>#REF!</v>
      </c>
      <c r="AS115" t="e">
        <f>AND(Liste!#REF!,"AAAAAHn10Sw=")</f>
        <v>#REF!</v>
      </c>
      <c r="AT115" t="e">
        <f>AND(Liste!#REF!,"AAAAAHn10S0=")</f>
        <v>#REF!</v>
      </c>
      <c r="AU115" t="e">
        <f>AND(Liste!#REF!,"AAAAAHn10S4=")</f>
        <v>#REF!</v>
      </c>
      <c r="AV115" t="e">
        <f>AND(Liste!#REF!,"AAAAAHn10S8=")</f>
        <v>#REF!</v>
      </c>
      <c r="AW115" t="e">
        <f>AND(Liste!#REF!,"AAAAAHn10TA=")</f>
        <v>#REF!</v>
      </c>
      <c r="AX115" t="e">
        <f>IF(Liste!#REF!,"AAAAAHn10TE=",0)</f>
        <v>#REF!</v>
      </c>
      <c r="AY115" t="e">
        <f>AND(Liste!#REF!,"AAAAAHn10TI=")</f>
        <v>#REF!</v>
      </c>
      <c r="AZ115" t="e">
        <f>AND(Liste!#REF!,"AAAAAHn10TM=")</f>
        <v>#REF!</v>
      </c>
      <c r="BA115" t="e">
        <f>AND(Liste!#REF!,"AAAAAHn10TQ=")</f>
        <v>#REF!</v>
      </c>
      <c r="BB115" t="e">
        <f>AND(Liste!#REF!,"AAAAAHn10TU=")</f>
        <v>#REF!</v>
      </c>
      <c r="BC115" t="e">
        <f>AND(Liste!#REF!,"AAAAAHn10TY=")</f>
        <v>#REF!</v>
      </c>
      <c r="BD115" t="e">
        <f>AND(Liste!#REF!,"AAAAAHn10Tc=")</f>
        <v>#REF!</v>
      </c>
      <c r="BE115" t="e">
        <f>AND(Liste!#REF!,"AAAAAHn10Tg=")</f>
        <v>#REF!</v>
      </c>
      <c r="BF115" t="e">
        <f>AND(Liste!#REF!,"AAAAAHn10Tk=")</f>
        <v>#REF!</v>
      </c>
      <c r="BG115" t="e">
        <f>AND(Liste!#REF!,"AAAAAHn10To=")</f>
        <v>#REF!</v>
      </c>
      <c r="BH115" t="e">
        <f>AND(Liste!#REF!,"AAAAAHn10Ts=")</f>
        <v>#REF!</v>
      </c>
      <c r="BI115" t="e">
        <f>AND(Liste!#REF!,"AAAAAHn10Tw=")</f>
        <v>#REF!</v>
      </c>
      <c r="BJ115" t="e">
        <f>AND(Liste!#REF!,"AAAAAHn10T0=")</f>
        <v>#REF!</v>
      </c>
      <c r="BK115" t="e">
        <f>AND(Liste!#REF!,"AAAAAHn10T4=")</f>
        <v>#REF!</v>
      </c>
      <c r="BL115" t="e">
        <f>AND(Liste!#REF!,"AAAAAHn10T8=")</f>
        <v>#REF!</v>
      </c>
      <c r="BM115" t="e">
        <f>AND(Liste!#REF!,"AAAAAHn10UA=")</f>
        <v>#REF!</v>
      </c>
      <c r="BN115" t="e">
        <f>AND(Liste!#REF!,"AAAAAHn10UE=")</f>
        <v>#REF!</v>
      </c>
      <c r="BO115" t="e">
        <f>AND(Liste!#REF!,"AAAAAHn10UI=")</f>
        <v>#REF!</v>
      </c>
      <c r="BP115" t="e">
        <f>AND(Liste!#REF!,"AAAAAHn10UM=")</f>
        <v>#REF!</v>
      </c>
      <c r="BQ115" t="e">
        <f>AND(Liste!#REF!,"AAAAAHn10UQ=")</f>
        <v>#REF!</v>
      </c>
      <c r="BR115" t="e">
        <f>AND(Liste!#REF!,"AAAAAHn10UU=")</f>
        <v>#REF!</v>
      </c>
      <c r="BS115" t="e">
        <f>AND(Liste!#REF!,"AAAAAHn10UY=")</f>
        <v>#REF!</v>
      </c>
      <c r="BT115" t="e">
        <f>AND(Liste!#REF!,"AAAAAHn10Uc=")</f>
        <v>#REF!</v>
      </c>
      <c r="BU115" t="e">
        <f>AND(Liste!#REF!,"AAAAAHn10Ug=")</f>
        <v>#REF!</v>
      </c>
      <c r="BV115" t="e">
        <f>AND(Liste!#REF!,"AAAAAHn10Uk=")</f>
        <v>#REF!</v>
      </c>
      <c r="BW115" t="e">
        <f>AND(Liste!#REF!,"AAAAAHn10Uo=")</f>
        <v>#REF!</v>
      </c>
      <c r="BX115" t="e">
        <f>AND(Liste!#REF!,"AAAAAHn10Us=")</f>
        <v>#REF!</v>
      </c>
      <c r="BY115" t="e">
        <f>AND(Liste!#REF!,"AAAAAHn10Uw=")</f>
        <v>#REF!</v>
      </c>
      <c r="BZ115" t="e">
        <f>AND(Liste!#REF!,"AAAAAHn10U0=")</f>
        <v>#REF!</v>
      </c>
      <c r="CA115" t="e">
        <f>AND(Liste!#REF!,"AAAAAHn10U4=")</f>
        <v>#REF!</v>
      </c>
      <c r="CB115" t="e">
        <f>AND(Liste!#REF!,"AAAAAHn10U8=")</f>
        <v>#REF!</v>
      </c>
      <c r="CC115" t="e">
        <f>IF(Liste!#REF!,"AAAAAHn10VA=",0)</f>
        <v>#REF!</v>
      </c>
      <c r="CD115" t="e">
        <f>AND(Liste!#REF!,"AAAAAHn10VE=")</f>
        <v>#REF!</v>
      </c>
      <c r="CE115" t="e">
        <f>AND(Liste!#REF!,"AAAAAHn10VI=")</f>
        <v>#REF!</v>
      </c>
      <c r="CF115" t="e">
        <f>AND(Liste!#REF!,"AAAAAHn10VM=")</f>
        <v>#REF!</v>
      </c>
      <c r="CG115" t="e">
        <f>AND(Liste!#REF!,"AAAAAHn10VQ=")</f>
        <v>#REF!</v>
      </c>
      <c r="CH115" t="e">
        <f>AND(Liste!#REF!,"AAAAAHn10VU=")</f>
        <v>#REF!</v>
      </c>
      <c r="CI115" t="e">
        <f>AND(Liste!#REF!,"AAAAAHn10VY=")</f>
        <v>#REF!</v>
      </c>
      <c r="CJ115" t="e">
        <f>AND(Liste!#REF!,"AAAAAHn10Vc=")</f>
        <v>#REF!</v>
      </c>
      <c r="CK115" t="e">
        <f>AND(Liste!#REF!,"AAAAAHn10Vg=")</f>
        <v>#REF!</v>
      </c>
      <c r="CL115" t="e">
        <f>AND(Liste!#REF!,"AAAAAHn10Vk=")</f>
        <v>#REF!</v>
      </c>
      <c r="CM115" t="e">
        <f>AND(Liste!#REF!,"AAAAAHn10Vo=")</f>
        <v>#REF!</v>
      </c>
      <c r="CN115" t="e">
        <f>AND(Liste!#REF!,"AAAAAHn10Vs=")</f>
        <v>#REF!</v>
      </c>
      <c r="CO115" t="e">
        <f>AND(Liste!#REF!,"AAAAAHn10Vw=")</f>
        <v>#REF!</v>
      </c>
      <c r="CP115" t="e">
        <f>AND(Liste!#REF!,"AAAAAHn10V0=")</f>
        <v>#REF!</v>
      </c>
      <c r="CQ115" t="e">
        <f>AND(Liste!#REF!,"AAAAAHn10V4=")</f>
        <v>#REF!</v>
      </c>
      <c r="CR115" t="e">
        <f>AND(Liste!#REF!,"AAAAAHn10V8=")</f>
        <v>#REF!</v>
      </c>
      <c r="CS115" t="e">
        <f>AND(Liste!#REF!,"AAAAAHn10WA=")</f>
        <v>#REF!</v>
      </c>
      <c r="CT115" t="e">
        <f>AND(Liste!#REF!,"AAAAAHn10WE=")</f>
        <v>#REF!</v>
      </c>
      <c r="CU115" t="e">
        <f>AND(Liste!#REF!,"AAAAAHn10WI=")</f>
        <v>#REF!</v>
      </c>
      <c r="CV115" t="e">
        <f>AND(Liste!#REF!,"AAAAAHn10WM=")</f>
        <v>#REF!</v>
      </c>
      <c r="CW115" t="e">
        <f>AND(Liste!#REF!,"AAAAAHn10WQ=")</f>
        <v>#REF!</v>
      </c>
      <c r="CX115" t="e">
        <f>AND(Liste!#REF!,"AAAAAHn10WU=")</f>
        <v>#REF!</v>
      </c>
      <c r="CY115" t="e">
        <f>AND(Liste!#REF!,"AAAAAHn10WY=")</f>
        <v>#REF!</v>
      </c>
      <c r="CZ115" t="e">
        <f>AND(Liste!#REF!,"AAAAAHn10Wc=")</f>
        <v>#REF!</v>
      </c>
      <c r="DA115" t="e">
        <f>AND(Liste!#REF!,"AAAAAHn10Wg=")</f>
        <v>#REF!</v>
      </c>
      <c r="DB115" t="e">
        <f>AND(Liste!#REF!,"AAAAAHn10Wk=")</f>
        <v>#REF!</v>
      </c>
      <c r="DC115" t="e">
        <f>AND(Liste!#REF!,"AAAAAHn10Wo=")</f>
        <v>#REF!</v>
      </c>
      <c r="DD115" t="e">
        <f>AND(Liste!#REF!,"AAAAAHn10Ws=")</f>
        <v>#REF!</v>
      </c>
      <c r="DE115" t="e">
        <f>AND(Liste!#REF!,"AAAAAHn10Ww=")</f>
        <v>#REF!</v>
      </c>
      <c r="DF115" t="e">
        <f>AND(Liste!#REF!,"AAAAAHn10W0=")</f>
        <v>#REF!</v>
      </c>
      <c r="DG115" t="e">
        <f>AND(Liste!#REF!,"AAAAAHn10W4=")</f>
        <v>#REF!</v>
      </c>
      <c r="DH115" t="e">
        <f>IF(Liste!#REF!,"AAAAAHn10W8=",0)</f>
        <v>#REF!</v>
      </c>
      <c r="DI115" t="e">
        <f>AND(Liste!#REF!,"AAAAAHn10XA=")</f>
        <v>#REF!</v>
      </c>
      <c r="DJ115" t="e">
        <f>AND(Liste!#REF!,"AAAAAHn10XE=")</f>
        <v>#REF!</v>
      </c>
      <c r="DK115" t="e">
        <f>AND(Liste!#REF!,"AAAAAHn10XI=")</f>
        <v>#REF!</v>
      </c>
      <c r="DL115" t="e">
        <f>AND(Liste!#REF!,"AAAAAHn10XM=")</f>
        <v>#REF!</v>
      </c>
      <c r="DM115" t="e">
        <f>AND(Liste!#REF!,"AAAAAHn10XQ=")</f>
        <v>#REF!</v>
      </c>
      <c r="DN115" t="e">
        <f>AND(Liste!#REF!,"AAAAAHn10XU=")</f>
        <v>#REF!</v>
      </c>
      <c r="DO115" t="e">
        <f>AND(Liste!#REF!,"AAAAAHn10XY=")</f>
        <v>#REF!</v>
      </c>
      <c r="DP115" t="e">
        <f>AND(Liste!#REF!,"AAAAAHn10Xc=")</f>
        <v>#REF!</v>
      </c>
      <c r="DQ115" t="e">
        <f>AND(Liste!#REF!,"AAAAAHn10Xg=")</f>
        <v>#REF!</v>
      </c>
      <c r="DR115" t="e">
        <f>AND(Liste!#REF!,"AAAAAHn10Xk=")</f>
        <v>#REF!</v>
      </c>
      <c r="DS115" t="e">
        <f>AND(Liste!#REF!,"AAAAAHn10Xo=")</f>
        <v>#REF!</v>
      </c>
      <c r="DT115" t="e">
        <f>AND(Liste!#REF!,"AAAAAHn10Xs=")</f>
        <v>#REF!</v>
      </c>
      <c r="DU115" t="e">
        <f>AND(Liste!#REF!,"AAAAAHn10Xw=")</f>
        <v>#REF!</v>
      </c>
      <c r="DV115" t="e">
        <f>AND(Liste!#REF!,"AAAAAHn10X0=")</f>
        <v>#REF!</v>
      </c>
      <c r="DW115" t="e">
        <f>AND(Liste!#REF!,"AAAAAHn10X4=")</f>
        <v>#REF!</v>
      </c>
      <c r="DX115" t="e">
        <f>AND(Liste!#REF!,"AAAAAHn10X8=")</f>
        <v>#REF!</v>
      </c>
      <c r="DY115" t="e">
        <f>AND(Liste!#REF!,"AAAAAHn10YA=")</f>
        <v>#REF!</v>
      </c>
      <c r="DZ115" t="e">
        <f>AND(Liste!#REF!,"AAAAAHn10YE=")</f>
        <v>#REF!</v>
      </c>
      <c r="EA115" t="e">
        <f>AND(Liste!#REF!,"AAAAAHn10YI=")</f>
        <v>#REF!</v>
      </c>
      <c r="EB115" t="e">
        <f>AND(Liste!#REF!,"AAAAAHn10YM=")</f>
        <v>#REF!</v>
      </c>
      <c r="EC115" t="e">
        <f>AND(Liste!#REF!,"AAAAAHn10YQ=")</f>
        <v>#REF!</v>
      </c>
      <c r="ED115" t="e">
        <f>AND(Liste!#REF!,"AAAAAHn10YU=")</f>
        <v>#REF!</v>
      </c>
      <c r="EE115" t="e">
        <f>AND(Liste!#REF!,"AAAAAHn10YY=")</f>
        <v>#REF!</v>
      </c>
      <c r="EF115" t="e">
        <f>AND(Liste!#REF!,"AAAAAHn10Yc=")</f>
        <v>#REF!</v>
      </c>
      <c r="EG115" t="e">
        <f>AND(Liste!#REF!,"AAAAAHn10Yg=")</f>
        <v>#REF!</v>
      </c>
      <c r="EH115" t="e">
        <f>AND(Liste!#REF!,"AAAAAHn10Yk=")</f>
        <v>#REF!</v>
      </c>
      <c r="EI115" t="e">
        <f>AND(Liste!#REF!,"AAAAAHn10Yo=")</f>
        <v>#REF!</v>
      </c>
      <c r="EJ115" t="e">
        <f>AND(Liste!#REF!,"AAAAAHn10Ys=")</f>
        <v>#REF!</v>
      </c>
      <c r="EK115" t="e">
        <f>AND(Liste!#REF!,"AAAAAHn10Yw=")</f>
        <v>#REF!</v>
      </c>
      <c r="EL115" t="e">
        <f>AND(Liste!#REF!,"AAAAAHn10Y0=")</f>
        <v>#REF!</v>
      </c>
      <c r="EM115" t="e">
        <f>IF(Liste!#REF!,"AAAAAHn10Y4=",0)</f>
        <v>#REF!</v>
      </c>
      <c r="EN115" t="e">
        <f>AND(Liste!#REF!,"AAAAAHn10Y8=")</f>
        <v>#REF!</v>
      </c>
      <c r="EO115" t="e">
        <f>AND(Liste!#REF!,"AAAAAHn10ZA=")</f>
        <v>#REF!</v>
      </c>
      <c r="EP115" t="e">
        <f>AND(Liste!#REF!,"AAAAAHn10ZE=")</f>
        <v>#REF!</v>
      </c>
      <c r="EQ115" t="e">
        <f>AND(Liste!#REF!,"AAAAAHn10ZI=")</f>
        <v>#REF!</v>
      </c>
      <c r="ER115" t="e">
        <f>AND(Liste!#REF!,"AAAAAHn10ZM=")</f>
        <v>#REF!</v>
      </c>
      <c r="ES115" t="e">
        <f>AND(Liste!#REF!,"AAAAAHn10ZQ=")</f>
        <v>#REF!</v>
      </c>
      <c r="ET115" t="e">
        <f>AND(Liste!#REF!,"AAAAAHn10ZU=")</f>
        <v>#REF!</v>
      </c>
      <c r="EU115" t="e">
        <f>AND(Liste!#REF!,"AAAAAHn10ZY=")</f>
        <v>#REF!</v>
      </c>
      <c r="EV115" t="e">
        <f>AND(Liste!#REF!,"AAAAAHn10Zc=")</f>
        <v>#REF!</v>
      </c>
      <c r="EW115" t="e">
        <f>AND(Liste!#REF!,"AAAAAHn10Zg=")</f>
        <v>#REF!</v>
      </c>
      <c r="EX115" t="e">
        <f>AND(Liste!#REF!,"AAAAAHn10Zk=")</f>
        <v>#REF!</v>
      </c>
      <c r="EY115" t="e">
        <f>AND(Liste!#REF!,"AAAAAHn10Zo=")</f>
        <v>#REF!</v>
      </c>
      <c r="EZ115" t="e">
        <f>AND(Liste!#REF!,"AAAAAHn10Zs=")</f>
        <v>#REF!</v>
      </c>
      <c r="FA115" t="e">
        <f>AND(Liste!#REF!,"AAAAAHn10Zw=")</f>
        <v>#REF!</v>
      </c>
      <c r="FB115" t="e">
        <f>AND(Liste!#REF!,"AAAAAHn10Z0=")</f>
        <v>#REF!</v>
      </c>
      <c r="FC115" t="e">
        <f>AND(Liste!#REF!,"AAAAAHn10Z4=")</f>
        <v>#REF!</v>
      </c>
      <c r="FD115" t="e">
        <f>AND(Liste!#REF!,"AAAAAHn10Z8=")</f>
        <v>#REF!</v>
      </c>
      <c r="FE115" t="e">
        <f>AND(Liste!#REF!,"AAAAAHn10aA=")</f>
        <v>#REF!</v>
      </c>
      <c r="FF115" t="e">
        <f>AND(Liste!#REF!,"AAAAAHn10aE=")</f>
        <v>#REF!</v>
      </c>
      <c r="FG115" t="e">
        <f>AND(Liste!#REF!,"AAAAAHn10aI=")</f>
        <v>#REF!</v>
      </c>
      <c r="FH115" t="e">
        <f>AND(Liste!#REF!,"AAAAAHn10aM=")</f>
        <v>#REF!</v>
      </c>
      <c r="FI115" t="e">
        <f>AND(Liste!#REF!,"AAAAAHn10aQ=")</f>
        <v>#REF!</v>
      </c>
      <c r="FJ115" t="e">
        <f>AND(Liste!#REF!,"AAAAAHn10aU=")</f>
        <v>#REF!</v>
      </c>
      <c r="FK115" t="e">
        <f>AND(Liste!#REF!,"AAAAAHn10aY=")</f>
        <v>#REF!</v>
      </c>
      <c r="FL115" t="e">
        <f>AND(Liste!#REF!,"AAAAAHn10ac=")</f>
        <v>#REF!</v>
      </c>
      <c r="FM115" t="e">
        <f>AND(Liste!#REF!,"AAAAAHn10ag=")</f>
        <v>#REF!</v>
      </c>
      <c r="FN115" t="e">
        <f>AND(Liste!#REF!,"AAAAAHn10ak=")</f>
        <v>#REF!</v>
      </c>
      <c r="FO115" t="e">
        <f>AND(Liste!#REF!,"AAAAAHn10ao=")</f>
        <v>#REF!</v>
      </c>
      <c r="FP115" t="e">
        <f>AND(Liste!#REF!,"AAAAAHn10as=")</f>
        <v>#REF!</v>
      </c>
      <c r="FQ115" t="e">
        <f>AND(Liste!#REF!,"AAAAAHn10aw=")</f>
        <v>#REF!</v>
      </c>
      <c r="FR115" t="e">
        <f>IF(Liste!#REF!,"AAAAAHn10a0=",0)</f>
        <v>#REF!</v>
      </c>
      <c r="FS115" t="e">
        <f>AND(Liste!#REF!,"AAAAAHn10a4=")</f>
        <v>#REF!</v>
      </c>
      <c r="FT115" t="e">
        <f>AND(Liste!#REF!,"AAAAAHn10a8=")</f>
        <v>#REF!</v>
      </c>
      <c r="FU115" t="e">
        <f>AND(Liste!#REF!,"AAAAAHn10bA=")</f>
        <v>#REF!</v>
      </c>
      <c r="FV115" t="e">
        <f>AND(Liste!#REF!,"AAAAAHn10bE=")</f>
        <v>#REF!</v>
      </c>
      <c r="FW115" t="e">
        <f>AND(Liste!#REF!,"AAAAAHn10bI=")</f>
        <v>#REF!</v>
      </c>
      <c r="FX115" t="e">
        <f>AND(Liste!#REF!,"AAAAAHn10bM=")</f>
        <v>#REF!</v>
      </c>
      <c r="FY115" t="e">
        <f>AND(Liste!#REF!,"AAAAAHn10bQ=")</f>
        <v>#REF!</v>
      </c>
      <c r="FZ115" t="e">
        <f>AND(Liste!#REF!,"AAAAAHn10bU=")</f>
        <v>#REF!</v>
      </c>
      <c r="GA115" t="e">
        <f>AND(Liste!#REF!,"AAAAAHn10bY=")</f>
        <v>#REF!</v>
      </c>
      <c r="GB115" t="e">
        <f>AND(Liste!#REF!,"AAAAAHn10bc=")</f>
        <v>#REF!</v>
      </c>
      <c r="GC115" t="e">
        <f>AND(Liste!#REF!,"AAAAAHn10bg=")</f>
        <v>#REF!</v>
      </c>
      <c r="GD115" t="e">
        <f>AND(Liste!#REF!,"AAAAAHn10bk=")</f>
        <v>#REF!</v>
      </c>
      <c r="GE115" t="e">
        <f>AND(Liste!#REF!,"AAAAAHn10bo=")</f>
        <v>#REF!</v>
      </c>
      <c r="GF115" t="e">
        <f>AND(Liste!#REF!,"AAAAAHn10bs=")</f>
        <v>#REF!</v>
      </c>
      <c r="GG115" t="e">
        <f>AND(Liste!#REF!,"AAAAAHn10bw=")</f>
        <v>#REF!</v>
      </c>
      <c r="GH115" t="e">
        <f>AND(Liste!#REF!,"AAAAAHn10b0=")</f>
        <v>#REF!</v>
      </c>
      <c r="GI115" t="e">
        <f>AND(Liste!#REF!,"AAAAAHn10b4=")</f>
        <v>#REF!</v>
      </c>
      <c r="GJ115" t="e">
        <f>AND(Liste!#REF!,"AAAAAHn10b8=")</f>
        <v>#REF!</v>
      </c>
      <c r="GK115" t="e">
        <f>AND(Liste!#REF!,"AAAAAHn10cA=")</f>
        <v>#REF!</v>
      </c>
      <c r="GL115" t="e">
        <f>AND(Liste!#REF!,"AAAAAHn10cE=")</f>
        <v>#REF!</v>
      </c>
      <c r="GM115" t="e">
        <f>AND(Liste!#REF!,"AAAAAHn10cI=")</f>
        <v>#REF!</v>
      </c>
      <c r="GN115" t="e">
        <f>AND(Liste!#REF!,"AAAAAHn10cM=")</f>
        <v>#REF!</v>
      </c>
      <c r="GO115" t="e">
        <f>AND(Liste!#REF!,"AAAAAHn10cQ=")</f>
        <v>#REF!</v>
      </c>
      <c r="GP115" t="e">
        <f>AND(Liste!#REF!,"AAAAAHn10cU=")</f>
        <v>#REF!</v>
      </c>
      <c r="GQ115" t="e">
        <f>AND(Liste!#REF!,"AAAAAHn10cY=")</f>
        <v>#REF!</v>
      </c>
      <c r="GR115" t="e">
        <f>AND(Liste!#REF!,"AAAAAHn10cc=")</f>
        <v>#REF!</v>
      </c>
      <c r="GS115" t="e">
        <f>AND(Liste!#REF!,"AAAAAHn10cg=")</f>
        <v>#REF!</v>
      </c>
      <c r="GT115" t="e">
        <f>AND(Liste!#REF!,"AAAAAHn10ck=")</f>
        <v>#REF!</v>
      </c>
      <c r="GU115" t="e">
        <f>AND(Liste!#REF!,"AAAAAHn10co=")</f>
        <v>#REF!</v>
      </c>
      <c r="GV115" t="e">
        <f>AND(Liste!#REF!,"AAAAAHn10cs=")</f>
        <v>#REF!</v>
      </c>
      <c r="GW115" t="e">
        <f>IF(Liste!#REF!,"AAAAAHn10cw=",0)</f>
        <v>#REF!</v>
      </c>
      <c r="GX115" t="e">
        <f>AND(Liste!#REF!,"AAAAAHn10c0=")</f>
        <v>#REF!</v>
      </c>
      <c r="GY115" t="e">
        <f>AND(Liste!#REF!,"AAAAAHn10c4=")</f>
        <v>#REF!</v>
      </c>
      <c r="GZ115" t="e">
        <f>AND(Liste!#REF!,"AAAAAHn10c8=")</f>
        <v>#REF!</v>
      </c>
      <c r="HA115" t="e">
        <f>AND(Liste!#REF!,"AAAAAHn10dA=")</f>
        <v>#REF!</v>
      </c>
      <c r="HB115" t="e">
        <f>AND(Liste!#REF!,"AAAAAHn10dE=")</f>
        <v>#REF!</v>
      </c>
      <c r="HC115" t="e">
        <f>AND(Liste!#REF!,"AAAAAHn10dI=")</f>
        <v>#REF!</v>
      </c>
      <c r="HD115" t="e">
        <f>AND(Liste!#REF!,"AAAAAHn10dM=")</f>
        <v>#REF!</v>
      </c>
      <c r="HE115" t="e">
        <f>AND(Liste!#REF!,"AAAAAHn10dQ=")</f>
        <v>#REF!</v>
      </c>
      <c r="HF115" t="e">
        <f>AND(Liste!#REF!,"AAAAAHn10dU=")</f>
        <v>#REF!</v>
      </c>
      <c r="HG115" t="e">
        <f>AND(Liste!#REF!,"AAAAAHn10dY=")</f>
        <v>#REF!</v>
      </c>
      <c r="HH115" t="e">
        <f>AND(Liste!#REF!,"AAAAAHn10dc=")</f>
        <v>#REF!</v>
      </c>
      <c r="HI115" t="e">
        <f>AND(Liste!#REF!,"AAAAAHn10dg=")</f>
        <v>#REF!</v>
      </c>
      <c r="HJ115" t="e">
        <f>AND(Liste!#REF!,"AAAAAHn10dk=")</f>
        <v>#REF!</v>
      </c>
      <c r="HK115" t="e">
        <f>AND(Liste!#REF!,"AAAAAHn10do=")</f>
        <v>#REF!</v>
      </c>
      <c r="HL115" t="e">
        <f>AND(Liste!#REF!,"AAAAAHn10ds=")</f>
        <v>#REF!</v>
      </c>
      <c r="HM115" t="e">
        <f>AND(Liste!#REF!,"AAAAAHn10dw=")</f>
        <v>#REF!</v>
      </c>
      <c r="HN115" t="e">
        <f>AND(Liste!#REF!,"AAAAAHn10d0=")</f>
        <v>#REF!</v>
      </c>
      <c r="HO115" t="e">
        <f>AND(Liste!#REF!,"AAAAAHn10d4=")</f>
        <v>#REF!</v>
      </c>
      <c r="HP115" t="e">
        <f>AND(Liste!#REF!,"AAAAAHn10d8=")</f>
        <v>#REF!</v>
      </c>
      <c r="HQ115" t="e">
        <f>AND(Liste!#REF!,"AAAAAHn10eA=")</f>
        <v>#REF!</v>
      </c>
      <c r="HR115" t="e">
        <f>AND(Liste!#REF!,"AAAAAHn10eE=")</f>
        <v>#REF!</v>
      </c>
      <c r="HS115" t="e">
        <f>AND(Liste!#REF!,"AAAAAHn10eI=")</f>
        <v>#REF!</v>
      </c>
      <c r="HT115" t="e">
        <f>AND(Liste!#REF!,"AAAAAHn10eM=")</f>
        <v>#REF!</v>
      </c>
      <c r="HU115" t="e">
        <f>AND(Liste!#REF!,"AAAAAHn10eQ=")</f>
        <v>#REF!</v>
      </c>
      <c r="HV115" t="e">
        <f>AND(Liste!#REF!,"AAAAAHn10eU=")</f>
        <v>#REF!</v>
      </c>
      <c r="HW115" t="e">
        <f>AND(Liste!#REF!,"AAAAAHn10eY=")</f>
        <v>#REF!</v>
      </c>
      <c r="HX115" t="e">
        <f>AND(Liste!#REF!,"AAAAAHn10ec=")</f>
        <v>#REF!</v>
      </c>
      <c r="HY115" t="e">
        <f>AND(Liste!#REF!,"AAAAAHn10eg=")</f>
        <v>#REF!</v>
      </c>
      <c r="HZ115" t="e">
        <f>AND(Liste!#REF!,"AAAAAHn10ek=")</f>
        <v>#REF!</v>
      </c>
      <c r="IA115" t="e">
        <f>AND(Liste!#REF!,"AAAAAHn10eo=")</f>
        <v>#REF!</v>
      </c>
      <c r="IB115" t="e">
        <f>IF(Liste!#REF!,"AAAAAHn10es=",0)</f>
        <v>#REF!</v>
      </c>
      <c r="IC115" t="e">
        <f>AND(Liste!#REF!,"AAAAAHn10ew=")</f>
        <v>#REF!</v>
      </c>
      <c r="ID115" t="e">
        <f>AND(Liste!#REF!,"AAAAAHn10e0=")</f>
        <v>#REF!</v>
      </c>
      <c r="IE115" t="e">
        <f>AND(Liste!#REF!,"AAAAAHn10e4=")</f>
        <v>#REF!</v>
      </c>
      <c r="IF115" t="e">
        <f>AND(Liste!#REF!,"AAAAAHn10e8=")</f>
        <v>#REF!</v>
      </c>
      <c r="IG115" t="e">
        <f>AND(Liste!#REF!,"AAAAAHn10fA=")</f>
        <v>#REF!</v>
      </c>
      <c r="IH115" t="e">
        <f>AND(Liste!#REF!,"AAAAAHn10fE=")</f>
        <v>#REF!</v>
      </c>
      <c r="II115" t="e">
        <f>AND(Liste!#REF!,"AAAAAHn10fI=")</f>
        <v>#REF!</v>
      </c>
      <c r="IJ115" t="e">
        <f>AND(Liste!#REF!,"AAAAAHn10fM=")</f>
        <v>#REF!</v>
      </c>
      <c r="IK115" t="e">
        <f>AND(Liste!#REF!,"AAAAAHn10fQ=")</f>
        <v>#REF!</v>
      </c>
      <c r="IL115" t="e">
        <f>AND(Liste!#REF!,"AAAAAHn10fU=")</f>
        <v>#REF!</v>
      </c>
      <c r="IM115" t="e">
        <f>AND(Liste!#REF!,"AAAAAHn10fY=")</f>
        <v>#REF!</v>
      </c>
      <c r="IN115" t="e">
        <f>AND(Liste!#REF!,"AAAAAHn10fc=")</f>
        <v>#REF!</v>
      </c>
      <c r="IO115" t="e">
        <f>AND(Liste!#REF!,"AAAAAHn10fg=")</f>
        <v>#REF!</v>
      </c>
      <c r="IP115" t="e">
        <f>AND(Liste!#REF!,"AAAAAHn10fk=")</f>
        <v>#REF!</v>
      </c>
      <c r="IQ115" t="e">
        <f>AND(Liste!#REF!,"AAAAAHn10fo=")</f>
        <v>#REF!</v>
      </c>
      <c r="IR115" t="e">
        <f>AND(Liste!#REF!,"AAAAAHn10fs=")</f>
        <v>#REF!</v>
      </c>
      <c r="IS115" t="e">
        <f>AND(Liste!#REF!,"AAAAAHn10fw=")</f>
        <v>#REF!</v>
      </c>
      <c r="IT115" t="e">
        <f>AND(Liste!#REF!,"AAAAAHn10f0=")</f>
        <v>#REF!</v>
      </c>
      <c r="IU115" t="e">
        <f>AND(Liste!#REF!,"AAAAAHn10f4=")</f>
        <v>#REF!</v>
      </c>
      <c r="IV115" t="e">
        <f>AND(Liste!#REF!,"AAAAAHn10f8=")</f>
        <v>#REF!</v>
      </c>
    </row>
    <row r="116" spans="1:256" x14ac:dyDescent="0.2">
      <c r="A116" t="e">
        <f>AND(Liste!#REF!,"AAAAAF7//gA=")</f>
        <v>#REF!</v>
      </c>
      <c r="B116" t="e">
        <f>AND(Liste!#REF!,"AAAAAF7//gE=")</f>
        <v>#REF!</v>
      </c>
      <c r="C116" t="e">
        <f>AND(Liste!#REF!,"AAAAAF7//gI=")</f>
        <v>#REF!</v>
      </c>
      <c r="D116" t="e">
        <f>AND(Liste!#REF!,"AAAAAF7//gM=")</f>
        <v>#REF!</v>
      </c>
      <c r="E116" t="e">
        <f>AND(Liste!#REF!,"AAAAAF7//gQ=")</f>
        <v>#REF!</v>
      </c>
      <c r="F116" t="e">
        <f>AND(Liste!#REF!,"AAAAAF7//gU=")</f>
        <v>#REF!</v>
      </c>
      <c r="G116" t="e">
        <f>AND(Liste!#REF!,"AAAAAF7//gY=")</f>
        <v>#REF!</v>
      </c>
      <c r="H116" t="e">
        <f>AND(Liste!#REF!,"AAAAAF7//gc=")</f>
        <v>#REF!</v>
      </c>
      <c r="I116" t="e">
        <f>AND(Liste!#REF!,"AAAAAF7//gg=")</f>
        <v>#REF!</v>
      </c>
      <c r="J116" t="e">
        <f>AND(Liste!#REF!,"AAAAAF7//gk=")</f>
        <v>#REF!</v>
      </c>
      <c r="K116" t="e">
        <f>IF(Liste!#REF!,"AAAAAF7//go=",0)</f>
        <v>#REF!</v>
      </c>
      <c r="L116" t="e">
        <f>AND(Liste!#REF!,"AAAAAF7//gs=")</f>
        <v>#REF!</v>
      </c>
      <c r="M116" t="e">
        <f>AND(Liste!#REF!,"AAAAAF7//gw=")</f>
        <v>#REF!</v>
      </c>
      <c r="N116" t="e">
        <f>AND(Liste!#REF!,"AAAAAF7//g0=")</f>
        <v>#REF!</v>
      </c>
      <c r="O116" t="e">
        <f>AND(Liste!#REF!,"AAAAAF7//g4=")</f>
        <v>#REF!</v>
      </c>
      <c r="P116" t="e">
        <f>AND(Liste!F620,"AAAAAF7//g8=")</f>
        <v>#VALUE!</v>
      </c>
      <c r="Q116" t="e">
        <f>AND(Liste!G620,"AAAAAF7//hA=")</f>
        <v>#VALUE!</v>
      </c>
      <c r="R116" t="e">
        <f>AND(Liste!H620,"AAAAAF7//hE=")</f>
        <v>#VALUE!</v>
      </c>
      <c r="S116" t="e">
        <f>AND(Liste!I620,"AAAAAF7//hI=")</f>
        <v>#VALUE!</v>
      </c>
      <c r="T116" t="e">
        <f>AND(Liste!J620,"AAAAAF7//hM=")</f>
        <v>#VALUE!</v>
      </c>
      <c r="U116" t="e">
        <f>AND(Liste!#REF!,"AAAAAF7//hQ=")</f>
        <v>#REF!</v>
      </c>
      <c r="V116" t="e">
        <f>AND(Liste!#REF!,"AAAAAF7//hU=")</f>
        <v>#REF!</v>
      </c>
      <c r="W116" t="e">
        <f>AND(Liste!#REF!,"AAAAAF7//hY=")</f>
        <v>#REF!</v>
      </c>
      <c r="X116" t="e">
        <f>AND(Liste!#REF!,"AAAAAF7//hc=")</f>
        <v>#REF!</v>
      </c>
      <c r="Y116" t="e">
        <f>AND(Liste!#REF!,"AAAAAF7//hg=")</f>
        <v>#REF!</v>
      </c>
      <c r="Z116" t="e">
        <f>AND(Liste!#REF!,"AAAAAF7//hk=")</f>
        <v>#REF!</v>
      </c>
      <c r="AA116" t="e">
        <f>AND(Liste!#REF!,"AAAAAF7//ho=")</f>
        <v>#REF!</v>
      </c>
      <c r="AB116" t="e">
        <f>AND(Liste!#REF!,"AAAAAF7//hs=")</f>
        <v>#REF!</v>
      </c>
      <c r="AC116" t="e">
        <f>AND(Liste!#REF!,"AAAAAF7//hw=")</f>
        <v>#REF!</v>
      </c>
      <c r="AD116" t="e">
        <f>AND(Liste!#REF!,"AAAAAF7//h0=")</f>
        <v>#REF!</v>
      </c>
      <c r="AE116" t="e">
        <f>AND(Liste!#REF!,"AAAAAF7//h4=")</f>
        <v>#REF!</v>
      </c>
      <c r="AF116" t="e">
        <f>AND(Liste!#REF!,"AAAAAF7//h8=")</f>
        <v>#REF!</v>
      </c>
      <c r="AG116" t="e">
        <f>AND(Liste!#REF!,"AAAAAF7//iA=")</f>
        <v>#REF!</v>
      </c>
      <c r="AH116" t="e">
        <f>AND(Liste!#REF!,"AAAAAF7//iE=")</f>
        <v>#REF!</v>
      </c>
      <c r="AI116" t="e">
        <f>AND(Liste!#REF!,"AAAAAF7//iI=")</f>
        <v>#REF!</v>
      </c>
      <c r="AJ116" t="e">
        <f>AND(Liste!#REF!,"AAAAAF7//iM=")</f>
        <v>#REF!</v>
      </c>
      <c r="AK116" t="e">
        <f>AND(Liste!#REF!,"AAAAAF7//iQ=")</f>
        <v>#REF!</v>
      </c>
      <c r="AL116" t="e">
        <f>AND(Liste!#REF!,"AAAAAF7//iU=")</f>
        <v>#REF!</v>
      </c>
      <c r="AM116" t="e">
        <f>AND(Liste!#REF!,"AAAAAF7//iY=")</f>
        <v>#REF!</v>
      </c>
      <c r="AN116" t="e">
        <f>AND(Liste!#REF!,"AAAAAF7//ic=")</f>
        <v>#REF!</v>
      </c>
      <c r="AO116" t="e">
        <f>AND(Liste!#REF!,"AAAAAF7//ig=")</f>
        <v>#REF!</v>
      </c>
      <c r="AP116" t="e">
        <f>IF(Liste!#REF!,"AAAAAF7//ik=",0)</f>
        <v>#REF!</v>
      </c>
      <c r="AQ116" t="e">
        <f>AND(Liste!#REF!,"AAAAAF7//io=")</f>
        <v>#REF!</v>
      </c>
      <c r="AR116" t="e">
        <f>AND(Liste!#REF!,"AAAAAF7//is=")</f>
        <v>#REF!</v>
      </c>
      <c r="AS116" t="e">
        <f>AND(Liste!#REF!,"AAAAAF7//iw=")</f>
        <v>#REF!</v>
      </c>
      <c r="AT116" t="e">
        <f>AND(Liste!#REF!,"AAAAAF7//i0=")</f>
        <v>#REF!</v>
      </c>
      <c r="AU116" t="e">
        <f>AND(Liste!F621,"AAAAAF7//i4=")</f>
        <v>#VALUE!</v>
      </c>
      <c r="AV116" t="e">
        <f>AND(Liste!G621,"AAAAAF7//i8=")</f>
        <v>#VALUE!</v>
      </c>
      <c r="AW116" t="e">
        <f>AND(Liste!H621,"AAAAAF7//jA=")</f>
        <v>#VALUE!</v>
      </c>
      <c r="AX116" t="e">
        <f>AND(Liste!I621,"AAAAAF7//jE=")</f>
        <v>#VALUE!</v>
      </c>
      <c r="AY116" t="e">
        <f>AND(Liste!J621,"AAAAAF7//jI=")</f>
        <v>#VALUE!</v>
      </c>
      <c r="AZ116" t="e">
        <f>AND(Liste!#REF!,"AAAAAF7//jM=")</f>
        <v>#REF!</v>
      </c>
      <c r="BA116" t="e">
        <f>AND(Liste!#REF!,"AAAAAF7//jQ=")</f>
        <v>#REF!</v>
      </c>
      <c r="BB116" t="e">
        <f>AND(Liste!#REF!,"AAAAAF7//jU=")</f>
        <v>#REF!</v>
      </c>
      <c r="BC116" t="e">
        <f>AND(Liste!#REF!,"AAAAAF7//jY=")</f>
        <v>#REF!</v>
      </c>
      <c r="BD116" t="e">
        <f>AND(Liste!#REF!,"AAAAAF7//jc=")</f>
        <v>#REF!</v>
      </c>
      <c r="BE116" t="e">
        <f>AND(Liste!#REF!,"AAAAAF7//jg=")</f>
        <v>#REF!</v>
      </c>
      <c r="BF116" t="e">
        <f>AND(Liste!#REF!,"AAAAAF7//jk=")</f>
        <v>#REF!</v>
      </c>
      <c r="BG116" t="e">
        <f>AND(Liste!#REF!,"AAAAAF7//jo=")</f>
        <v>#REF!</v>
      </c>
      <c r="BH116" t="e">
        <f>AND(Liste!#REF!,"AAAAAF7//js=")</f>
        <v>#REF!</v>
      </c>
      <c r="BI116" t="e">
        <f>AND(Liste!#REF!,"AAAAAF7//jw=")</f>
        <v>#REF!</v>
      </c>
      <c r="BJ116" t="e">
        <f>AND(Liste!#REF!,"AAAAAF7//j0=")</f>
        <v>#REF!</v>
      </c>
      <c r="BK116" t="e">
        <f>AND(Liste!#REF!,"AAAAAF7//j4=")</f>
        <v>#REF!</v>
      </c>
      <c r="BL116" t="e">
        <f>AND(Liste!#REF!,"AAAAAF7//j8=")</f>
        <v>#REF!</v>
      </c>
      <c r="BM116" t="e">
        <f>AND(Liste!#REF!,"AAAAAF7//kA=")</f>
        <v>#REF!</v>
      </c>
      <c r="BN116" t="e">
        <f>AND(Liste!#REF!,"AAAAAF7//kE=")</f>
        <v>#REF!</v>
      </c>
      <c r="BO116" t="e">
        <f>AND(Liste!#REF!,"AAAAAF7//kI=")</f>
        <v>#REF!</v>
      </c>
      <c r="BP116" t="e">
        <f>AND(Liste!#REF!,"AAAAAF7//kM=")</f>
        <v>#REF!</v>
      </c>
      <c r="BQ116" t="e">
        <f>AND(Liste!#REF!,"AAAAAF7//kQ=")</f>
        <v>#REF!</v>
      </c>
      <c r="BR116" t="e">
        <f>AND(Liste!#REF!,"AAAAAF7//kU=")</f>
        <v>#REF!</v>
      </c>
      <c r="BS116" t="e">
        <f>AND(Liste!#REF!,"AAAAAF7//kY=")</f>
        <v>#REF!</v>
      </c>
      <c r="BT116" t="e">
        <f>AND(Liste!#REF!,"AAAAAF7//kc=")</f>
        <v>#REF!</v>
      </c>
      <c r="BU116">
        <f>IF(Liste!620:620,"AAAAAF7//kg=",0)</f>
        <v>0</v>
      </c>
      <c r="BV116" t="b">
        <f>AND(Liste!A603,"AAAAAF7//kk=")</f>
        <v>1</v>
      </c>
      <c r="BW116" t="e">
        <f>AND(Liste!#REF!,"AAAAAF7//ko=")</f>
        <v>#REF!</v>
      </c>
      <c r="BX116" t="e">
        <f>AND(Liste!#REF!,"AAAAAF7//ks=")</f>
        <v>#REF!</v>
      </c>
      <c r="BY116" t="e">
        <f>AND(Liste!#REF!,"AAAAAF7//kw=")</f>
        <v>#REF!</v>
      </c>
      <c r="BZ116" t="e">
        <f>AND(Liste!#REF!,"AAAAAF7//k0=")</f>
        <v>#REF!</v>
      </c>
      <c r="CA116" t="e">
        <f>AND(Liste!#REF!,"AAAAAF7//k4=")</f>
        <v>#REF!</v>
      </c>
      <c r="CB116" t="e">
        <f>AND(Liste!#REF!,"AAAAAF7//k8=")</f>
        <v>#REF!</v>
      </c>
      <c r="CC116" t="e">
        <f>AND(Liste!#REF!,"AAAAAF7//lA=")</f>
        <v>#REF!</v>
      </c>
      <c r="CD116" t="e">
        <f>AND(Liste!#REF!,"AAAAAF7//lE=")</f>
        <v>#REF!</v>
      </c>
      <c r="CE116" t="e">
        <f>AND(Liste!#REF!,"AAAAAF7//lI=")</f>
        <v>#REF!</v>
      </c>
      <c r="CF116" t="e">
        <f>AND(Liste!#REF!,"AAAAAF7//lM=")</f>
        <v>#REF!</v>
      </c>
      <c r="CG116" t="e">
        <f>AND(Liste!#REF!,"AAAAAF7//lQ=")</f>
        <v>#REF!</v>
      </c>
      <c r="CH116" t="e">
        <f>AND(Liste!#REF!,"AAAAAF7//lU=")</f>
        <v>#REF!</v>
      </c>
      <c r="CI116" t="e">
        <f>AND(Liste!#REF!,"AAAAAF7//lY=")</f>
        <v>#REF!</v>
      </c>
      <c r="CJ116" t="e">
        <f>AND(Liste!#REF!,"AAAAAF7//lc=")</f>
        <v>#REF!</v>
      </c>
      <c r="CK116" t="e">
        <f>AND(Liste!#REF!,"AAAAAF7//lg=")</f>
        <v>#REF!</v>
      </c>
      <c r="CL116" t="e">
        <f>AND(Liste!#REF!,"AAAAAF7//lk=")</f>
        <v>#REF!</v>
      </c>
      <c r="CM116" t="e">
        <f>AND(Liste!#REF!,"AAAAAF7//lo=")</f>
        <v>#REF!</v>
      </c>
      <c r="CN116" t="e">
        <f>AND(Liste!#REF!,"AAAAAF7//ls=")</f>
        <v>#REF!</v>
      </c>
      <c r="CO116" t="e">
        <f>AND(Liste!#REF!,"AAAAAF7//lw=")</f>
        <v>#REF!</v>
      </c>
      <c r="CP116" t="e">
        <f>AND(Liste!#REF!,"AAAAAF7//l0=")</f>
        <v>#REF!</v>
      </c>
      <c r="CQ116" t="e">
        <f>AND(Liste!#REF!,"AAAAAF7//l4=")</f>
        <v>#REF!</v>
      </c>
      <c r="CR116" t="e">
        <f>AND(Liste!#REF!,"AAAAAF7//l8=")</f>
        <v>#REF!</v>
      </c>
      <c r="CS116" t="e">
        <f>AND(Liste!#REF!,"AAAAAF7//mA=")</f>
        <v>#REF!</v>
      </c>
      <c r="CT116" t="e">
        <f>AND(Liste!#REF!,"AAAAAF7//mE=")</f>
        <v>#REF!</v>
      </c>
      <c r="CU116" t="e">
        <f>AND(Liste!#REF!,"AAAAAF7//mI=")</f>
        <v>#REF!</v>
      </c>
      <c r="CV116" t="e">
        <f>AND(Liste!#REF!,"AAAAAF7//mM=")</f>
        <v>#REF!</v>
      </c>
      <c r="CW116" t="e">
        <f>AND(Liste!#REF!,"AAAAAF7//mQ=")</f>
        <v>#REF!</v>
      </c>
      <c r="CX116" t="e">
        <f>AND(Liste!#REF!,"AAAAAF7//mU=")</f>
        <v>#REF!</v>
      </c>
      <c r="CY116" t="e">
        <f>AND(Liste!#REF!,"AAAAAF7//mY=")</f>
        <v>#REF!</v>
      </c>
      <c r="CZ116">
        <f>IF(Liste!621:621,"AAAAAF7//mc=",0)</f>
        <v>0</v>
      </c>
      <c r="DA116" t="b">
        <f>AND(Liste!A604,"AAAAAF7//mg=")</f>
        <v>1</v>
      </c>
      <c r="DB116" t="e">
        <f>AND(Liste!#REF!,"AAAAAF7//mk=")</f>
        <v>#REF!</v>
      </c>
      <c r="DC116" t="e">
        <f>AND(Liste!#REF!,"AAAAAF7//mo=")</f>
        <v>#REF!</v>
      </c>
      <c r="DD116" t="e">
        <f>AND(Liste!#REF!,"AAAAAF7//ms=")</f>
        <v>#REF!</v>
      </c>
      <c r="DE116" t="e">
        <f>AND(Liste!#REF!,"AAAAAF7//mw=")</f>
        <v>#REF!</v>
      </c>
      <c r="DF116" t="e">
        <f>AND(Liste!#REF!,"AAAAAF7//m0=")</f>
        <v>#REF!</v>
      </c>
      <c r="DG116" t="e">
        <f>AND(Liste!#REF!,"AAAAAF7//m4=")</f>
        <v>#REF!</v>
      </c>
      <c r="DH116" t="e">
        <f>AND(Liste!#REF!,"AAAAAF7//m8=")</f>
        <v>#REF!</v>
      </c>
      <c r="DI116" t="e">
        <f>AND(Liste!#REF!,"AAAAAF7//nA=")</f>
        <v>#REF!</v>
      </c>
      <c r="DJ116" t="e">
        <f>AND(Liste!#REF!,"AAAAAF7//nE=")</f>
        <v>#REF!</v>
      </c>
      <c r="DK116" t="e">
        <f>AND(Liste!#REF!,"AAAAAF7//nI=")</f>
        <v>#REF!</v>
      </c>
      <c r="DL116" t="e">
        <f>AND(Liste!#REF!,"AAAAAF7//nM=")</f>
        <v>#REF!</v>
      </c>
      <c r="DM116" t="e">
        <f>AND(Liste!#REF!,"AAAAAF7//nQ=")</f>
        <v>#REF!</v>
      </c>
      <c r="DN116" t="e">
        <f>AND(Liste!#REF!,"AAAAAF7//nU=")</f>
        <v>#REF!</v>
      </c>
      <c r="DO116" t="e">
        <f>AND(Liste!#REF!,"AAAAAF7//nY=")</f>
        <v>#REF!</v>
      </c>
      <c r="DP116" t="e">
        <f>AND(Liste!#REF!,"AAAAAF7//nc=")</f>
        <v>#REF!</v>
      </c>
      <c r="DQ116" t="e">
        <f>AND(Liste!#REF!,"AAAAAF7//ng=")</f>
        <v>#REF!</v>
      </c>
      <c r="DR116" t="e">
        <f>AND(Liste!#REF!,"AAAAAF7//nk=")</f>
        <v>#REF!</v>
      </c>
      <c r="DS116" t="e">
        <f>AND(Liste!#REF!,"AAAAAF7//no=")</f>
        <v>#REF!</v>
      </c>
      <c r="DT116" t="e">
        <f>AND(Liste!#REF!,"AAAAAF7//ns=")</f>
        <v>#REF!</v>
      </c>
      <c r="DU116" t="e">
        <f>AND(Liste!#REF!,"AAAAAF7//nw=")</f>
        <v>#REF!</v>
      </c>
      <c r="DV116" t="e">
        <f>AND(Liste!#REF!,"AAAAAF7//n0=")</f>
        <v>#REF!</v>
      </c>
      <c r="DW116" t="e">
        <f>AND(Liste!#REF!,"AAAAAF7//n4=")</f>
        <v>#REF!</v>
      </c>
      <c r="DX116" t="e">
        <f>AND(Liste!#REF!,"AAAAAF7//n8=")</f>
        <v>#REF!</v>
      </c>
      <c r="DY116" t="e">
        <f>AND(Liste!#REF!,"AAAAAF7//oA=")</f>
        <v>#REF!</v>
      </c>
      <c r="DZ116" t="e">
        <f>AND(Liste!#REF!,"AAAAAF7//oE=")</f>
        <v>#REF!</v>
      </c>
      <c r="EA116" t="e">
        <f>AND(Liste!#REF!,"AAAAAF7//oI=")</f>
        <v>#REF!</v>
      </c>
      <c r="EB116" t="e">
        <f>AND(Liste!#REF!,"AAAAAF7//oM=")</f>
        <v>#REF!</v>
      </c>
      <c r="EC116" t="e">
        <f>AND(Liste!#REF!,"AAAAAF7//oQ=")</f>
        <v>#REF!</v>
      </c>
      <c r="ED116" t="e">
        <f>AND(Liste!#REF!,"AAAAAF7//oU=")</f>
        <v>#REF!</v>
      </c>
      <c r="EE116">
        <f>IF(Liste!622:622,"AAAAAF7//oY=",0)</f>
        <v>0</v>
      </c>
      <c r="EF116" t="b">
        <f>AND(Liste!A605,"AAAAAF7//oc=")</f>
        <v>1</v>
      </c>
      <c r="EG116" t="e">
        <f>AND(Liste!#REF!,"AAAAAF7//og=")</f>
        <v>#REF!</v>
      </c>
      <c r="EH116" t="e">
        <f>AND(Liste!#REF!,"AAAAAF7//ok=")</f>
        <v>#REF!</v>
      </c>
      <c r="EI116" t="e">
        <f>AND(Liste!#REF!,"AAAAAF7//oo=")</f>
        <v>#REF!</v>
      </c>
      <c r="EJ116" t="e">
        <f>AND(Liste!F622,"AAAAAF7//os=")</f>
        <v>#VALUE!</v>
      </c>
      <c r="EK116" t="e">
        <f>AND(Liste!G622,"AAAAAF7//ow=")</f>
        <v>#VALUE!</v>
      </c>
      <c r="EL116" t="e">
        <f>AND(Liste!H622,"AAAAAF7//o0=")</f>
        <v>#VALUE!</v>
      </c>
      <c r="EM116" t="e">
        <f>AND(Liste!I622,"AAAAAF7//o4=")</f>
        <v>#VALUE!</v>
      </c>
      <c r="EN116" t="e">
        <f>AND(Liste!J622,"AAAAAF7//o8=")</f>
        <v>#VALUE!</v>
      </c>
      <c r="EO116" t="e">
        <f>AND(Liste!#REF!,"AAAAAF7//pA=")</f>
        <v>#REF!</v>
      </c>
      <c r="EP116" t="e">
        <f>AND(Liste!#REF!,"AAAAAF7//pE=")</f>
        <v>#REF!</v>
      </c>
      <c r="EQ116" t="e">
        <f>AND(Liste!#REF!,"AAAAAF7//pI=")</f>
        <v>#REF!</v>
      </c>
      <c r="ER116" t="e">
        <f>AND(Liste!#REF!,"AAAAAF7//pM=")</f>
        <v>#REF!</v>
      </c>
      <c r="ES116" t="e">
        <f>AND(Liste!#REF!,"AAAAAF7//pQ=")</f>
        <v>#REF!</v>
      </c>
      <c r="ET116" t="e">
        <f>AND(Liste!#REF!,"AAAAAF7//pU=")</f>
        <v>#REF!</v>
      </c>
      <c r="EU116" t="e">
        <f>AND(Liste!#REF!,"AAAAAF7//pY=")</f>
        <v>#REF!</v>
      </c>
      <c r="EV116" t="e">
        <f>AND(Liste!#REF!,"AAAAAF7//pc=")</f>
        <v>#REF!</v>
      </c>
      <c r="EW116" t="e">
        <f>AND(Liste!#REF!,"AAAAAF7//pg=")</f>
        <v>#REF!</v>
      </c>
      <c r="EX116" t="e">
        <f>AND(Liste!#REF!,"AAAAAF7//pk=")</f>
        <v>#REF!</v>
      </c>
      <c r="EY116" t="e">
        <f>AND(Liste!#REF!,"AAAAAF7//po=")</f>
        <v>#REF!</v>
      </c>
      <c r="EZ116" t="e">
        <f>AND(Liste!#REF!,"AAAAAF7//ps=")</f>
        <v>#REF!</v>
      </c>
      <c r="FA116" t="e">
        <f>AND(Liste!#REF!,"AAAAAF7//pw=")</f>
        <v>#REF!</v>
      </c>
      <c r="FB116" t="e">
        <f>AND(Liste!#REF!,"AAAAAF7//p0=")</f>
        <v>#REF!</v>
      </c>
      <c r="FC116" t="e">
        <f>AND(Liste!#REF!,"AAAAAF7//p4=")</f>
        <v>#REF!</v>
      </c>
      <c r="FD116" t="e">
        <f>AND(Liste!#REF!,"AAAAAF7//p8=")</f>
        <v>#REF!</v>
      </c>
      <c r="FE116" t="e">
        <f>AND(Liste!#REF!,"AAAAAF7//qA=")</f>
        <v>#REF!</v>
      </c>
      <c r="FF116" t="e">
        <f>AND(Liste!#REF!,"AAAAAF7//qE=")</f>
        <v>#REF!</v>
      </c>
      <c r="FG116" t="e">
        <f>AND(Liste!#REF!,"AAAAAF7//qI=")</f>
        <v>#REF!</v>
      </c>
      <c r="FH116" t="e">
        <f>AND(Liste!#REF!,"AAAAAF7//qM=")</f>
        <v>#REF!</v>
      </c>
      <c r="FI116" t="e">
        <f>AND(Liste!#REF!,"AAAAAF7//qQ=")</f>
        <v>#REF!</v>
      </c>
      <c r="FJ116">
        <f>IF(Liste!633:633,"AAAAAF7//qU=",0)</f>
        <v>0</v>
      </c>
      <c r="FK116" t="b">
        <f>AND(Liste!A606,"AAAAAF7//qY=")</f>
        <v>1</v>
      </c>
      <c r="FL116" t="e">
        <f>AND(Liste!#REF!,"AAAAAF7//qc=")</f>
        <v>#REF!</v>
      </c>
      <c r="FM116" t="e">
        <f>AND(Liste!#REF!,"AAAAAF7//qg=")</f>
        <v>#REF!</v>
      </c>
      <c r="FN116" t="e">
        <f>AND(Liste!#REF!,"AAAAAF7//qk=")</f>
        <v>#REF!</v>
      </c>
      <c r="FO116" t="e">
        <f>AND(Liste!F633,"AAAAAF7//qo=")</f>
        <v>#VALUE!</v>
      </c>
      <c r="FP116" t="e">
        <f>AND(Liste!G633,"AAAAAF7//qs=")</f>
        <v>#VALUE!</v>
      </c>
      <c r="FQ116" t="e">
        <f>AND(Liste!H633,"AAAAAF7//qw=")</f>
        <v>#VALUE!</v>
      </c>
      <c r="FR116" t="e">
        <f>AND(Liste!I633,"AAAAAF7//q0=")</f>
        <v>#VALUE!</v>
      </c>
      <c r="FS116" t="e">
        <f>AND(Liste!J633,"AAAAAF7//q4=")</f>
        <v>#VALUE!</v>
      </c>
      <c r="FT116" t="e">
        <f>AND(Liste!#REF!,"AAAAAF7//q8=")</f>
        <v>#REF!</v>
      </c>
      <c r="FU116" t="e">
        <f>AND(Liste!#REF!,"AAAAAF7//rA=")</f>
        <v>#REF!</v>
      </c>
      <c r="FV116" t="e">
        <f>AND(Liste!#REF!,"AAAAAF7//rE=")</f>
        <v>#REF!</v>
      </c>
      <c r="FW116" t="e">
        <f>AND(Liste!#REF!,"AAAAAF7//rI=")</f>
        <v>#REF!</v>
      </c>
      <c r="FX116" t="e">
        <f>AND(Liste!#REF!,"AAAAAF7//rM=")</f>
        <v>#REF!</v>
      </c>
      <c r="FY116" t="e">
        <f>AND(Liste!#REF!,"AAAAAF7//rQ=")</f>
        <v>#REF!</v>
      </c>
      <c r="FZ116" t="e">
        <f>AND(Liste!#REF!,"AAAAAF7//rU=")</f>
        <v>#REF!</v>
      </c>
      <c r="GA116" t="e">
        <f>AND(Liste!#REF!,"AAAAAF7//rY=")</f>
        <v>#REF!</v>
      </c>
      <c r="GB116" t="e">
        <f>AND(Liste!#REF!,"AAAAAF7//rc=")</f>
        <v>#REF!</v>
      </c>
      <c r="GC116" t="e">
        <f>AND(Liste!#REF!,"AAAAAF7//rg=")</f>
        <v>#REF!</v>
      </c>
      <c r="GD116" t="e">
        <f>AND(Liste!#REF!,"AAAAAF7//rk=")</f>
        <v>#REF!</v>
      </c>
      <c r="GE116" t="e">
        <f>AND(Liste!#REF!,"AAAAAF7//ro=")</f>
        <v>#REF!</v>
      </c>
      <c r="GF116" t="e">
        <f>AND(Liste!#REF!,"AAAAAF7//rs=")</f>
        <v>#REF!</v>
      </c>
      <c r="GG116" t="e">
        <f>AND(Liste!#REF!,"AAAAAF7//rw=")</f>
        <v>#REF!</v>
      </c>
      <c r="GH116" t="e">
        <f>AND(Liste!#REF!,"AAAAAF7//r0=")</f>
        <v>#REF!</v>
      </c>
      <c r="GI116" t="e">
        <f>AND(Liste!#REF!,"AAAAAF7//r4=")</f>
        <v>#REF!</v>
      </c>
      <c r="GJ116" t="e">
        <f>AND(Liste!#REF!,"AAAAAF7//r8=")</f>
        <v>#REF!</v>
      </c>
      <c r="GK116" t="e">
        <f>AND(Liste!#REF!,"AAAAAF7//sA=")</f>
        <v>#REF!</v>
      </c>
      <c r="GL116" t="e">
        <f>AND(Liste!#REF!,"AAAAAF7//sE=")</f>
        <v>#REF!</v>
      </c>
      <c r="GM116" t="e">
        <f>AND(Liste!#REF!,"AAAAAF7//sI=")</f>
        <v>#REF!</v>
      </c>
      <c r="GN116" t="e">
        <f>AND(Liste!#REF!,"AAAAAF7//sM=")</f>
        <v>#REF!</v>
      </c>
      <c r="GO116" t="e">
        <f>IF(Liste!#REF!,"AAAAAF7//sQ=",0)</f>
        <v>#REF!</v>
      </c>
      <c r="GP116" t="b">
        <f>AND(Liste!A607,"AAAAAF7//sU=")</f>
        <v>1</v>
      </c>
      <c r="GQ116" t="e">
        <f>AND(Liste!#REF!,"AAAAAF7//sY=")</f>
        <v>#REF!</v>
      </c>
      <c r="GR116" t="e">
        <f>AND(Liste!#REF!,"AAAAAF7//sc=")</f>
        <v>#REF!</v>
      </c>
      <c r="GS116" t="e">
        <f>AND(Liste!#REF!,"AAAAAF7//sg=")</f>
        <v>#REF!</v>
      </c>
      <c r="GT116" t="e">
        <f>AND(Liste!#REF!,"AAAAAF7//sk=")</f>
        <v>#REF!</v>
      </c>
      <c r="GU116" t="e">
        <f>AND(Liste!#REF!,"AAAAAF7//so=")</f>
        <v>#REF!</v>
      </c>
      <c r="GV116" t="e">
        <f>AND(Liste!#REF!,"AAAAAF7//ss=")</f>
        <v>#REF!</v>
      </c>
      <c r="GW116" t="e">
        <f>AND(Liste!#REF!,"AAAAAF7//sw=")</f>
        <v>#REF!</v>
      </c>
      <c r="GX116" t="e">
        <f>AND(Liste!#REF!,"AAAAAF7//s0=")</f>
        <v>#REF!</v>
      </c>
      <c r="GY116" t="e">
        <f>AND(Liste!#REF!,"AAAAAF7//s4=")</f>
        <v>#REF!</v>
      </c>
      <c r="GZ116" t="e">
        <f>AND(Liste!#REF!,"AAAAAF7//s8=")</f>
        <v>#REF!</v>
      </c>
      <c r="HA116" t="e">
        <f>AND(Liste!#REF!,"AAAAAF7//tA=")</f>
        <v>#REF!</v>
      </c>
      <c r="HB116" t="e">
        <f>AND(Liste!#REF!,"AAAAAF7//tE=")</f>
        <v>#REF!</v>
      </c>
      <c r="HC116" t="e">
        <f>AND(Liste!#REF!,"AAAAAF7//tI=")</f>
        <v>#REF!</v>
      </c>
      <c r="HD116" t="e">
        <f>AND(Liste!#REF!,"AAAAAF7//tM=")</f>
        <v>#REF!</v>
      </c>
      <c r="HE116" t="e">
        <f>AND(Liste!#REF!,"AAAAAF7//tQ=")</f>
        <v>#REF!</v>
      </c>
      <c r="HF116" t="e">
        <f>AND(Liste!#REF!,"AAAAAF7//tU=")</f>
        <v>#REF!</v>
      </c>
      <c r="HG116" t="e">
        <f>AND(Liste!#REF!,"AAAAAF7//tY=")</f>
        <v>#REF!</v>
      </c>
      <c r="HH116" t="e">
        <f>AND(Liste!#REF!,"AAAAAF7//tc=")</f>
        <v>#REF!</v>
      </c>
      <c r="HI116" t="e">
        <f>AND(Liste!#REF!,"AAAAAF7//tg=")</f>
        <v>#REF!</v>
      </c>
      <c r="HJ116" t="e">
        <f>AND(Liste!#REF!,"AAAAAF7//tk=")</f>
        <v>#REF!</v>
      </c>
      <c r="HK116" t="e">
        <f>AND(Liste!#REF!,"AAAAAF7//to=")</f>
        <v>#REF!</v>
      </c>
      <c r="HL116" t="e">
        <f>AND(Liste!#REF!,"AAAAAF7//ts=")</f>
        <v>#REF!</v>
      </c>
      <c r="HM116" t="e">
        <f>AND(Liste!#REF!,"AAAAAF7//tw=")</f>
        <v>#REF!</v>
      </c>
      <c r="HN116" t="e">
        <f>AND(Liste!#REF!,"AAAAAF7//t0=")</f>
        <v>#REF!</v>
      </c>
      <c r="HO116" t="e">
        <f>AND(Liste!#REF!,"AAAAAF7//t4=")</f>
        <v>#REF!</v>
      </c>
      <c r="HP116" t="e">
        <f>AND(Liste!#REF!,"AAAAAF7//t8=")</f>
        <v>#REF!</v>
      </c>
      <c r="HQ116" t="e">
        <f>AND(Liste!#REF!,"AAAAAF7//uA=")</f>
        <v>#REF!</v>
      </c>
      <c r="HR116" t="e">
        <f>AND(Liste!#REF!,"AAAAAF7//uE=")</f>
        <v>#REF!</v>
      </c>
      <c r="HS116" t="e">
        <f>AND(Liste!#REF!,"AAAAAF7//uI=")</f>
        <v>#REF!</v>
      </c>
      <c r="HT116" t="e">
        <f>IF(Liste!#REF!,"AAAAAF7//uM=",0)</f>
        <v>#REF!</v>
      </c>
      <c r="HU116" t="b">
        <f>AND(Liste!A608,"AAAAAF7//uQ=")</f>
        <v>1</v>
      </c>
      <c r="HV116" t="e">
        <f>AND(Liste!#REF!,"AAAAAF7//uU=")</f>
        <v>#REF!</v>
      </c>
      <c r="HW116" t="e">
        <f>AND(Liste!#REF!,"AAAAAF7//uY=")</f>
        <v>#REF!</v>
      </c>
      <c r="HX116" t="e">
        <f>AND(Liste!#REF!,"AAAAAF7//uc=")</f>
        <v>#REF!</v>
      </c>
      <c r="HY116" t="e">
        <f>AND(Liste!#REF!,"AAAAAF7//ug=")</f>
        <v>#REF!</v>
      </c>
      <c r="HZ116" t="e">
        <f>AND(Liste!#REF!,"AAAAAF7//uk=")</f>
        <v>#REF!</v>
      </c>
      <c r="IA116" t="e">
        <f>AND(Liste!#REF!,"AAAAAF7//uo=")</f>
        <v>#REF!</v>
      </c>
      <c r="IB116" t="e">
        <f>AND(Liste!#REF!,"AAAAAF7//us=")</f>
        <v>#REF!</v>
      </c>
      <c r="IC116" t="e">
        <f>AND(Liste!#REF!,"AAAAAF7//uw=")</f>
        <v>#REF!</v>
      </c>
      <c r="ID116" t="e">
        <f>AND(Liste!#REF!,"AAAAAF7//u0=")</f>
        <v>#REF!</v>
      </c>
      <c r="IE116" t="e">
        <f>AND(Liste!#REF!,"AAAAAF7//u4=")</f>
        <v>#REF!</v>
      </c>
      <c r="IF116" t="e">
        <f>AND(Liste!#REF!,"AAAAAF7//u8=")</f>
        <v>#REF!</v>
      </c>
      <c r="IG116" t="e">
        <f>AND(Liste!#REF!,"AAAAAF7//vA=")</f>
        <v>#REF!</v>
      </c>
      <c r="IH116" t="e">
        <f>AND(Liste!#REF!,"AAAAAF7//vE=")</f>
        <v>#REF!</v>
      </c>
      <c r="II116" t="e">
        <f>AND(Liste!#REF!,"AAAAAF7//vI=")</f>
        <v>#REF!</v>
      </c>
      <c r="IJ116" t="e">
        <f>AND(Liste!#REF!,"AAAAAF7//vM=")</f>
        <v>#REF!</v>
      </c>
      <c r="IK116" t="e">
        <f>AND(Liste!#REF!,"AAAAAF7//vQ=")</f>
        <v>#REF!</v>
      </c>
      <c r="IL116" t="e">
        <f>AND(Liste!#REF!,"AAAAAF7//vU=")</f>
        <v>#REF!</v>
      </c>
      <c r="IM116" t="e">
        <f>AND(Liste!#REF!,"AAAAAF7//vY=")</f>
        <v>#REF!</v>
      </c>
      <c r="IN116" t="e">
        <f>AND(Liste!#REF!,"AAAAAF7//vc=")</f>
        <v>#REF!</v>
      </c>
      <c r="IO116" t="e">
        <f>AND(Liste!#REF!,"AAAAAF7//vg=")</f>
        <v>#REF!</v>
      </c>
      <c r="IP116" t="e">
        <f>AND(Liste!#REF!,"AAAAAF7//vk=")</f>
        <v>#REF!</v>
      </c>
      <c r="IQ116" t="e">
        <f>AND(Liste!#REF!,"AAAAAF7//vo=")</f>
        <v>#REF!</v>
      </c>
      <c r="IR116" t="e">
        <f>AND(Liste!#REF!,"AAAAAF7//vs=")</f>
        <v>#REF!</v>
      </c>
      <c r="IS116" t="e">
        <f>AND(Liste!#REF!,"AAAAAF7//vw=")</f>
        <v>#REF!</v>
      </c>
      <c r="IT116" t="e">
        <f>AND(Liste!#REF!,"AAAAAF7//v0=")</f>
        <v>#REF!</v>
      </c>
      <c r="IU116" t="e">
        <f>AND(Liste!#REF!,"AAAAAF7//v4=")</f>
        <v>#REF!</v>
      </c>
      <c r="IV116" t="e">
        <f>AND(Liste!#REF!,"AAAAAF7//v8=")</f>
        <v>#REF!</v>
      </c>
    </row>
    <row r="117" spans="1:256" x14ac:dyDescent="0.2">
      <c r="A117" t="e">
        <f>AND(Liste!#REF!,"AAAAAHtV3wA=")</f>
        <v>#REF!</v>
      </c>
      <c r="B117" t="e">
        <f>AND(Liste!#REF!,"AAAAAHtV3wE=")</f>
        <v>#REF!</v>
      </c>
      <c r="C117" t="e">
        <f>IF(Liste!#REF!,"AAAAAHtV3wI=",0)</f>
        <v>#REF!</v>
      </c>
      <c r="D117" t="b">
        <f>AND(Liste!A609,"AAAAAHtV3wM=")</f>
        <v>1</v>
      </c>
      <c r="E117" t="e">
        <f>AND(Liste!#REF!,"AAAAAHtV3wQ=")</f>
        <v>#REF!</v>
      </c>
      <c r="F117" t="e">
        <f>AND(Liste!#REF!,"AAAAAHtV3wU=")</f>
        <v>#REF!</v>
      </c>
      <c r="G117" t="e">
        <f>AND(Liste!#REF!,"AAAAAHtV3wY=")</f>
        <v>#REF!</v>
      </c>
      <c r="H117" t="e">
        <f>AND(Liste!#REF!,"AAAAAHtV3wc=")</f>
        <v>#REF!</v>
      </c>
      <c r="I117" t="e">
        <f>AND(Liste!#REF!,"AAAAAHtV3wg=")</f>
        <v>#REF!</v>
      </c>
      <c r="J117" t="e">
        <f>AND(Liste!#REF!,"AAAAAHtV3wk=")</f>
        <v>#REF!</v>
      </c>
      <c r="K117" t="e">
        <f>AND(Liste!#REF!,"AAAAAHtV3wo=")</f>
        <v>#REF!</v>
      </c>
      <c r="L117" t="e">
        <f>AND(Liste!#REF!,"AAAAAHtV3ws=")</f>
        <v>#REF!</v>
      </c>
      <c r="M117" t="e">
        <f>AND(Liste!#REF!,"AAAAAHtV3ww=")</f>
        <v>#REF!</v>
      </c>
      <c r="N117" t="e">
        <f>AND(Liste!#REF!,"AAAAAHtV3w0=")</f>
        <v>#REF!</v>
      </c>
      <c r="O117" t="e">
        <f>AND(Liste!#REF!,"AAAAAHtV3w4=")</f>
        <v>#REF!</v>
      </c>
      <c r="P117" t="e">
        <f>AND(Liste!#REF!,"AAAAAHtV3w8=")</f>
        <v>#REF!</v>
      </c>
      <c r="Q117" t="e">
        <f>AND(Liste!#REF!,"AAAAAHtV3xA=")</f>
        <v>#REF!</v>
      </c>
      <c r="R117" t="e">
        <f>AND(Liste!#REF!,"AAAAAHtV3xE=")</f>
        <v>#REF!</v>
      </c>
      <c r="S117" t="e">
        <f>AND(Liste!#REF!,"AAAAAHtV3xI=")</f>
        <v>#REF!</v>
      </c>
      <c r="T117" t="e">
        <f>AND(Liste!#REF!,"AAAAAHtV3xM=")</f>
        <v>#REF!</v>
      </c>
      <c r="U117" t="e">
        <f>AND(Liste!#REF!,"AAAAAHtV3xQ=")</f>
        <v>#REF!</v>
      </c>
      <c r="V117" t="e">
        <f>AND(Liste!#REF!,"AAAAAHtV3xU=")</f>
        <v>#REF!</v>
      </c>
      <c r="W117" t="e">
        <f>AND(Liste!#REF!,"AAAAAHtV3xY=")</f>
        <v>#REF!</v>
      </c>
      <c r="X117" t="e">
        <f>AND(Liste!#REF!,"AAAAAHtV3xc=")</f>
        <v>#REF!</v>
      </c>
      <c r="Y117" t="e">
        <f>AND(Liste!#REF!,"AAAAAHtV3xg=")</f>
        <v>#REF!</v>
      </c>
      <c r="Z117" t="e">
        <f>AND(Liste!#REF!,"AAAAAHtV3xk=")</f>
        <v>#REF!</v>
      </c>
      <c r="AA117" t="e">
        <f>AND(Liste!#REF!,"AAAAAHtV3xo=")</f>
        <v>#REF!</v>
      </c>
      <c r="AB117" t="e">
        <f>AND(Liste!#REF!,"AAAAAHtV3xs=")</f>
        <v>#REF!</v>
      </c>
      <c r="AC117" t="e">
        <f>AND(Liste!#REF!,"AAAAAHtV3xw=")</f>
        <v>#REF!</v>
      </c>
      <c r="AD117" t="e">
        <f>AND(Liste!#REF!,"AAAAAHtV3x0=")</f>
        <v>#REF!</v>
      </c>
      <c r="AE117" t="e">
        <f>AND(Liste!#REF!,"AAAAAHtV3x4=")</f>
        <v>#REF!</v>
      </c>
      <c r="AF117" t="e">
        <f>AND(Liste!#REF!,"AAAAAHtV3x8=")</f>
        <v>#REF!</v>
      </c>
      <c r="AG117" t="e">
        <f>AND(Liste!#REF!,"AAAAAHtV3yA=")</f>
        <v>#REF!</v>
      </c>
      <c r="AH117" t="e">
        <f>IF(Liste!#REF!,"AAAAAHtV3yE=",0)</f>
        <v>#REF!</v>
      </c>
      <c r="AI117" t="b">
        <f>AND(Liste!A610,"AAAAAHtV3yI=")</f>
        <v>1</v>
      </c>
      <c r="AJ117" t="e">
        <f>AND(Liste!#REF!,"AAAAAHtV3yM=")</f>
        <v>#REF!</v>
      </c>
      <c r="AK117" t="e">
        <f>AND(Liste!#REF!,"AAAAAHtV3yQ=")</f>
        <v>#REF!</v>
      </c>
      <c r="AL117" t="e">
        <f>AND(Liste!#REF!,"AAAAAHtV3yU=")</f>
        <v>#REF!</v>
      </c>
      <c r="AM117" t="e">
        <f>AND(Liste!#REF!,"AAAAAHtV3yY=")</f>
        <v>#REF!</v>
      </c>
      <c r="AN117" t="e">
        <f>AND(Liste!#REF!,"AAAAAHtV3yc=")</f>
        <v>#REF!</v>
      </c>
      <c r="AO117" t="e">
        <f>AND(Liste!#REF!,"AAAAAHtV3yg=")</f>
        <v>#REF!</v>
      </c>
      <c r="AP117" t="e">
        <f>AND(Liste!#REF!,"AAAAAHtV3yk=")</f>
        <v>#REF!</v>
      </c>
      <c r="AQ117" t="e">
        <f>AND(Liste!#REF!,"AAAAAHtV3yo=")</f>
        <v>#REF!</v>
      </c>
      <c r="AR117" t="e">
        <f>AND(Liste!#REF!,"AAAAAHtV3ys=")</f>
        <v>#REF!</v>
      </c>
      <c r="AS117" t="e">
        <f>AND(Liste!#REF!,"AAAAAHtV3yw=")</f>
        <v>#REF!</v>
      </c>
      <c r="AT117" t="e">
        <f>AND(Liste!#REF!,"AAAAAHtV3y0=")</f>
        <v>#REF!</v>
      </c>
      <c r="AU117" t="e">
        <f>AND(Liste!#REF!,"AAAAAHtV3y4=")</f>
        <v>#REF!</v>
      </c>
      <c r="AV117" t="e">
        <f>AND(Liste!#REF!,"AAAAAHtV3y8=")</f>
        <v>#REF!</v>
      </c>
      <c r="AW117" t="e">
        <f>AND(Liste!#REF!,"AAAAAHtV3zA=")</f>
        <v>#REF!</v>
      </c>
      <c r="AX117" t="e">
        <f>AND(Liste!#REF!,"AAAAAHtV3zE=")</f>
        <v>#REF!</v>
      </c>
      <c r="AY117" t="e">
        <f>AND(Liste!#REF!,"AAAAAHtV3zI=")</f>
        <v>#REF!</v>
      </c>
      <c r="AZ117" t="e">
        <f>AND(Liste!#REF!,"AAAAAHtV3zM=")</f>
        <v>#REF!</v>
      </c>
      <c r="BA117" t="e">
        <f>AND(Liste!#REF!,"AAAAAHtV3zQ=")</f>
        <v>#REF!</v>
      </c>
      <c r="BB117" t="e">
        <f>AND(Liste!#REF!,"AAAAAHtV3zU=")</f>
        <v>#REF!</v>
      </c>
      <c r="BC117" t="e">
        <f>AND(Liste!#REF!,"AAAAAHtV3zY=")</f>
        <v>#REF!</v>
      </c>
      <c r="BD117" t="e">
        <f>AND(Liste!#REF!,"AAAAAHtV3zc=")</f>
        <v>#REF!</v>
      </c>
      <c r="BE117" t="e">
        <f>AND(Liste!#REF!,"AAAAAHtV3zg=")</f>
        <v>#REF!</v>
      </c>
      <c r="BF117" t="e">
        <f>AND(Liste!#REF!,"AAAAAHtV3zk=")</f>
        <v>#REF!</v>
      </c>
      <c r="BG117" t="e">
        <f>AND(Liste!#REF!,"AAAAAHtV3zo=")</f>
        <v>#REF!</v>
      </c>
      <c r="BH117" t="e">
        <f>AND(Liste!#REF!,"AAAAAHtV3zs=")</f>
        <v>#REF!</v>
      </c>
      <c r="BI117" t="e">
        <f>AND(Liste!#REF!,"AAAAAHtV3zw=")</f>
        <v>#REF!</v>
      </c>
      <c r="BJ117" t="e">
        <f>AND(Liste!#REF!,"AAAAAHtV3z0=")</f>
        <v>#REF!</v>
      </c>
      <c r="BK117" t="e">
        <f>AND(Liste!#REF!,"AAAAAHtV3z4=")</f>
        <v>#REF!</v>
      </c>
      <c r="BL117" t="e">
        <f>AND(Liste!#REF!,"AAAAAHtV3z8=")</f>
        <v>#REF!</v>
      </c>
      <c r="BM117" t="e">
        <f>IF(Liste!#REF!,"AAAAAHtV30A=",0)</f>
        <v>#REF!</v>
      </c>
      <c r="BN117" t="b">
        <f>AND(Liste!A611,"AAAAAHtV30E=")</f>
        <v>1</v>
      </c>
      <c r="BO117" t="e">
        <f>AND(Liste!#REF!,"AAAAAHtV30I=")</f>
        <v>#REF!</v>
      </c>
      <c r="BP117" t="e">
        <f>AND(Liste!#REF!,"AAAAAHtV30M=")</f>
        <v>#REF!</v>
      </c>
      <c r="BQ117" t="e">
        <f>AND(Liste!#REF!,"AAAAAHtV30Q=")</f>
        <v>#REF!</v>
      </c>
      <c r="BR117" t="e">
        <f>AND(Liste!#REF!,"AAAAAHtV30U=")</f>
        <v>#REF!</v>
      </c>
      <c r="BS117" t="e">
        <f>AND(Liste!#REF!,"AAAAAHtV30Y=")</f>
        <v>#REF!</v>
      </c>
      <c r="BT117" t="e">
        <f>AND(Liste!#REF!,"AAAAAHtV30c=")</f>
        <v>#REF!</v>
      </c>
      <c r="BU117" t="e">
        <f>AND(Liste!#REF!,"AAAAAHtV30g=")</f>
        <v>#REF!</v>
      </c>
      <c r="BV117" t="e">
        <f>AND(Liste!#REF!,"AAAAAHtV30k=")</f>
        <v>#REF!</v>
      </c>
      <c r="BW117" t="e">
        <f>AND(Liste!#REF!,"AAAAAHtV30o=")</f>
        <v>#REF!</v>
      </c>
      <c r="BX117" t="e">
        <f>AND(Liste!#REF!,"AAAAAHtV30s=")</f>
        <v>#REF!</v>
      </c>
      <c r="BY117" t="e">
        <f>AND(Liste!#REF!,"AAAAAHtV30w=")</f>
        <v>#REF!</v>
      </c>
      <c r="BZ117" t="e">
        <f>AND(Liste!#REF!,"AAAAAHtV300=")</f>
        <v>#REF!</v>
      </c>
      <c r="CA117" t="e">
        <f>AND(Liste!#REF!,"AAAAAHtV304=")</f>
        <v>#REF!</v>
      </c>
      <c r="CB117" t="e">
        <f>AND(Liste!#REF!,"AAAAAHtV308=")</f>
        <v>#REF!</v>
      </c>
      <c r="CC117" t="e">
        <f>AND(Liste!#REF!,"AAAAAHtV31A=")</f>
        <v>#REF!</v>
      </c>
      <c r="CD117" t="e">
        <f>AND(Liste!#REF!,"AAAAAHtV31E=")</f>
        <v>#REF!</v>
      </c>
      <c r="CE117" t="e">
        <f>AND(Liste!#REF!,"AAAAAHtV31I=")</f>
        <v>#REF!</v>
      </c>
      <c r="CF117" t="e">
        <f>AND(Liste!#REF!,"AAAAAHtV31M=")</f>
        <v>#REF!</v>
      </c>
      <c r="CG117" t="e">
        <f>AND(Liste!#REF!,"AAAAAHtV31Q=")</f>
        <v>#REF!</v>
      </c>
      <c r="CH117" t="e">
        <f>AND(Liste!#REF!,"AAAAAHtV31U=")</f>
        <v>#REF!</v>
      </c>
      <c r="CI117" t="e">
        <f>AND(Liste!#REF!,"AAAAAHtV31Y=")</f>
        <v>#REF!</v>
      </c>
      <c r="CJ117" t="e">
        <f>AND(Liste!#REF!,"AAAAAHtV31c=")</f>
        <v>#REF!</v>
      </c>
      <c r="CK117" t="e">
        <f>AND(Liste!#REF!,"AAAAAHtV31g=")</f>
        <v>#REF!</v>
      </c>
      <c r="CL117" t="e">
        <f>AND(Liste!#REF!,"AAAAAHtV31k=")</f>
        <v>#REF!</v>
      </c>
      <c r="CM117" t="e">
        <f>AND(Liste!#REF!,"AAAAAHtV31o=")</f>
        <v>#REF!</v>
      </c>
      <c r="CN117" t="e">
        <f>AND(Liste!#REF!,"AAAAAHtV31s=")</f>
        <v>#REF!</v>
      </c>
      <c r="CO117" t="e">
        <f>AND(Liste!#REF!,"AAAAAHtV31w=")</f>
        <v>#REF!</v>
      </c>
      <c r="CP117" t="e">
        <f>AND(Liste!#REF!,"AAAAAHtV310=")</f>
        <v>#REF!</v>
      </c>
      <c r="CQ117" t="e">
        <f>AND(Liste!#REF!,"AAAAAHtV314=")</f>
        <v>#REF!</v>
      </c>
      <c r="CR117" t="e">
        <f>IF(Liste!#REF!,"AAAAAHtV318=",0)</f>
        <v>#REF!</v>
      </c>
      <c r="CS117" t="b">
        <f>AND(Liste!A612,"AAAAAHtV32A=")</f>
        <v>1</v>
      </c>
      <c r="CT117" t="e">
        <f>AND(Liste!#REF!,"AAAAAHtV32E=")</f>
        <v>#REF!</v>
      </c>
      <c r="CU117" t="e">
        <f>AND(Liste!#REF!,"AAAAAHtV32I=")</f>
        <v>#REF!</v>
      </c>
      <c r="CV117" t="e">
        <f>AND(Liste!#REF!,"AAAAAHtV32M=")</f>
        <v>#REF!</v>
      </c>
      <c r="CW117" t="e">
        <f>AND(Liste!#REF!,"AAAAAHtV32Q=")</f>
        <v>#REF!</v>
      </c>
      <c r="CX117" t="e">
        <f>AND(Liste!#REF!,"AAAAAHtV32U=")</f>
        <v>#REF!</v>
      </c>
      <c r="CY117" t="e">
        <f>AND(Liste!#REF!,"AAAAAHtV32Y=")</f>
        <v>#REF!</v>
      </c>
      <c r="CZ117" t="e">
        <f>AND(Liste!#REF!,"AAAAAHtV32c=")</f>
        <v>#REF!</v>
      </c>
      <c r="DA117" t="e">
        <f>AND(Liste!#REF!,"AAAAAHtV32g=")</f>
        <v>#REF!</v>
      </c>
      <c r="DB117" t="e">
        <f>AND(Liste!#REF!,"AAAAAHtV32k=")</f>
        <v>#REF!</v>
      </c>
      <c r="DC117" t="e">
        <f>AND(Liste!#REF!,"AAAAAHtV32o=")</f>
        <v>#REF!</v>
      </c>
      <c r="DD117" t="e">
        <f>AND(Liste!#REF!,"AAAAAHtV32s=")</f>
        <v>#REF!</v>
      </c>
      <c r="DE117" t="e">
        <f>AND(Liste!#REF!,"AAAAAHtV32w=")</f>
        <v>#REF!</v>
      </c>
      <c r="DF117" t="e">
        <f>AND(Liste!#REF!,"AAAAAHtV320=")</f>
        <v>#REF!</v>
      </c>
      <c r="DG117" t="e">
        <f>AND(Liste!#REF!,"AAAAAHtV324=")</f>
        <v>#REF!</v>
      </c>
      <c r="DH117" t="e">
        <f>AND(Liste!#REF!,"AAAAAHtV328=")</f>
        <v>#REF!</v>
      </c>
      <c r="DI117" t="e">
        <f>AND(Liste!#REF!,"AAAAAHtV33A=")</f>
        <v>#REF!</v>
      </c>
      <c r="DJ117" t="e">
        <f>AND(Liste!#REF!,"AAAAAHtV33E=")</f>
        <v>#REF!</v>
      </c>
      <c r="DK117" t="e">
        <f>AND(Liste!#REF!,"AAAAAHtV33I=")</f>
        <v>#REF!</v>
      </c>
      <c r="DL117" t="e">
        <f>AND(Liste!#REF!,"AAAAAHtV33M=")</f>
        <v>#REF!</v>
      </c>
      <c r="DM117" t="e">
        <f>AND(Liste!#REF!,"AAAAAHtV33Q=")</f>
        <v>#REF!</v>
      </c>
      <c r="DN117" t="e">
        <f>AND(Liste!#REF!,"AAAAAHtV33U=")</f>
        <v>#REF!</v>
      </c>
      <c r="DO117" t="e">
        <f>AND(Liste!#REF!,"AAAAAHtV33Y=")</f>
        <v>#REF!</v>
      </c>
      <c r="DP117" t="e">
        <f>AND(Liste!#REF!,"AAAAAHtV33c=")</f>
        <v>#REF!</v>
      </c>
      <c r="DQ117" t="e">
        <f>AND(Liste!#REF!,"AAAAAHtV33g=")</f>
        <v>#REF!</v>
      </c>
      <c r="DR117" t="e">
        <f>AND(Liste!#REF!,"AAAAAHtV33k=")</f>
        <v>#REF!</v>
      </c>
      <c r="DS117" t="e">
        <f>AND(Liste!#REF!,"AAAAAHtV33o=")</f>
        <v>#REF!</v>
      </c>
      <c r="DT117" t="e">
        <f>AND(Liste!#REF!,"AAAAAHtV33s=")</f>
        <v>#REF!</v>
      </c>
      <c r="DU117" t="e">
        <f>AND(Liste!#REF!,"AAAAAHtV33w=")</f>
        <v>#REF!</v>
      </c>
      <c r="DV117" t="e">
        <f>AND(Liste!#REF!,"AAAAAHtV330=")</f>
        <v>#REF!</v>
      </c>
      <c r="DW117" t="e">
        <f>IF(Liste!#REF!,"AAAAAHtV334=",0)</f>
        <v>#REF!</v>
      </c>
      <c r="DX117" t="b">
        <f>AND(Liste!A613,"AAAAAHtV338=")</f>
        <v>1</v>
      </c>
      <c r="DY117" t="e">
        <f>AND(Liste!#REF!,"AAAAAHtV34A=")</f>
        <v>#REF!</v>
      </c>
      <c r="DZ117" t="e">
        <f>AND(Liste!#REF!,"AAAAAHtV34E=")</f>
        <v>#REF!</v>
      </c>
      <c r="EA117" t="e">
        <f>AND(Liste!#REF!,"AAAAAHtV34I=")</f>
        <v>#REF!</v>
      </c>
      <c r="EB117" t="e">
        <f>AND(Liste!#REF!,"AAAAAHtV34M=")</f>
        <v>#REF!</v>
      </c>
      <c r="EC117" t="e">
        <f>AND(Liste!#REF!,"AAAAAHtV34Q=")</f>
        <v>#REF!</v>
      </c>
      <c r="ED117" t="e">
        <f>AND(Liste!#REF!,"AAAAAHtV34U=")</f>
        <v>#REF!</v>
      </c>
      <c r="EE117" t="e">
        <f>AND(Liste!#REF!,"AAAAAHtV34Y=")</f>
        <v>#REF!</v>
      </c>
      <c r="EF117" t="e">
        <f>AND(Liste!#REF!,"AAAAAHtV34c=")</f>
        <v>#REF!</v>
      </c>
      <c r="EG117" t="e">
        <f>AND(Liste!#REF!,"AAAAAHtV34g=")</f>
        <v>#REF!</v>
      </c>
      <c r="EH117" t="e">
        <f>AND(Liste!#REF!,"AAAAAHtV34k=")</f>
        <v>#REF!</v>
      </c>
      <c r="EI117" t="e">
        <f>AND(Liste!#REF!,"AAAAAHtV34o=")</f>
        <v>#REF!</v>
      </c>
      <c r="EJ117" t="e">
        <f>AND(Liste!#REF!,"AAAAAHtV34s=")</f>
        <v>#REF!</v>
      </c>
      <c r="EK117" t="e">
        <f>AND(Liste!#REF!,"AAAAAHtV34w=")</f>
        <v>#REF!</v>
      </c>
      <c r="EL117" t="e">
        <f>AND(Liste!#REF!,"AAAAAHtV340=")</f>
        <v>#REF!</v>
      </c>
      <c r="EM117" t="e">
        <f>AND(Liste!#REF!,"AAAAAHtV344=")</f>
        <v>#REF!</v>
      </c>
      <c r="EN117" t="e">
        <f>AND(Liste!#REF!,"AAAAAHtV348=")</f>
        <v>#REF!</v>
      </c>
      <c r="EO117" t="e">
        <f>AND(Liste!#REF!,"AAAAAHtV35A=")</f>
        <v>#REF!</v>
      </c>
      <c r="EP117" t="e">
        <f>AND(Liste!#REF!,"AAAAAHtV35E=")</f>
        <v>#REF!</v>
      </c>
      <c r="EQ117" t="e">
        <f>AND(Liste!#REF!,"AAAAAHtV35I=")</f>
        <v>#REF!</v>
      </c>
      <c r="ER117" t="e">
        <f>AND(Liste!#REF!,"AAAAAHtV35M=")</f>
        <v>#REF!</v>
      </c>
      <c r="ES117" t="e">
        <f>AND(Liste!#REF!,"AAAAAHtV35Q=")</f>
        <v>#REF!</v>
      </c>
      <c r="ET117" t="e">
        <f>AND(Liste!#REF!,"AAAAAHtV35U=")</f>
        <v>#REF!</v>
      </c>
      <c r="EU117" t="e">
        <f>AND(Liste!#REF!,"AAAAAHtV35Y=")</f>
        <v>#REF!</v>
      </c>
      <c r="EV117" t="e">
        <f>AND(Liste!#REF!,"AAAAAHtV35c=")</f>
        <v>#REF!</v>
      </c>
      <c r="EW117" t="e">
        <f>AND(Liste!#REF!,"AAAAAHtV35g=")</f>
        <v>#REF!</v>
      </c>
      <c r="EX117" t="e">
        <f>AND(Liste!#REF!,"AAAAAHtV35k=")</f>
        <v>#REF!</v>
      </c>
      <c r="EY117" t="e">
        <f>AND(Liste!#REF!,"AAAAAHtV35o=")</f>
        <v>#REF!</v>
      </c>
      <c r="EZ117" t="e">
        <f>AND(Liste!#REF!,"AAAAAHtV35s=")</f>
        <v>#REF!</v>
      </c>
      <c r="FA117" t="e">
        <f>AND(Liste!#REF!,"AAAAAHtV35w=")</f>
        <v>#REF!</v>
      </c>
      <c r="FB117" t="e">
        <f>IF(Liste!#REF!,"AAAAAHtV350=",0)</f>
        <v>#REF!</v>
      </c>
      <c r="FC117" t="b">
        <f>AND(Liste!A614,"AAAAAHtV354=")</f>
        <v>1</v>
      </c>
      <c r="FD117" t="e">
        <f>AND(Liste!#REF!,"AAAAAHtV358=")</f>
        <v>#REF!</v>
      </c>
      <c r="FE117" t="e">
        <f>AND(Liste!#REF!,"AAAAAHtV36A=")</f>
        <v>#REF!</v>
      </c>
      <c r="FF117" t="e">
        <f>AND(Liste!#REF!,"AAAAAHtV36E=")</f>
        <v>#REF!</v>
      </c>
      <c r="FG117" t="e">
        <f>AND(Liste!#REF!,"AAAAAHtV36I=")</f>
        <v>#REF!</v>
      </c>
      <c r="FH117" t="e">
        <f>AND(Liste!#REF!,"AAAAAHtV36M=")</f>
        <v>#REF!</v>
      </c>
      <c r="FI117" t="e">
        <f>AND(Liste!#REF!,"AAAAAHtV36Q=")</f>
        <v>#REF!</v>
      </c>
      <c r="FJ117" t="e">
        <f>AND(Liste!#REF!,"AAAAAHtV36U=")</f>
        <v>#REF!</v>
      </c>
      <c r="FK117" t="e">
        <f>AND(Liste!#REF!,"AAAAAHtV36Y=")</f>
        <v>#REF!</v>
      </c>
      <c r="FL117" t="e">
        <f>AND(Liste!#REF!,"AAAAAHtV36c=")</f>
        <v>#REF!</v>
      </c>
      <c r="FM117" t="e">
        <f>AND(Liste!#REF!,"AAAAAHtV36g=")</f>
        <v>#REF!</v>
      </c>
      <c r="FN117" t="e">
        <f>AND(Liste!#REF!,"AAAAAHtV36k=")</f>
        <v>#REF!</v>
      </c>
      <c r="FO117" t="e">
        <f>AND(Liste!#REF!,"AAAAAHtV36o=")</f>
        <v>#REF!</v>
      </c>
      <c r="FP117" t="e">
        <f>AND(Liste!#REF!,"AAAAAHtV36s=")</f>
        <v>#REF!</v>
      </c>
      <c r="FQ117" t="e">
        <f>AND(Liste!#REF!,"AAAAAHtV36w=")</f>
        <v>#REF!</v>
      </c>
      <c r="FR117" t="e">
        <f>AND(Liste!#REF!,"AAAAAHtV360=")</f>
        <v>#REF!</v>
      </c>
      <c r="FS117" t="e">
        <f>AND(Liste!#REF!,"AAAAAHtV364=")</f>
        <v>#REF!</v>
      </c>
      <c r="FT117" t="e">
        <f>AND(Liste!#REF!,"AAAAAHtV368=")</f>
        <v>#REF!</v>
      </c>
      <c r="FU117" t="e">
        <f>AND(Liste!#REF!,"AAAAAHtV37A=")</f>
        <v>#REF!</v>
      </c>
      <c r="FV117" t="e">
        <f>AND(Liste!#REF!,"AAAAAHtV37E=")</f>
        <v>#REF!</v>
      </c>
      <c r="FW117" t="e">
        <f>AND(Liste!#REF!,"AAAAAHtV37I=")</f>
        <v>#REF!</v>
      </c>
      <c r="FX117" t="e">
        <f>AND(Liste!#REF!,"AAAAAHtV37M=")</f>
        <v>#REF!</v>
      </c>
      <c r="FY117" t="e">
        <f>AND(Liste!#REF!,"AAAAAHtV37Q=")</f>
        <v>#REF!</v>
      </c>
      <c r="FZ117" t="e">
        <f>AND(Liste!#REF!,"AAAAAHtV37U=")</f>
        <v>#REF!</v>
      </c>
      <c r="GA117" t="e">
        <f>AND(Liste!#REF!,"AAAAAHtV37Y=")</f>
        <v>#REF!</v>
      </c>
      <c r="GB117" t="e">
        <f>AND(Liste!#REF!,"AAAAAHtV37c=")</f>
        <v>#REF!</v>
      </c>
      <c r="GC117" t="e">
        <f>AND(Liste!#REF!,"AAAAAHtV37g=")</f>
        <v>#REF!</v>
      </c>
      <c r="GD117" t="e">
        <f>AND(Liste!#REF!,"AAAAAHtV37k=")</f>
        <v>#REF!</v>
      </c>
      <c r="GE117" t="e">
        <f>AND(Liste!#REF!,"AAAAAHtV37o=")</f>
        <v>#REF!</v>
      </c>
      <c r="GF117" t="e">
        <f>AND(Liste!#REF!,"AAAAAHtV37s=")</f>
        <v>#REF!</v>
      </c>
      <c r="GG117" t="e">
        <f>IF(Liste!#REF!,"AAAAAHtV37w=",0)</f>
        <v>#REF!</v>
      </c>
      <c r="GH117" t="b">
        <f>AND(Liste!A615,"AAAAAHtV370=")</f>
        <v>1</v>
      </c>
      <c r="GI117" t="e">
        <f>AND(Liste!#REF!,"AAAAAHtV374=")</f>
        <v>#REF!</v>
      </c>
      <c r="GJ117" t="e">
        <f>AND(Liste!#REF!,"AAAAAHtV378=")</f>
        <v>#REF!</v>
      </c>
      <c r="GK117" t="e">
        <f>AND(Liste!#REF!,"AAAAAHtV38A=")</f>
        <v>#REF!</v>
      </c>
      <c r="GL117" t="e">
        <f>AND(Liste!#REF!,"AAAAAHtV38E=")</f>
        <v>#REF!</v>
      </c>
      <c r="GM117" t="e">
        <f>AND(Liste!#REF!,"AAAAAHtV38I=")</f>
        <v>#REF!</v>
      </c>
      <c r="GN117" t="e">
        <f>AND(Liste!#REF!,"AAAAAHtV38M=")</f>
        <v>#REF!</v>
      </c>
      <c r="GO117" t="e">
        <f>AND(Liste!#REF!,"AAAAAHtV38Q=")</f>
        <v>#REF!</v>
      </c>
      <c r="GP117" t="e">
        <f>AND(Liste!#REF!,"AAAAAHtV38U=")</f>
        <v>#REF!</v>
      </c>
      <c r="GQ117" t="e">
        <f>AND(Liste!#REF!,"AAAAAHtV38Y=")</f>
        <v>#REF!</v>
      </c>
      <c r="GR117" t="e">
        <f>AND(Liste!#REF!,"AAAAAHtV38c=")</f>
        <v>#REF!</v>
      </c>
      <c r="GS117" t="e">
        <f>AND(Liste!#REF!,"AAAAAHtV38g=")</f>
        <v>#REF!</v>
      </c>
      <c r="GT117" t="e">
        <f>AND(Liste!#REF!,"AAAAAHtV38k=")</f>
        <v>#REF!</v>
      </c>
      <c r="GU117" t="e">
        <f>AND(Liste!#REF!,"AAAAAHtV38o=")</f>
        <v>#REF!</v>
      </c>
      <c r="GV117" t="e">
        <f>AND(Liste!#REF!,"AAAAAHtV38s=")</f>
        <v>#REF!</v>
      </c>
      <c r="GW117" t="e">
        <f>AND(Liste!#REF!,"AAAAAHtV38w=")</f>
        <v>#REF!</v>
      </c>
      <c r="GX117" t="e">
        <f>AND(Liste!#REF!,"AAAAAHtV380=")</f>
        <v>#REF!</v>
      </c>
      <c r="GY117" t="e">
        <f>AND(Liste!#REF!,"AAAAAHtV384=")</f>
        <v>#REF!</v>
      </c>
      <c r="GZ117" t="e">
        <f>AND(Liste!#REF!,"AAAAAHtV388=")</f>
        <v>#REF!</v>
      </c>
      <c r="HA117" t="e">
        <f>AND(Liste!#REF!,"AAAAAHtV39A=")</f>
        <v>#REF!</v>
      </c>
      <c r="HB117" t="e">
        <f>AND(Liste!#REF!,"AAAAAHtV39E=")</f>
        <v>#REF!</v>
      </c>
      <c r="HC117" t="e">
        <f>AND(Liste!#REF!,"AAAAAHtV39I=")</f>
        <v>#REF!</v>
      </c>
      <c r="HD117" t="e">
        <f>AND(Liste!#REF!,"AAAAAHtV39M=")</f>
        <v>#REF!</v>
      </c>
      <c r="HE117" t="e">
        <f>AND(Liste!#REF!,"AAAAAHtV39Q=")</f>
        <v>#REF!</v>
      </c>
      <c r="HF117" t="e">
        <f>AND(Liste!#REF!,"AAAAAHtV39U=")</f>
        <v>#REF!</v>
      </c>
      <c r="HG117" t="e">
        <f>AND(Liste!#REF!,"AAAAAHtV39Y=")</f>
        <v>#REF!</v>
      </c>
      <c r="HH117" t="e">
        <f>AND(Liste!#REF!,"AAAAAHtV39c=")</f>
        <v>#REF!</v>
      </c>
      <c r="HI117" t="e">
        <f>AND(Liste!#REF!,"AAAAAHtV39g=")</f>
        <v>#REF!</v>
      </c>
      <c r="HJ117" t="e">
        <f>AND(Liste!#REF!,"AAAAAHtV39k=")</f>
        <v>#REF!</v>
      </c>
      <c r="HK117" t="e">
        <f>AND(Liste!#REF!,"AAAAAHtV39o=")</f>
        <v>#REF!</v>
      </c>
      <c r="HL117" t="e">
        <f>IF(Liste!#REF!,"AAAAAHtV39s=",0)</f>
        <v>#REF!</v>
      </c>
      <c r="HM117" t="b">
        <f>AND(Liste!A616,"AAAAAHtV39w=")</f>
        <v>1</v>
      </c>
      <c r="HN117" t="e">
        <f>AND(Liste!#REF!,"AAAAAHtV390=")</f>
        <v>#REF!</v>
      </c>
      <c r="HO117" t="e">
        <f>AND(Liste!#REF!,"AAAAAHtV394=")</f>
        <v>#REF!</v>
      </c>
      <c r="HP117" t="e">
        <f>AND(Liste!#REF!,"AAAAAHtV398=")</f>
        <v>#REF!</v>
      </c>
      <c r="HQ117" t="e">
        <f>AND(Liste!#REF!,"AAAAAHtV3+A=")</f>
        <v>#REF!</v>
      </c>
      <c r="HR117" t="e">
        <f>AND(Liste!#REF!,"AAAAAHtV3+E=")</f>
        <v>#REF!</v>
      </c>
      <c r="HS117" t="e">
        <f>AND(Liste!#REF!,"AAAAAHtV3+I=")</f>
        <v>#REF!</v>
      </c>
      <c r="HT117" t="e">
        <f>AND(Liste!#REF!,"AAAAAHtV3+M=")</f>
        <v>#REF!</v>
      </c>
      <c r="HU117" t="e">
        <f>AND(Liste!#REF!,"AAAAAHtV3+Q=")</f>
        <v>#REF!</v>
      </c>
      <c r="HV117" t="e">
        <f>AND(Liste!#REF!,"AAAAAHtV3+U=")</f>
        <v>#REF!</v>
      </c>
      <c r="HW117" t="e">
        <f>AND(Liste!#REF!,"AAAAAHtV3+Y=")</f>
        <v>#REF!</v>
      </c>
      <c r="HX117" t="e">
        <f>AND(Liste!#REF!,"AAAAAHtV3+c=")</f>
        <v>#REF!</v>
      </c>
      <c r="HY117" t="e">
        <f>AND(Liste!#REF!,"AAAAAHtV3+g=")</f>
        <v>#REF!</v>
      </c>
      <c r="HZ117" t="e">
        <f>AND(Liste!#REF!,"AAAAAHtV3+k=")</f>
        <v>#REF!</v>
      </c>
      <c r="IA117" t="e">
        <f>AND(Liste!#REF!,"AAAAAHtV3+o=")</f>
        <v>#REF!</v>
      </c>
      <c r="IB117" t="e">
        <f>AND(Liste!#REF!,"AAAAAHtV3+s=")</f>
        <v>#REF!</v>
      </c>
      <c r="IC117" t="e">
        <f>AND(Liste!#REF!,"AAAAAHtV3+w=")</f>
        <v>#REF!</v>
      </c>
      <c r="ID117" t="e">
        <f>AND(Liste!#REF!,"AAAAAHtV3+0=")</f>
        <v>#REF!</v>
      </c>
      <c r="IE117" t="e">
        <f>AND(Liste!#REF!,"AAAAAHtV3+4=")</f>
        <v>#REF!</v>
      </c>
      <c r="IF117" t="e">
        <f>AND(Liste!#REF!,"AAAAAHtV3+8=")</f>
        <v>#REF!</v>
      </c>
      <c r="IG117" t="e">
        <f>AND(Liste!#REF!,"AAAAAHtV3/A=")</f>
        <v>#REF!</v>
      </c>
      <c r="IH117" t="e">
        <f>AND(Liste!#REF!,"AAAAAHtV3/E=")</f>
        <v>#REF!</v>
      </c>
      <c r="II117" t="e">
        <f>AND(Liste!#REF!,"AAAAAHtV3/I=")</f>
        <v>#REF!</v>
      </c>
      <c r="IJ117" t="e">
        <f>AND(Liste!#REF!,"AAAAAHtV3/M=")</f>
        <v>#REF!</v>
      </c>
      <c r="IK117" t="e">
        <f>AND(Liste!#REF!,"AAAAAHtV3/Q=")</f>
        <v>#REF!</v>
      </c>
      <c r="IL117" t="e">
        <f>AND(Liste!#REF!,"AAAAAHtV3/U=")</f>
        <v>#REF!</v>
      </c>
      <c r="IM117" t="e">
        <f>AND(Liste!#REF!,"AAAAAHtV3/Y=")</f>
        <v>#REF!</v>
      </c>
      <c r="IN117" t="e">
        <f>AND(Liste!#REF!,"AAAAAHtV3/c=")</f>
        <v>#REF!</v>
      </c>
      <c r="IO117" t="e">
        <f>AND(Liste!#REF!,"AAAAAHtV3/g=")</f>
        <v>#REF!</v>
      </c>
      <c r="IP117" t="e">
        <f>AND(Liste!#REF!,"AAAAAHtV3/k=")</f>
        <v>#REF!</v>
      </c>
      <c r="IQ117" t="e">
        <f>IF(Liste!#REF!,"AAAAAHtV3/o=",0)</f>
        <v>#REF!</v>
      </c>
      <c r="IR117" t="b">
        <f>AND(Liste!A617,"AAAAAHtV3/s=")</f>
        <v>1</v>
      </c>
      <c r="IS117" t="e">
        <f>AND(Liste!#REF!,"AAAAAHtV3/w=")</f>
        <v>#REF!</v>
      </c>
      <c r="IT117" t="e">
        <f>AND(Liste!#REF!,"AAAAAHtV3/0=")</f>
        <v>#REF!</v>
      </c>
      <c r="IU117" t="e">
        <f>AND(Liste!#REF!,"AAAAAHtV3/4=")</f>
        <v>#REF!</v>
      </c>
      <c r="IV117" t="e">
        <f>AND(Liste!#REF!,"AAAAAHtV3/8=")</f>
        <v>#REF!</v>
      </c>
    </row>
    <row r="118" spans="1:256" x14ac:dyDescent="0.2">
      <c r="A118" t="e">
        <f>AND(Liste!#REF!,"AAAAAF73vAA=")</f>
        <v>#REF!</v>
      </c>
      <c r="B118" t="e">
        <f>AND(Liste!#REF!,"AAAAAF73vAE=")</f>
        <v>#REF!</v>
      </c>
      <c r="C118" t="e">
        <f>AND(Liste!#REF!,"AAAAAF73vAI=")</f>
        <v>#REF!</v>
      </c>
      <c r="D118" t="e">
        <f>AND(Liste!#REF!,"AAAAAF73vAM=")</f>
        <v>#REF!</v>
      </c>
      <c r="E118" t="e">
        <f>AND(Liste!#REF!,"AAAAAF73vAQ=")</f>
        <v>#REF!</v>
      </c>
      <c r="F118" t="e">
        <f>AND(Liste!#REF!,"AAAAAF73vAU=")</f>
        <v>#REF!</v>
      </c>
      <c r="G118" t="e">
        <f>AND(Liste!#REF!,"AAAAAF73vAY=")</f>
        <v>#REF!</v>
      </c>
      <c r="H118" t="e">
        <f>AND(Liste!#REF!,"AAAAAF73vAc=")</f>
        <v>#REF!</v>
      </c>
      <c r="I118" t="e">
        <f>AND(Liste!#REF!,"AAAAAF73vAg=")</f>
        <v>#REF!</v>
      </c>
      <c r="J118" t="e">
        <f>AND(Liste!#REF!,"AAAAAF73vAk=")</f>
        <v>#REF!</v>
      </c>
      <c r="K118" t="e">
        <f>AND(Liste!#REF!,"AAAAAF73vAo=")</f>
        <v>#REF!</v>
      </c>
      <c r="L118" t="e">
        <f>AND(Liste!#REF!,"AAAAAF73vAs=")</f>
        <v>#REF!</v>
      </c>
      <c r="M118" t="e">
        <f>AND(Liste!#REF!,"AAAAAF73vAw=")</f>
        <v>#REF!</v>
      </c>
      <c r="N118" t="e">
        <f>AND(Liste!#REF!,"AAAAAF73vA0=")</f>
        <v>#REF!</v>
      </c>
      <c r="O118" t="e">
        <f>AND(Liste!#REF!,"AAAAAF73vA4=")</f>
        <v>#REF!</v>
      </c>
      <c r="P118" t="e">
        <f>AND(Liste!#REF!,"AAAAAF73vA8=")</f>
        <v>#REF!</v>
      </c>
      <c r="Q118" t="e">
        <f>AND(Liste!#REF!,"AAAAAF73vBA=")</f>
        <v>#REF!</v>
      </c>
      <c r="R118" t="e">
        <f>AND(Liste!#REF!,"AAAAAF73vBE=")</f>
        <v>#REF!</v>
      </c>
      <c r="S118" t="e">
        <f>AND(Liste!#REF!,"AAAAAF73vBI=")</f>
        <v>#REF!</v>
      </c>
      <c r="T118" t="e">
        <f>AND(Liste!#REF!,"AAAAAF73vBM=")</f>
        <v>#REF!</v>
      </c>
      <c r="U118" t="e">
        <f>AND(Liste!#REF!,"AAAAAF73vBQ=")</f>
        <v>#REF!</v>
      </c>
      <c r="V118" t="e">
        <f>AND(Liste!#REF!,"AAAAAF73vBU=")</f>
        <v>#REF!</v>
      </c>
      <c r="W118" t="e">
        <f>AND(Liste!#REF!,"AAAAAF73vBY=")</f>
        <v>#REF!</v>
      </c>
      <c r="X118" t="e">
        <f>AND(Liste!#REF!,"AAAAAF73vBc=")</f>
        <v>#REF!</v>
      </c>
      <c r="Y118" t="e">
        <f>AND(Liste!#REF!,"AAAAAF73vBg=")</f>
        <v>#REF!</v>
      </c>
      <c r="Z118" t="e">
        <f>IF(Liste!#REF!,"AAAAAF73vBk=",0)</f>
        <v>#REF!</v>
      </c>
      <c r="AA118" t="b">
        <f>AND(Liste!A618,"AAAAAF73vBo=")</f>
        <v>1</v>
      </c>
      <c r="AB118" t="e">
        <f>AND(Liste!#REF!,"AAAAAF73vBs=")</f>
        <v>#REF!</v>
      </c>
      <c r="AC118" t="e">
        <f>AND(Liste!#REF!,"AAAAAF73vBw=")</f>
        <v>#REF!</v>
      </c>
      <c r="AD118" t="e">
        <f>AND(Liste!#REF!,"AAAAAF73vB0=")</f>
        <v>#REF!</v>
      </c>
      <c r="AE118" t="e">
        <f>AND(Liste!#REF!,"AAAAAF73vB4=")</f>
        <v>#REF!</v>
      </c>
      <c r="AF118" t="e">
        <f>AND(Liste!#REF!,"AAAAAF73vB8=")</f>
        <v>#REF!</v>
      </c>
      <c r="AG118" t="e">
        <f>AND(Liste!#REF!,"AAAAAF73vCA=")</f>
        <v>#REF!</v>
      </c>
      <c r="AH118" t="e">
        <f>AND(Liste!#REF!,"AAAAAF73vCE=")</f>
        <v>#REF!</v>
      </c>
      <c r="AI118" t="e">
        <f>AND(Liste!#REF!,"AAAAAF73vCI=")</f>
        <v>#REF!</v>
      </c>
      <c r="AJ118" t="e">
        <f>AND(Liste!#REF!,"AAAAAF73vCM=")</f>
        <v>#REF!</v>
      </c>
      <c r="AK118" t="e">
        <f>AND(Liste!#REF!,"AAAAAF73vCQ=")</f>
        <v>#REF!</v>
      </c>
      <c r="AL118" t="e">
        <f>AND(Liste!#REF!,"AAAAAF73vCU=")</f>
        <v>#REF!</v>
      </c>
      <c r="AM118" t="e">
        <f>AND(Liste!#REF!,"AAAAAF73vCY=")</f>
        <v>#REF!</v>
      </c>
      <c r="AN118" t="e">
        <f>AND(Liste!#REF!,"AAAAAF73vCc=")</f>
        <v>#REF!</v>
      </c>
      <c r="AO118" t="e">
        <f>AND(Liste!#REF!,"AAAAAF73vCg=")</f>
        <v>#REF!</v>
      </c>
      <c r="AP118" t="e">
        <f>AND(Liste!#REF!,"AAAAAF73vCk=")</f>
        <v>#REF!</v>
      </c>
      <c r="AQ118" t="e">
        <f>AND(Liste!#REF!,"AAAAAF73vCo=")</f>
        <v>#REF!</v>
      </c>
      <c r="AR118" t="e">
        <f>AND(Liste!#REF!,"AAAAAF73vCs=")</f>
        <v>#REF!</v>
      </c>
      <c r="AS118" t="e">
        <f>AND(Liste!#REF!,"AAAAAF73vCw=")</f>
        <v>#REF!</v>
      </c>
      <c r="AT118" t="e">
        <f>AND(Liste!#REF!,"AAAAAF73vC0=")</f>
        <v>#REF!</v>
      </c>
      <c r="AU118" t="e">
        <f>AND(Liste!#REF!,"AAAAAF73vC4=")</f>
        <v>#REF!</v>
      </c>
      <c r="AV118" t="e">
        <f>AND(Liste!#REF!,"AAAAAF73vC8=")</f>
        <v>#REF!</v>
      </c>
      <c r="AW118" t="e">
        <f>AND(Liste!#REF!,"AAAAAF73vDA=")</f>
        <v>#REF!</v>
      </c>
      <c r="AX118" t="e">
        <f>AND(Liste!#REF!,"AAAAAF73vDE=")</f>
        <v>#REF!</v>
      </c>
      <c r="AY118" t="e">
        <f>AND(Liste!#REF!,"AAAAAF73vDI=")</f>
        <v>#REF!</v>
      </c>
      <c r="AZ118" t="e">
        <f>AND(Liste!#REF!,"AAAAAF73vDM=")</f>
        <v>#REF!</v>
      </c>
      <c r="BA118" t="e">
        <f>AND(Liste!#REF!,"AAAAAF73vDQ=")</f>
        <v>#REF!</v>
      </c>
      <c r="BB118" t="e">
        <f>AND(Liste!#REF!,"AAAAAF73vDU=")</f>
        <v>#REF!</v>
      </c>
      <c r="BC118" t="e">
        <f>AND(Liste!#REF!,"AAAAAF73vDY=")</f>
        <v>#REF!</v>
      </c>
      <c r="BD118" t="e">
        <f>AND(Liste!#REF!,"AAAAAF73vDc=")</f>
        <v>#REF!</v>
      </c>
      <c r="BE118" t="e">
        <f>IF(Liste!#REF!,"AAAAAF73vDg=",0)</f>
        <v>#REF!</v>
      </c>
      <c r="BF118" t="e">
        <f>AND(Liste!#REF!,"AAAAAF73vDk=")</f>
        <v>#REF!</v>
      </c>
      <c r="BG118" t="e">
        <f>AND(Liste!#REF!,"AAAAAF73vDo=")</f>
        <v>#REF!</v>
      </c>
      <c r="BH118" t="e">
        <f>AND(Liste!#REF!,"AAAAAF73vDs=")</f>
        <v>#REF!</v>
      </c>
      <c r="BI118" t="e">
        <f>AND(Liste!#REF!,"AAAAAF73vDw=")</f>
        <v>#REF!</v>
      </c>
      <c r="BJ118" t="e">
        <f>AND(Liste!#REF!,"AAAAAF73vD0=")</f>
        <v>#REF!</v>
      </c>
      <c r="BK118" t="e">
        <f>AND(Liste!#REF!,"AAAAAF73vD4=")</f>
        <v>#REF!</v>
      </c>
      <c r="BL118" t="e">
        <f>AND(Liste!#REF!,"AAAAAF73vD8=")</f>
        <v>#REF!</v>
      </c>
      <c r="BM118" t="e">
        <f>AND(Liste!#REF!,"AAAAAF73vEA=")</f>
        <v>#REF!</v>
      </c>
      <c r="BN118" t="e">
        <f>AND(Liste!#REF!,"AAAAAF73vEE=")</f>
        <v>#REF!</v>
      </c>
      <c r="BO118" t="e">
        <f>AND(Liste!#REF!,"AAAAAF73vEI=")</f>
        <v>#REF!</v>
      </c>
      <c r="BP118" t="e">
        <f>AND(Liste!#REF!,"AAAAAF73vEM=")</f>
        <v>#REF!</v>
      </c>
      <c r="BQ118" t="e">
        <f>AND(Liste!#REF!,"AAAAAF73vEQ=")</f>
        <v>#REF!</v>
      </c>
      <c r="BR118" t="e">
        <f>AND(Liste!#REF!,"AAAAAF73vEU=")</f>
        <v>#REF!</v>
      </c>
      <c r="BS118" t="e">
        <f>AND(Liste!#REF!,"AAAAAF73vEY=")</f>
        <v>#REF!</v>
      </c>
      <c r="BT118" t="e">
        <f>AND(Liste!#REF!,"AAAAAF73vEc=")</f>
        <v>#REF!</v>
      </c>
      <c r="BU118" t="e">
        <f>AND(Liste!#REF!,"AAAAAF73vEg=")</f>
        <v>#REF!</v>
      </c>
      <c r="BV118" t="e">
        <f>AND(Liste!#REF!,"AAAAAF73vEk=")</f>
        <v>#REF!</v>
      </c>
      <c r="BW118" t="e">
        <f>AND(Liste!#REF!,"AAAAAF73vEo=")</f>
        <v>#REF!</v>
      </c>
      <c r="BX118" t="e">
        <f>AND(Liste!#REF!,"AAAAAF73vEs=")</f>
        <v>#REF!</v>
      </c>
      <c r="BY118" t="e">
        <f>AND(Liste!#REF!,"AAAAAF73vEw=")</f>
        <v>#REF!</v>
      </c>
      <c r="BZ118" t="e">
        <f>AND(Liste!#REF!,"AAAAAF73vE0=")</f>
        <v>#REF!</v>
      </c>
      <c r="CA118" t="e">
        <f>AND(Liste!#REF!,"AAAAAF73vE4=")</f>
        <v>#REF!</v>
      </c>
      <c r="CB118" t="e">
        <f>AND(Liste!#REF!,"AAAAAF73vE8=")</f>
        <v>#REF!</v>
      </c>
      <c r="CC118" t="e">
        <f>AND(Liste!#REF!,"AAAAAF73vFA=")</f>
        <v>#REF!</v>
      </c>
      <c r="CD118" t="e">
        <f>AND(Liste!#REF!,"AAAAAF73vFE=")</f>
        <v>#REF!</v>
      </c>
      <c r="CE118" t="e">
        <f>AND(Liste!#REF!,"AAAAAF73vFI=")</f>
        <v>#REF!</v>
      </c>
      <c r="CF118" t="e">
        <f>AND(Liste!#REF!,"AAAAAF73vFM=")</f>
        <v>#REF!</v>
      </c>
      <c r="CG118" t="e">
        <f>AND(Liste!#REF!,"AAAAAF73vFQ=")</f>
        <v>#REF!</v>
      </c>
      <c r="CH118" t="e">
        <f>AND(Liste!#REF!,"AAAAAF73vFU=")</f>
        <v>#REF!</v>
      </c>
      <c r="CI118" t="e">
        <f>AND(Liste!#REF!,"AAAAAF73vFY=")</f>
        <v>#REF!</v>
      </c>
      <c r="CJ118" t="e">
        <f>IF(Liste!#REF!,"AAAAAF73vFc=",0)</f>
        <v>#REF!</v>
      </c>
      <c r="CK118" t="e">
        <f>AND(Liste!#REF!,"AAAAAF73vFg=")</f>
        <v>#REF!</v>
      </c>
      <c r="CL118" t="e">
        <f>AND(Liste!#REF!,"AAAAAF73vFk=")</f>
        <v>#REF!</v>
      </c>
      <c r="CM118" t="e">
        <f>AND(Liste!#REF!,"AAAAAF73vFo=")</f>
        <v>#REF!</v>
      </c>
      <c r="CN118" t="e">
        <f>AND(Liste!#REF!,"AAAAAF73vFs=")</f>
        <v>#REF!</v>
      </c>
      <c r="CO118" t="e">
        <f>AND(Liste!#REF!,"AAAAAF73vFw=")</f>
        <v>#REF!</v>
      </c>
      <c r="CP118" t="e">
        <f>AND(Liste!#REF!,"AAAAAF73vF0=")</f>
        <v>#REF!</v>
      </c>
      <c r="CQ118" t="e">
        <f>AND(Liste!#REF!,"AAAAAF73vF4=")</f>
        <v>#REF!</v>
      </c>
      <c r="CR118" t="e">
        <f>AND(Liste!#REF!,"AAAAAF73vF8=")</f>
        <v>#REF!</v>
      </c>
      <c r="CS118" t="e">
        <f>AND(Liste!#REF!,"AAAAAF73vGA=")</f>
        <v>#REF!</v>
      </c>
      <c r="CT118" t="e">
        <f>AND(Liste!#REF!,"AAAAAF73vGE=")</f>
        <v>#REF!</v>
      </c>
      <c r="CU118" t="e">
        <f>AND(Liste!#REF!,"AAAAAF73vGI=")</f>
        <v>#REF!</v>
      </c>
      <c r="CV118" t="e">
        <f>AND(Liste!#REF!,"AAAAAF73vGM=")</f>
        <v>#REF!</v>
      </c>
      <c r="CW118" t="e">
        <f>AND(Liste!#REF!,"AAAAAF73vGQ=")</f>
        <v>#REF!</v>
      </c>
      <c r="CX118" t="e">
        <f>AND(Liste!#REF!,"AAAAAF73vGU=")</f>
        <v>#REF!</v>
      </c>
      <c r="CY118" t="e">
        <f>AND(Liste!#REF!,"AAAAAF73vGY=")</f>
        <v>#REF!</v>
      </c>
      <c r="CZ118" t="e">
        <f>AND(Liste!#REF!,"AAAAAF73vGc=")</f>
        <v>#REF!</v>
      </c>
      <c r="DA118" t="e">
        <f>AND(Liste!#REF!,"AAAAAF73vGg=")</f>
        <v>#REF!</v>
      </c>
      <c r="DB118" t="e">
        <f>AND(Liste!#REF!,"AAAAAF73vGk=")</f>
        <v>#REF!</v>
      </c>
      <c r="DC118" t="e">
        <f>AND(Liste!#REF!,"AAAAAF73vGo=")</f>
        <v>#REF!</v>
      </c>
      <c r="DD118" t="e">
        <f>AND(Liste!#REF!,"AAAAAF73vGs=")</f>
        <v>#REF!</v>
      </c>
      <c r="DE118" t="e">
        <f>AND(Liste!#REF!,"AAAAAF73vGw=")</f>
        <v>#REF!</v>
      </c>
      <c r="DF118" t="e">
        <f>AND(Liste!#REF!,"AAAAAF73vG0=")</f>
        <v>#REF!</v>
      </c>
      <c r="DG118" t="e">
        <f>AND(Liste!#REF!,"AAAAAF73vG4=")</f>
        <v>#REF!</v>
      </c>
      <c r="DH118" t="e">
        <f>AND(Liste!#REF!,"AAAAAF73vG8=")</f>
        <v>#REF!</v>
      </c>
      <c r="DI118" t="e">
        <f>AND(Liste!#REF!,"AAAAAF73vHA=")</f>
        <v>#REF!</v>
      </c>
      <c r="DJ118" t="e">
        <f>AND(Liste!#REF!,"AAAAAF73vHE=")</f>
        <v>#REF!</v>
      </c>
      <c r="DK118" t="e">
        <f>AND(Liste!#REF!,"AAAAAF73vHI=")</f>
        <v>#REF!</v>
      </c>
      <c r="DL118" t="e">
        <f>AND(Liste!#REF!,"AAAAAF73vHM=")</f>
        <v>#REF!</v>
      </c>
      <c r="DM118" t="e">
        <f>AND(Liste!#REF!,"AAAAAF73vHQ=")</f>
        <v>#REF!</v>
      </c>
      <c r="DN118" t="e">
        <f>AND(Liste!#REF!,"AAAAAF73vHU=")</f>
        <v>#REF!</v>
      </c>
      <c r="DO118" t="e">
        <f>IF(Liste!#REF!,"AAAAAF73vHY=",0)</f>
        <v>#REF!</v>
      </c>
      <c r="DP118" t="e">
        <f>AND(Liste!#REF!,"AAAAAF73vHc=")</f>
        <v>#REF!</v>
      </c>
      <c r="DQ118" t="e">
        <f>AND(Liste!#REF!,"AAAAAF73vHg=")</f>
        <v>#REF!</v>
      </c>
      <c r="DR118" t="e">
        <f>AND(Liste!#REF!,"AAAAAF73vHk=")</f>
        <v>#REF!</v>
      </c>
      <c r="DS118" t="e">
        <f>AND(Liste!#REF!,"AAAAAF73vHo=")</f>
        <v>#REF!</v>
      </c>
      <c r="DT118" t="e">
        <f>AND(Liste!#REF!,"AAAAAF73vHs=")</f>
        <v>#REF!</v>
      </c>
      <c r="DU118" t="e">
        <f>AND(Liste!#REF!,"AAAAAF73vHw=")</f>
        <v>#REF!</v>
      </c>
      <c r="DV118" t="e">
        <f>AND(Liste!#REF!,"AAAAAF73vH0=")</f>
        <v>#REF!</v>
      </c>
      <c r="DW118" t="e">
        <f>AND(Liste!#REF!,"AAAAAF73vH4=")</f>
        <v>#REF!</v>
      </c>
      <c r="DX118" t="e">
        <f>AND(Liste!#REF!,"AAAAAF73vH8=")</f>
        <v>#REF!</v>
      </c>
      <c r="DY118" t="e">
        <f>AND(Liste!#REF!,"AAAAAF73vIA=")</f>
        <v>#REF!</v>
      </c>
      <c r="DZ118" t="e">
        <f>AND(Liste!#REF!,"AAAAAF73vIE=")</f>
        <v>#REF!</v>
      </c>
      <c r="EA118" t="e">
        <f>AND(Liste!#REF!,"AAAAAF73vII=")</f>
        <v>#REF!</v>
      </c>
      <c r="EB118" t="e">
        <f>AND(Liste!#REF!,"AAAAAF73vIM=")</f>
        <v>#REF!</v>
      </c>
      <c r="EC118" t="e">
        <f>AND(Liste!#REF!,"AAAAAF73vIQ=")</f>
        <v>#REF!</v>
      </c>
      <c r="ED118" t="e">
        <f>AND(Liste!#REF!,"AAAAAF73vIU=")</f>
        <v>#REF!</v>
      </c>
      <c r="EE118" t="e">
        <f>AND(Liste!#REF!,"AAAAAF73vIY=")</f>
        <v>#REF!</v>
      </c>
      <c r="EF118" t="e">
        <f>AND(Liste!#REF!,"AAAAAF73vIc=")</f>
        <v>#REF!</v>
      </c>
      <c r="EG118" t="e">
        <f>AND(Liste!#REF!,"AAAAAF73vIg=")</f>
        <v>#REF!</v>
      </c>
      <c r="EH118" t="e">
        <f>AND(Liste!#REF!,"AAAAAF73vIk=")</f>
        <v>#REF!</v>
      </c>
      <c r="EI118" t="e">
        <f>AND(Liste!#REF!,"AAAAAF73vIo=")</f>
        <v>#REF!</v>
      </c>
      <c r="EJ118" t="e">
        <f>AND(Liste!#REF!,"AAAAAF73vIs=")</f>
        <v>#REF!</v>
      </c>
      <c r="EK118" t="e">
        <f>AND(Liste!#REF!,"AAAAAF73vIw=")</f>
        <v>#REF!</v>
      </c>
      <c r="EL118" t="e">
        <f>AND(Liste!#REF!,"AAAAAF73vI0=")</f>
        <v>#REF!</v>
      </c>
      <c r="EM118" t="e">
        <f>AND(Liste!#REF!,"AAAAAF73vI4=")</f>
        <v>#REF!</v>
      </c>
      <c r="EN118" t="e">
        <f>AND(Liste!#REF!,"AAAAAF73vI8=")</f>
        <v>#REF!</v>
      </c>
      <c r="EO118" t="e">
        <f>AND(Liste!#REF!,"AAAAAF73vJA=")</f>
        <v>#REF!</v>
      </c>
      <c r="EP118" t="e">
        <f>AND(Liste!#REF!,"AAAAAF73vJE=")</f>
        <v>#REF!</v>
      </c>
      <c r="EQ118" t="e">
        <f>AND(Liste!#REF!,"AAAAAF73vJI=")</f>
        <v>#REF!</v>
      </c>
      <c r="ER118" t="e">
        <f>AND(Liste!#REF!,"AAAAAF73vJM=")</f>
        <v>#REF!</v>
      </c>
      <c r="ES118" t="e">
        <f>AND(Liste!#REF!,"AAAAAF73vJQ=")</f>
        <v>#REF!</v>
      </c>
      <c r="ET118">
        <f>IF(Liste!634:634,"AAAAAF73vJU=",0)</f>
        <v>0</v>
      </c>
      <c r="EU118" t="e">
        <f>AND(Liste!#REF!,"AAAAAF73vJY=")</f>
        <v>#REF!</v>
      </c>
      <c r="EV118" t="e">
        <f>AND(Liste!#REF!,"AAAAAF73vJc=")</f>
        <v>#REF!</v>
      </c>
      <c r="EW118" t="e">
        <f>AND(Liste!#REF!,"AAAAAF73vJg=")</f>
        <v>#REF!</v>
      </c>
      <c r="EX118" t="e">
        <f>AND(Liste!#REF!,"AAAAAF73vJk=")</f>
        <v>#REF!</v>
      </c>
      <c r="EY118" t="e">
        <f>AND(Liste!F634,"AAAAAF73vJo=")</f>
        <v>#VALUE!</v>
      </c>
      <c r="EZ118" t="e">
        <f>AND(Liste!G634,"AAAAAF73vJs=")</f>
        <v>#VALUE!</v>
      </c>
      <c r="FA118" t="e">
        <f>AND(Liste!H634,"AAAAAF73vJw=")</f>
        <v>#VALUE!</v>
      </c>
      <c r="FB118" t="e">
        <f>AND(Liste!I634,"AAAAAF73vJ0=")</f>
        <v>#VALUE!</v>
      </c>
      <c r="FC118" t="e">
        <f>AND(Liste!J634,"AAAAAF73vJ4=")</f>
        <v>#VALUE!</v>
      </c>
      <c r="FD118" t="e">
        <f>AND(Liste!#REF!,"AAAAAF73vJ8=")</f>
        <v>#REF!</v>
      </c>
      <c r="FE118" t="e">
        <f>AND(Liste!#REF!,"AAAAAF73vKA=")</f>
        <v>#REF!</v>
      </c>
      <c r="FF118" t="e">
        <f>AND(Liste!#REF!,"AAAAAF73vKE=")</f>
        <v>#REF!</v>
      </c>
      <c r="FG118" t="e">
        <f>AND(Liste!#REF!,"AAAAAF73vKI=")</f>
        <v>#REF!</v>
      </c>
      <c r="FH118" t="e">
        <f>AND(Liste!#REF!,"AAAAAF73vKM=")</f>
        <v>#REF!</v>
      </c>
      <c r="FI118" t="e">
        <f>AND(Liste!#REF!,"AAAAAF73vKQ=")</f>
        <v>#REF!</v>
      </c>
      <c r="FJ118" t="e">
        <f>AND(Liste!#REF!,"AAAAAF73vKU=")</f>
        <v>#REF!</v>
      </c>
      <c r="FK118" t="e">
        <f>AND(Liste!#REF!,"AAAAAF73vKY=")</f>
        <v>#REF!</v>
      </c>
      <c r="FL118" t="e">
        <f>AND(Liste!#REF!,"AAAAAF73vKc=")</f>
        <v>#REF!</v>
      </c>
      <c r="FM118" t="e">
        <f>AND(Liste!#REF!,"AAAAAF73vKg=")</f>
        <v>#REF!</v>
      </c>
      <c r="FN118" t="e">
        <f>AND(Liste!#REF!,"AAAAAF73vKk=")</f>
        <v>#REF!</v>
      </c>
      <c r="FO118" t="e">
        <f>AND(Liste!#REF!,"AAAAAF73vKo=")</f>
        <v>#REF!</v>
      </c>
      <c r="FP118" t="e">
        <f>AND(Liste!#REF!,"AAAAAF73vKs=")</f>
        <v>#REF!</v>
      </c>
      <c r="FQ118" t="e">
        <f>AND(Liste!#REF!,"AAAAAF73vKw=")</f>
        <v>#REF!</v>
      </c>
      <c r="FR118" t="e">
        <f>AND(Liste!#REF!,"AAAAAF73vK0=")</f>
        <v>#REF!</v>
      </c>
      <c r="FS118" t="e">
        <f>AND(Liste!#REF!,"AAAAAF73vK4=")</f>
        <v>#REF!</v>
      </c>
      <c r="FT118" t="e">
        <f>AND(Liste!#REF!,"AAAAAF73vK8=")</f>
        <v>#REF!</v>
      </c>
      <c r="FU118" t="e">
        <f>AND(Liste!#REF!,"AAAAAF73vLA=")</f>
        <v>#REF!</v>
      </c>
      <c r="FV118" t="e">
        <f>AND(Liste!#REF!,"AAAAAF73vLE=")</f>
        <v>#REF!</v>
      </c>
      <c r="FW118" t="e">
        <f>AND(Liste!#REF!,"AAAAAF73vLI=")</f>
        <v>#REF!</v>
      </c>
      <c r="FX118" t="e">
        <f>AND(Liste!#REF!,"AAAAAF73vLM=")</f>
        <v>#REF!</v>
      </c>
      <c r="FY118" t="e">
        <f>IF(Liste!#REF!,"AAAAAF73vLQ=",0)</f>
        <v>#REF!</v>
      </c>
      <c r="FZ118" t="e">
        <f>AND(Liste!#REF!,"AAAAAF73vLU=")</f>
        <v>#REF!</v>
      </c>
      <c r="GA118" t="e">
        <f>AND(Liste!#REF!,"AAAAAF73vLY=")</f>
        <v>#REF!</v>
      </c>
      <c r="GB118" t="e">
        <f>AND(Liste!#REF!,"AAAAAF73vLc=")</f>
        <v>#REF!</v>
      </c>
      <c r="GC118" t="e">
        <f>AND(Liste!#REF!,"AAAAAF73vLg=")</f>
        <v>#REF!</v>
      </c>
      <c r="GD118" t="e">
        <f>AND(Liste!#REF!,"AAAAAF73vLk=")</f>
        <v>#REF!</v>
      </c>
      <c r="GE118" t="e">
        <f>AND(Liste!#REF!,"AAAAAF73vLo=")</f>
        <v>#REF!</v>
      </c>
      <c r="GF118" t="e">
        <f>AND(Liste!#REF!,"AAAAAF73vLs=")</f>
        <v>#REF!</v>
      </c>
      <c r="GG118" t="e">
        <f>AND(Liste!#REF!,"AAAAAF73vLw=")</f>
        <v>#REF!</v>
      </c>
      <c r="GH118" t="e">
        <f>AND(Liste!#REF!,"AAAAAF73vL0=")</f>
        <v>#REF!</v>
      </c>
      <c r="GI118" t="e">
        <f>AND(Liste!#REF!,"AAAAAF73vL4=")</f>
        <v>#REF!</v>
      </c>
      <c r="GJ118" t="e">
        <f>AND(Liste!#REF!,"AAAAAF73vL8=")</f>
        <v>#REF!</v>
      </c>
      <c r="GK118" t="e">
        <f>AND(Liste!#REF!,"AAAAAF73vMA=")</f>
        <v>#REF!</v>
      </c>
      <c r="GL118" t="e">
        <f>AND(Liste!#REF!,"AAAAAF73vME=")</f>
        <v>#REF!</v>
      </c>
      <c r="GM118" t="e">
        <f>AND(Liste!#REF!,"AAAAAF73vMI=")</f>
        <v>#REF!</v>
      </c>
      <c r="GN118" t="e">
        <f>AND(Liste!#REF!,"AAAAAF73vMM=")</f>
        <v>#REF!</v>
      </c>
      <c r="GO118" t="e">
        <f>AND(Liste!#REF!,"AAAAAF73vMQ=")</f>
        <v>#REF!</v>
      </c>
      <c r="GP118" t="e">
        <f>AND(Liste!#REF!,"AAAAAF73vMU=")</f>
        <v>#REF!</v>
      </c>
      <c r="GQ118" t="e">
        <f>AND(Liste!#REF!,"AAAAAF73vMY=")</f>
        <v>#REF!</v>
      </c>
      <c r="GR118" t="e">
        <f>AND(Liste!#REF!,"AAAAAF73vMc=")</f>
        <v>#REF!</v>
      </c>
      <c r="GS118" t="e">
        <f>AND(Liste!#REF!,"AAAAAF73vMg=")</f>
        <v>#REF!</v>
      </c>
      <c r="GT118" t="e">
        <f>AND(Liste!#REF!,"AAAAAF73vMk=")</f>
        <v>#REF!</v>
      </c>
      <c r="GU118" t="e">
        <f>AND(Liste!#REF!,"AAAAAF73vMo=")</f>
        <v>#REF!</v>
      </c>
      <c r="GV118" t="e">
        <f>AND(Liste!#REF!,"AAAAAF73vMs=")</f>
        <v>#REF!</v>
      </c>
      <c r="GW118" t="e">
        <f>AND(Liste!#REF!,"AAAAAF73vMw=")</f>
        <v>#REF!</v>
      </c>
      <c r="GX118" t="e">
        <f>AND(Liste!#REF!,"AAAAAF73vM0=")</f>
        <v>#REF!</v>
      </c>
      <c r="GY118" t="e">
        <f>AND(Liste!#REF!,"AAAAAF73vM4=")</f>
        <v>#REF!</v>
      </c>
      <c r="GZ118" t="e">
        <f>AND(Liste!#REF!,"AAAAAF73vM8=")</f>
        <v>#REF!</v>
      </c>
      <c r="HA118" t="e">
        <f>AND(Liste!#REF!,"AAAAAF73vNA=")</f>
        <v>#REF!</v>
      </c>
      <c r="HB118" t="e">
        <f>AND(Liste!#REF!,"AAAAAF73vNE=")</f>
        <v>#REF!</v>
      </c>
      <c r="HC118" t="e">
        <f>AND(Liste!#REF!,"AAAAAF73vNI=")</f>
        <v>#REF!</v>
      </c>
      <c r="HD118" t="e">
        <f>IF(Liste!#REF!,"AAAAAF73vNM=",0)</f>
        <v>#REF!</v>
      </c>
      <c r="HE118" t="e">
        <f>AND(Liste!#REF!,"AAAAAF73vNQ=")</f>
        <v>#REF!</v>
      </c>
      <c r="HF118" t="e">
        <f>AND(Liste!#REF!,"AAAAAF73vNU=")</f>
        <v>#REF!</v>
      </c>
      <c r="HG118" t="e">
        <f>AND(Liste!#REF!,"AAAAAF73vNY=")</f>
        <v>#REF!</v>
      </c>
      <c r="HH118" t="e">
        <f>AND(Liste!#REF!,"AAAAAF73vNc=")</f>
        <v>#REF!</v>
      </c>
      <c r="HI118" t="e">
        <f>AND(Liste!#REF!,"AAAAAF73vNg=")</f>
        <v>#REF!</v>
      </c>
      <c r="HJ118" t="e">
        <f>AND(Liste!#REF!,"AAAAAF73vNk=")</f>
        <v>#REF!</v>
      </c>
      <c r="HK118" t="e">
        <f>AND(Liste!#REF!,"AAAAAF73vNo=")</f>
        <v>#REF!</v>
      </c>
      <c r="HL118" t="e">
        <f>AND(Liste!#REF!,"AAAAAF73vNs=")</f>
        <v>#REF!</v>
      </c>
      <c r="HM118" t="e">
        <f>AND(Liste!#REF!,"AAAAAF73vNw=")</f>
        <v>#REF!</v>
      </c>
      <c r="HN118" t="e">
        <f>AND(Liste!#REF!,"AAAAAF73vN0=")</f>
        <v>#REF!</v>
      </c>
      <c r="HO118" t="e">
        <f>AND(Liste!#REF!,"AAAAAF73vN4=")</f>
        <v>#REF!</v>
      </c>
      <c r="HP118" t="e">
        <f>AND(Liste!#REF!,"AAAAAF73vN8=")</f>
        <v>#REF!</v>
      </c>
      <c r="HQ118" t="e">
        <f>AND(Liste!#REF!,"AAAAAF73vOA=")</f>
        <v>#REF!</v>
      </c>
      <c r="HR118" t="e">
        <f>AND(Liste!#REF!,"AAAAAF73vOE=")</f>
        <v>#REF!</v>
      </c>
      <c r="HS118" t="e">
        <f>AND(Liste!#REF!,"AAAAAF73vOI=")</f>
        <v>#REF!</v>
      </c>
      <c r="HT118" t="e">
        <f>AND(Liste!#REF!,"AAAAAF73vOM=")</f>
        <v>#REF!</v>
      </c>
      <c r="HU118" t="e">
        <f>AND(Liste!#REF!,"AAAAAF73vOQ=")</f>
        <v>#REF!</v>
      </c>
      <c r="HV118" t="e">
        <f>AND(Liste!#REF!,"AAAAAF73vOU=")</f>
        <v>#REF!</v>
      </c>
      <c r="HW118" t="e">
        <f>AND(Liste!#REF!,"AAAAAF73vOY=")</f>
        <v>#REF!</v>
      </c>
      <c r="HX118" t="e">
        <f>AND(Liste!#REF!,"AAAAAF73vOc=")</f>
        <v>#REF!</v>
      </c>
      <c r="HY118" t="e">
        <f>AND(Liste!#REF!,"AAAAAF73vOg=")</f>
        <v>#REF!</v>
      </c>
      <c r="HZ118" t="e">
        <f>AND(Liste!#REF!,"AAAAAF73vOk=")</f>
        <v>#REF!</v>
      </c>
      <c r="IA118" t="e">
        <f>AND(Liste!#REF!,"AAAAAF73vOo=")</f>
        <v>#REF!</v>
      </c>
      <c r="IB118" t="e">
        <f>AND(Liste!#REF!,"AAAAAF73vOs=")</f>
        <v>#REF!</v>
      </c>
      <c r="IC118" t="e">
        <f>AND(Liste!#REF!,"AAAAAF73vOw=")</f>
        <v>#REF!</v>
      </c>
      <c r="ID118" t="e">
        <f>AND(Liste!#REF!,"AAAAAF73vO0=")</f>
        <v>#REF!</v>
      </c>
      <c r="IE118" t="e">
        <f>AND(Liste!#REF!,"AAAAAF73vO4=")</f>
        <v>#REF!</v>
      </c>
      <c r="IF118" t="e">
        <f>AND(Liste!#REF!,"AAAAAF73vO8=")</f>
        <v>#REF!</v>
      </c>
      <c r="IG118" t="e">
        <f>AND(Liste!#REF!,"AAAAAF73vPA=")</f>
        <v>#REF!</v>
      </c>
      <c r="IH118" t="e">
        <f>AND(Liste!#REF!,"AAAAAF73vPE=")</f>
        <v>#REF!</v>
      </c>
      <c r="II118" t="e">
        <f>IF(Liste!#REF!,"AAAAAF73vPI=",0)</f>
        <v>#REF!</v>
      </c>
      <c r="IJ118" t="e">
        <f>AND(Liste!#REF!,"AAAAAF73vPM=")</f>
        <v>#REF!</v>
      </c>
      <c r="IK118" t="e">
        <f>AND(Liste!#REF!,"AAAAAF73vPQ=")</f>
        <v>#REF!</v>
      </c>
      <c r="IL118" t="e">
        <f>AND(Liste!#REF!,"AAAAAF73vPU=")</f>
        <v>#REF!</v>
      </c>
      <c r="IM118" t="e">
        <f>AND(Liste!#REF!,"AAAAAF73vPY=")</f>
        <v>#REF!</v>
      </c>
      <c r="IN118" t="e">
        <f>AND(Liste!#REF!,"AAAAAF73vPc=")</f>
        <v>#REF!</v>
      </c>
      <c r="IO118" t="e">
        <f>AND(Liste!#REF!,"AAAAAF73vPg=")</f>
        <v>#REF!</v>
      </c>
      <c r="IP118" t="e">
        <f>AND(Liste!#REF!,"AAAAAF73vPk=")</f>
        <v>#REF!</v>
      </c>
      <c r="IQ118" t="e">
        <f>AND(Liste!#REF!,"AAAAAF73vPo=")</f>
        <v>#REF!</v>
      </c>
      <c r="IR118" t="e">
        <f>AND(Liste!#REF!,"AAAAAF73vPs=")</f>
        <v>#REF!</v>
      </c>
      <c r="IS118" t="e">
        <f>AND(Liste!#REF!,"AAAAAF73vPw=")</f>
        <v>#REF!</v>
      </c>
      <c r="IT118" t="e">
        <f>AND(Liste!#REF!,"AAAAAF73vP0=")</f>
        <v>#REF!</v>
      </c>
      <c r="IU118" t="e">
        <f>AND(Liste!#REF!,"AAAAAF73vP4=")</f>
        <v>#REF!</v>
      </c>
      <c r="IV118" t="e">
        <f>AND(Liste!#REF!,"AAAAAF73vP8=")</f>
        <v>#REF!</v>
      </c>
    </row>
    <row r="119" spans="1:256" x14ac:dyDescent="0.2">
      <c r="A119" t="e">
        <f>AND(Liste!#REF!,"AAAAAH/7ngA=")</f>
        <v>#REF!</v>
      </c>
      <c r="B119" t="e">
        <f>AND(Liste!#REF!,"AAAAAH/7ngE=")</f>
        <v>#REF!</v>
      </c>
      <c r="C119" t="e">
        <f>AND(Liste!#REF!,"AAAAAH/7ngI=")</f>
        <v>#REF!</v>
      </c>
      <c r="D119" t="e">
        <f>AND(Liste!#REF!,"AAAAAH/7ngM=")</f>
        <v>#REF!</v>
      </c>
      <c r="E119" t="e">
        <f>AND(Liste!#REF!,"AAAAAH/7ngQ=")</f>
        <v>#REF!</v>
      </c>
      <c r="F119" t="e">
        <f>AND(Liste!#REF!,"AAAAAH/7ngU=")</f>
        <v>#REF!</v>
      </c>
      <c r="G119" t="e">
        <f>AND(Liste!#REF!,"AAAAAH/7ngY=")</f>
        <v>#REF!</v>
      </c>
      <c r="H119" t="e">
        <f>AND(Liste!#REF!,"AAAAAH/7ngc=")</f>
        <v>#REF!</v>
      </c>
      <c r="I119" t="e">
        <f>AND(Liste!#REF!,"AAAAAH/7ngg=")</f>
        <v>#REF!</v>
      </c>
      <c r="J119" t="e">
        <f>AND(Liste!#REF!,"AAAAAH/7ngk=")</f>
        <v>#REF!</v>
      </c>
      <c r="K119" t="e">
        <f>AND(Liste!#REF!,"AAAAAH/7ngo=")</f>
        <v>#REF!</v>
      </c>
      <c r="L119" t="e">
        <f>AND(Liste!#REF!,"AAAAAH/7ngs=")</f>
        <v>#REF!</v>
      </c>
      <c r="M119" t="e">
        <f>AND(Liste!#REF!,"AAAAAH/7ngw=")</f>
        <v>#REF!</v>
      </c>
      <c r="N119" t="e">
        <f>AND(Liste!#REF!,"AAAAAH/7ng0=")</f>
        <v>#REF!</v>
      </c>
      <c r="O119" t="e">
        <f>AND(Liste!#REF!,"AAAAAH/7ng4=")</f>
        <v>#REF!</v>
      </c>
      <c r="P119" t="e">
        <f>AND(Liste!#REF!,"AAAAAH/7ng8=")</f>
        <v>#REF!</v>
      </c>
      <c r="Q119" t="e">
        <f>AND(Liste!#REF!,"AAAAAH/7nhA=")</f>
        <v>#REF!</v>
      </c>
      <c r="R119" t="e">
        <f>IF(Liste!#REF!,"AAAAAH/7nhE=",0)</f>
        <v>#REF!</v>
      </c>
      <c r="S119" t="e">
        <f>AND(Liste!#REF!,"AAAAAH/7nhI=")</f>
        <v>#REF!</v>
      </c>
      <c r="T119" t="e">
        <f>AND(Liste!#REF!,"AAAAAH/7nhM=")</f>
        <v>#REF!</v>
      </c>
      <c r="U119" t="e">
        <f>AND(Liste!#REF!,"AAAAAH/7nhQ=")</f>
        <v>#REF!</v>
      </c>
      <c r="V119" t="e">
        <f>AND(Liste!#REF!,"AAAAAH/7nhU=")</f>
        <v>#REF!</v>
      </c>
      <c r="W119" t="e">
        <f>AND(Liste!#REF!,"AAAAAH/7nhY=")</f>
        <v>#REF!</v>
      </c>
      <c r="X119" t="e">
        <f>AND(Liste!#REF!,"AAAAAH/7nhc=")</f>
        <v>#REF!</v>
      </c>
      <c r="Y119" t="e">
        <f>AND(Liste!#REF!,"AAAAAH/7nhg=")</f>
        <v>#REF!</v>
      </c>
      <c r="Z119" t="e">
        <f>AND(Liste!#REF!,"AAAAAH/7nhk=")</f>
        <v>#REF!</v>
      </c>
      <c r="AA119" t="e">
        <f>AND(Liste!#REF!,"AAAAAH/7nho=")</f>
        <v>#REF!</v>
      </c>
      <c r="AB119" t="e">
        <f>AND(Liste!#REF!,"AAAAAH/7nhs=")</f>
        <v>#REF!</v>
      </c>
      <c r="AC119" t="e">
        <f>AND(Liste!#REF!,"AAAAAH/7nhw=")</f>
        <v>#REF!</v>
      </c>
      <c r="AD119" t="e">
        <f>AND(Liste!#REF!,"AAAAAH/7nh0=")</f>
        <v>#REF!</v>
      </c>
      <c r="AE119" t="e">
        <f>AND(Liste!#REF!,"AAAAAH/7nh4=")</f>
        <v>#REF!</v>
      </c>
      <c r="AF119" t="e">
        <f>AND(Liste!#REF!,"AAAAAH/7nh8=")</f>
        <v>#REF!</v>
      </c>
      <c r="AG119" t="e">
        <f>AND(Liste!#REF!,"AAAAAH/7niA=")</f>
        <v>#REF!</v>
      </c>
      <c r="AH119" t="e">
        <f>AND(Liste!#REF!,"AAAAAH/7niE=")</f>
        <v>#REF!</v>
      </c>
      <c r="AI119" t="e">
        <f>AND(Liste!#REF!,"AAAAAH/7niI=")</f>
        <v>#REF!</v>
      </c>
      <c r="AJ119" t="e">
        <f>AND(Liste!#REF!,"AAAAAH/7niM=")</f>
        <v>#REF!</v>
      </c>
      <c r="AK119" t="e">
        <f>AND(Liste!#REF!,"AAAAAH/7niQ=")</f>
        <v>#REF!</v>
      </c>
      <c r="AL119" t="e">
        <f>AND(Liste!#REF!,"AAAAAH/7niU=")</f>
        <v>#REF!</v>
      </c>
      <c r="AM119" t="e">
        <f>AND(Liste!#REF!,"AAAAAH/7niY=")</f>
        <v>#REF!</v>
      </c>
      <c r="AN119" t="e">
        <f>AND(Liste!#REF!,"AAAAAH/7nic=")</f>
        <v>#REF!</v>
      </c>
      <c r="AO119" t="e">
        <f>AND(Liste!#REF!,"AAAAAH/7nig=")</f>
        <v>#REF!</v>
      </c>
      <c r="AP119" t="e">
        <f>AND(Liste!#REF!,"AAAAAH/7nik=")</f>
        <v>#REF!</v>
      </c>
      <c r="AQ119" t="e">
        <f>AND(Liste!#REF!,"AAAAAH/7nio=")</f>
        <v>#REF!</v>
      </c>
      <c r="AR119" t="e">
        <f>AND(Liste!#REF!,"AAAAAH/7nis=")</f>
        <v>#REF!</v>
      </c>
      <c r="AS119" t="e">
        <f>AND(Liste!#REF!,"AAAAAH/7niw=")</f>
        <v>#REF!</v>
      </c>
      <c r="AT119" t="e">
        <f>AND(Liste!#REF!,"AAAAAH/7ni0=")</f>
        <v>#REF!</v>
      </c>
      <c r="AU119" t="e">
        <f>AND(Liste!#REF!,"AAAAAH/7ni4=")</f>
        <v>#REF!</v>
      </c>
      <c r="AV119" t="e">
        <f>AND(Liste!#REF!,"AAAAAH/7ni8=")</f>
        <v>#REF!</v>
      </c>
      <c r="AW119" t="e">
        <f>IF(Liste!#REF!,"AAAAAH/7njA=",0)</f>
        <v>#REF!</v>
      </c>
      <c r="AX119" t="e">
        <f>AND(Liste!#REF!,"AAAAAH/7njE=")</f>
        <v>#REF!</v>
      </c>
      <c r="AY119" t="e">
        <f>AND(Liste!#REF!,"AAAAAH/7njI=")</f>
        <v>#REF!</v>
      </c>
      <c r="AZ119" t="e">
        <f>AND(Liste!#REF!,"AAAAAH/7njM=")</f>
        <v>#REF!</v>
      </c>
      <c r="BA119" t="e">
        <f>AND(Liste!#REF!,"AAAAAH/7njQ=")</f>
        <v>#REF!</v>
      </c>
      <c r="BB119" t="e">
        <f>AND(Liste!#REF!,"AAAAAH/7njU=")</f>
        <v>#REF!</v>
      </c>
      <c r="BC119" t="e">
        <f>AND(Liste!#REF!,"AAAAAH/7njY=")</f>
        <v>#REF!</v>
      </c>
      <c r="BD119" t="e">
        <f>AND(Liste!#REF!,"AAAAAH/7njc=")</f>
        <v>#REF!</v>
      </c>
      <c r="BE119" t="e">
        <f>AND(Liste!#REF!,"AAAAAH/7njg=")</f>
        <v>#REF!</v>
      </c>
      <c r="BF119" t="e">
        <f>AND(Liste!#REF!,"AAAAAH/7njk=")</f>
        <v>#REF!</v>
      </c>
      <c r="BG119" t="e">
        <f>AND(Liste!#REF!,"AAAAAH/7njo=")</f>
        <v>#REF!</v>
      </c>
      <c r="BH119" t="e">
        <f>AND(Liste!#REF!,"AAAAAH/7njs=")</f>
        <v>#REF!</v>
      </c>
      <c r="BI119" t="e">
        <f>AND(Liste!#REF!,"AAAAAH/7njw=")</f>
        <v>#REF!</v>
      </c>
      <c r="BJ119" t="e">
        <f>AND(Liste!#REF!,"AAAAAH/7nj0=")</f>
        <v>#REF!</v>
      </c>
      <c r="BK119" t="e">
        <f>AND(Liste!#REF!,"AAAAAH/7nj4=")</f>
        <v>#REF!</v>
      </c>
      <c r="BL119" t="e">
        <f>AND(Liste!#REF!,"AAAAAH/7nj8=")</f>
        <v>#REF!</v>
      </c>
      <c r="BM119" t="e">
        <f>AND(Liste!#REF!,"AAAAAH/7nkA=")</f>
        <v>#REF!</v>
      </c>
      <c r="BN119" t="e">
        <f>AND(Liste!#REF!,"AAAAAH/7nkE=")</f>
        <v>#REF!</v>
      </c>
      <c r="BO119" t="e">
        <f>AND(Liste!#REF!,"AAAAAH/7nkI=")</f>
        <v>#REF!</v>
      </c>
      <c r="BP119" t="e">
        <f>AND(Liste!#REF!,"AAAAAH/7nkM=")</f>
        <v>#REF!</v>
      </c>
      <c r="BQ119" t="e">
        <f>AND(Liste!#REF!,"AAAAAH/7nkQ=")</f>
        <v>#REF!</v>
      </c>
      <c r="BR119" t="e">
        <f>AND(Liste!#REF!,"AAAAAH/7nkU=")</f>
        <v>#REF!</v>
      </c>
      <c r="BS119" t="e">
        <f>AND(Liste!#REF!,"AAAAAH/7nkY=")</f>
        <v>#REF!</v>
      </c>
      <c r="BT119" t="e">
        <f>AND(Liste!#REF!,"AAAAAH/7nkc=")</f>
        <v>#REF!</v>
      </c>
      <c r="BU119" t="e">
        <f>AND(Liste!#REF!,"AAAAAH/7nkg=")</f>
        <v>#REF!</v>
      </c>
      <c r="BV119" t="e">
        <f>AND(Liste!#REF!,"AAAAAH/7nkk=")</f>
        <v>#REF!</v>
      </c>
      <c r="BW119" t="e">
        <f>AND(Liste!#REF!,"AAAAAH/7nko=")</f>
        <v>#REF!</v>
      </c>
      <c r="BX119" t="e">
        <f>AND(Liste!#REF!,"AAAAAH/7nks=")</f>
        <v>#REF!</v>
      </c>
      <c r="BY119" t="e">
        <f>AND(Liste!#REF!,"AAAAAH/7nkw=")</f>
        <v>#REF!</v>
      </c>
      <c r="BZ119" t="e">
        <f>AND(Liste!#REF!,"AAAAAH/7nk0=")</f>
        <v>#REF!</v>
      </c>
      <c r="CA119" t="e">
        <f>AND(Liste!#REF!,"AAAAAH/7nk4=")</f>
        <v>#REF!</v>
      </c>
      <c r="CB119" t="e">
        <f>IF(Liste!#REF!,"AAAAAH/7nk8=",0)</f>
        <v>#REF!</v>
      </c>
      <c r="CC119" t="e">
        <f>AND(Liste!#REF!,"AAAAAH/7nlA=")</f>
        <v>#REF!</v>
      </c>
      <c r="CD119" t="e">
        <f>AND(Liste!#REF!,"AAAAAH/7nlE=")</f>
        <v>#REF!</v>
      </c>
      <c r="CE119" t="e">
        <f>AND(Liste!#REF!,"AAAAAH/7nlI=")</f>
        <v>#REF!</v>
      </c>
      <c r="CF119" t="e">
        <f>AND(Liste!#REF!,"AAAAAH/7nlM=")</f>
        <v>#REF!</v>
      </c>
      <c r="CG119" t="e">
        <f>AND(Liste!#REF!,"AAAAAH/7nlQ=")</f>
        <v>#REF!</v>
      </c>
      <c r="CH119" t="e">
        <f>AND(Liste!#REF!,"AAAAAH/7nlU=")</f>
        <v>#REF!</v>
      </c>
      <c r="CI119" t="e">
        <f>AND(Liste!#REF!,"AAAAAH/7nlY=")</f>
        <v>#REF!</v>
      </c>
      <c r="CJ119" t="e">
        <f>AND(Liste!#REF!,"AAAAAH/7nlc=")</f>
        <v>#REF!</v>
      </c>
      <c r="CK119" t="e">
        <f>AND(Liste!#REF!,"AAAAAH/7nlg=")</f>
        <v>#REF!</v>
      </c>
      <c r="CL119" t="e">
        <f>AND(Liste!#REF!,"AAAAAH/7nlk=")</f>
        <v>#REF!</v>
      </c>
      <c r="CM119" t="e">
        <f>AND(Liste!#REF!,"AAAAAH/7nlo=")</f>
        <v>#REF!</v>
      </c>
      <c r="CN119" t="e">
        <f>AND(Liste!#REF!,"AAAAAH/7nls=")</f>
        <v>#REF!</v>
      </c>
      <c r="CO119" t="e">
        <f>AND(Liste!#REF!,"AAAAAH/7nlw=")</f>
        <v>#REF!</v>
      </c>
      <c r="CP119" t="e">
        <f>AND(Liste!#REF!,"AAAAAH/7nl0=")</f>
        <v>#REF!</v>
      </c>
      <c r="CQ119" t="e">
        <f>AND(Liste!#REF!,"AAAAAH/7nl4=")</f>
        <v>#REF!</v>
      </c>
      <c r="CR119" t="e">
        <f>AND(Liste!#REF!,"AAAAAH/7nl8=")</f>
        <v>#REF!</v>
      </c>
      <c r="CS119" t="e">
        <f>AND(Liste!#REF!,"AAAAAH/7nmA=")</f>
        <v>#REF!</v>
      </c>
      <c r="CT119" t="e">
        <f>AND(Liste!#REF!,"AAAAAH/7nmE=")</f>
        <v>#REF!</v>
      </c>
      <c r="CU119" t="e">
        <f>AND(Liste!#REF!,"AAAAAH/7nmI=")</f>
        <v>#REF!</v>
      </c>
      <c r="CV119" t="e">
        <f>AND(Liste!#REF!,"AAAAAH/7nmM=")</f>
        <v>#REF!</v>
      </c>
      <c r="CW119" t="e">
        <f>AND(Liste!#REF!,"AAAAAH/7nmQ=")</f>
        <v>#REF!</v>
      </c>
      <c r="CX119" t="e">
        <f>AND(Liste!#REF!,"AAAAAH/7nmU=")</f>
        <v>#REF!</v>
      </c>
      <c r="CY119" t="e">
        <f>AND(Liste!#REF!,"AAAAAH/7nmY=")</f>
        <v>#REF!</v>
      </c>
      <c r="CZ119" t="e">
        <f>AND(Liste!#REF!,"AAAAAH/7nmc=")</f>
        <v>#REF!</v>
      </c>
      <c r="DA119" t="e">
        <f>AND(Liste!#REF!,"AAAAAH/7nmg=")</f>
        <v>#REF!</v>
      </c>
      <c r="DB119" t="e">
        <f>AND(Liste!#REF!,"AAAAAH/7nmk=")</f>
        <v>#REF!</v>
      </c>
      <c r="DC119" t="e">
        <f>AND(Liste!#REF!,"AAAAAH/7nmo=")</f>
        <v>#REF!</v>
      </c>
      <c r="DD119" t="e">
        <f>AND(Liste!#REF!,"AAAAAH/7nms=")</f>
        <v>#REF!</v>
      </c>
      <c r="DE119" t="e">
        <f>AND(Liste!#REF!,"AAAAAH/7nmw=")</f>
        <v>#REF!</v>
      </c>
      <c r="DF119" t="e">
        <f>AND(Liste!#REF!,"AAAAAH/7nm0=")</f>
        <v>#REF!</v>
      </c>
      <c r="DG119" t="e">
        <f>IF(Liste!#REF!,"AAAAAH/7nm4=",0)</f>
        <v>#REF!</v>
      </c>
      <c r="DH119" t="e">
        <f>AND(Liste!#REF!,"AAAAAH/7nm8=")</f>
        <v>#REF!</v>
      </c>
      <c r="DI119" t="e">
        <f>AND(Liste!#REF!,"AAAAAH/7nnA=")</f>
        <v>#REF!</v>
      </c>
      <c r="DJ119" t="e">
        <f>AND(Liste!#REF!,"AAAAAH/7nnE=")</f>
        <v>#REF!</v>
      </c>
      <c r="DK119" t="e">
        <f>AND(Liste!#REF!,"AAAAAH/7nnI=")</f>
        <v>#REF!</v>
      </c>
      <c r="DL119" t="e">
        <f>AND(Liste!#REF!,"AAAAAH/7nnM=")</f>
        <v>#REF!</v>
      </c>
      <c r="DM119" t="e">
        <f>AND(Liste!#REF!,"AAAAAH/7nnQ=")</f>
        <v>#REF!</v>
      </c>
      <c r="DN119" t="e">
        <f>AND(Liste!#REF!,"AAAAAH/7nnU=")</f>
        <v>#REF!</v>
      </c>
      <c r="DO119" t="e">
        <f>AND(Liste!#REF!,"AAAAAH/7nnY=")</f>
        <v>#REF!</v>
      </c>
      <c r="DP119" t="e">
        <f>AND(Liste!#REF!,"AAAAAH/7nnc=")</f>
        <v>#REF!</v>
      </c>
      <c r="DQ119" t="e">
        <f>AND(Liste!#REF!,"AAAAAH/7nng=")</f>
        <v>#REF!</v>
      </c>
      <c r="DR119" t="e">
        <f>AND(Liste!#REF!,"AAAAAH/7nnk=")</f>
        <v>#REF!</v>
      </c>
      <c r="DS119" t="e">
        <f>AND(Liste!#REF!,"AAAAAH/7nno=")</f>
        <v>#REF!</v>
      </c>
      <c r="DT119" t="e">
        <f>AND(Liste!#REF!,"AAAAAH/7nns=")</f>
        <v>#REF!</v>
      </c>
      <c r="DU119" t="e">
        <f>AND(Liste!#REF!,"AAAAAH/7nnw=")</f>
        <v>#REF!</v>
      </c>
      <c r="DV119" t="e">
        <f>AND(Liste!#REF!,"AAAAAH/7nn0=")</f>
        <v>#REF!</v>
      </c>
      <c r="DW119" t="e">
        <f>AND(Liste!#REF!,"AAAAAH/7nn4=")</f>
        <v>#REF!</v>
      </c>
      <c r="DX119" t="e">
        <f>AND(Liste!#REF!,"AAAAAH/7nn8=")</f>
        <v>#REF!</v>
      </c>
      <c r="DY119" t="e">
        <f>AND(Liste!#REF!,"AAAAAH/7noA=")</f>
        <v>#REF!</v>
      </c>
      <c r="DZ119" t="e">
        <f>AND(Liste!#REF!,"AAAAAH/7noE=")</f>
        <v>#REF!</v>
      </c>
      <c r="EA119" t="e">
        <f>AND(Liste!#REF!,"AAAAAH/7noI=")</f>
        <v>#REF!</v>
      </c>
      <c r="EB119" t="e">
        <f>AND(Liste!#REF!,"AAAAAH/7noM=")</f>
        <v>#REF!</v>
      </c>
      <c r="EC119" t="e">
        <f>AND(Liste!#REF!,"AAAAAH/7noQ=")</f>
        <v>#REF!</v>
      </c>
      <c r="ED119" t="e">
        <f>AND(Liste!#REF!,"AAAAAH/7noU=")</f>
        <v>#REF!</v>
      </c>
      <c r="EE119" t="e">
        <f>AND(Liste!#REF!,"AAAAAH/7noY=")</f>
        <v>#REF!</v>
      </c>
      <c r="EF119" t="e">
        <f>AND(Liste!#REF!,"AAAAAH/7noc=")</f>
        <v>#REF!</v>
      </c>
      <c r="EG119" t="e">
        <f>AND(Liste!#REF!,"AAAAAH/7nog=")</f>
        <v>#REF!</v>
      </c>
      <c r="EH119" t="e">
        <f>AND(Liste!#REF!,"AAAAAH/7nok=")</f>
        <v>#REF!</v>
      </c>
      <c r="EI119" t="e">
        <f>AND(Liste!#REF!,"AAAAAH/7noo=")</f>
        <v>#REF!</v>
      </c>
      <c r="EJ119" t="e">
        <f>AND(Liste!#REF!,"AAAAAH/7nos=")</f>
        <v>#REF!</v>
      </c>
      <c r="EK119" t="e">
        <f>AND(Liste!#REF!,"AAAAAH/7now=")</f>
        <v>#REF!</v>
      </c>
      <c r="EL119" t="e">
        <f>IF(Liste!#REF!,"AAAAAH/7no0=",0)</f>
        <v>#REF!</v>
      </c>
      <c r="EM119" t="e">
        <f>AND(Liste!#REF!,"AAAAAH/7no4=")</f>
        <v>#REF!</v>
      </c>
      <c r="EN119" t="e">
        <f>AND(Liste!#REF!,"AAAAAH/7no8=")</f>
        <v>#REF!</v>
      </c>
      <c r="EO119" t="e">
        <f>AND(Liste!#REF!,"AAAAAH/7npA=")</f>
        <v>#REF!</v>
      </c>
      <c r="EP119" t="e">
        <f>AND(Liste!#REF!,"AAAAAH/7npE=")</f>
        <v>#REF!</v>
      </c>
      <c r="EQ119" t="e">
        <f>AND(Liste!#REF!,"AAAAAH/7npI=")</f>
        <v>#REF!</v>
      </c>
      <c r="ER119" t="e">
        <f>AND(Liste!#REF!,"AAAAAH/7npM=")</f>
        <v>#REF!</v>
      </c>
      <c r="ES119" t="e">
        <f>AND(Liste!#REF!,"AAAAAH/7npQ=")</f>
        <v>#REF!</v>
      </c>
      <c r="ET119" t="e">
        <f>AND(Liste!#REF!,"AAAAAH/7npU=")</f>
        <v>#REF!</v>
      </c>
      <c r="EU119" t="e">
        <f>AND(Liste!#REF!,"AAAAAH/7npY=")</f>
        <v>#REF!</v>
      </c>
      <c r="EV119" t="e">
        <f>AND(Liste!#REF!,"AAAAAH/7npc=")</f>
        <v>#REF!</v>
      </c>
      <c r="EW119" t="e">
        <f>AND(Liste!#REF!,"AAAAAH/7npg=")</f>
        <v>#REF!</v>
      </c>
      <c r="EX119" t="e">
        <f>AND(Liste!#REF!,"AAAAAH/7npk=")</f>
        <v>#REF!</v>
      </c>
      <c r="EY119" t="e">
        <f>AND(Liste!#REF!,"AAAAAH/7npo=")</f>
        <v>#REF!</v>
      </c>
      <c r="EZ119" t="e">
        <f>AND(Liste!#REF!,"AAAAAH/7nps=")</f>
        <v>#REF!</v>
      </c>
      <c r="FA119" t="e">
        <f>AND(Liste!#REF!,"AAAAAH/7npw=")</f>
        <v>#REF!</v>
      </c>
      <c r="FB119" t="e">
        <f>AND(Liste!#REF!,"AAAAAH/7np0=")</f>
        <v>#REF!</v>
      </c>
      <c r="FC119" t="e">
        <f>AND(Liste!#REF!,"AAAAAH/7np4=")</f>
        <v>#REF!</v>
      </c>
      <c r="FD119" t="e">
        <f>AND(Liste!#REF!,"AAAAAH/7np8=")</f>
        <v>#REF!</v>
      </c>
      <c r="FE119" t="e">
        <f>AND(Liste!#REF!,"AAAAAH/7nqA=")</f>
        <v>#REF!</v>
      </c>
      <c r="FF119" t="e">
        <f>AND(Liste!#REF!,"AAAAAH/7nqE=")</f>
        <v>#REF!</v>
      </c>
      <c r="FG119" t="e">
        <f>AND(Liste!#REF!,"AAAAAH/7nqI=")</f>
        <v>#REF!</v>
      </c>
      <c r="FH119" t="e">
        <f>AND(Liste!#REF!,"AAAAAH/7nqM=")</f>
        <v>#REF!</v>
      </c>
      <c r="FI119" t="e">
        <f>AND(Liste!#REF!,"AAAAAH/7nqQ=")</f>
        <v>#REF!</v>
      </c>
      <c r="FJ119" t="e">
        <f>AND(Liste!#REF!,"AAAAAH/7nqU=")</f>
        <v>#REF!</v>
      </c>
      <c r="FK119" t="e">
        <f>AND(Liste!#REF!,"AAAAAH/7nqY=")</f>
        <v>#REF!</v>
      </c>
      <c r="FL119" t="e">
        <f>AND(Liste!#REF!,"AAAAAH/7nqc=")</f>
        <v>#REF!</v>
      </c>
      <c r="FM119" t="e">
        <f>AND(Liste!#REF!,"AAAAAH/7nqg=")</f>
        <v>#REF!</v>
      </c>
      <c r="FN119" t="e">
        <f>AND(Liste!#REF!,"AAAAAH/7nqk=")</f>
        <v>#REF!</v>
      </c>
      <c r="FO119" t="e">
        <f>AND(Liste!#REF!,"AAAAAH/7nqo=")</f>
        <v>#REF!</v>
      </c>
      <c r="FP119" t="e">
        <f>AND(Liste!#REF!,"AAAAAH/7nqs=")</f>
        <v>#REF!</v>
      </c>
      <c r="FQ119" t="e">
        <f>IF(Liste!#REF!,"AAAAAH/7nqw=",0)</f>
        <v>#REF!</v>
      </c>
      <c r="FR119" t="e">
        <f>AND(Liste!#REF!,"AAAAAH/7nq0=")</f>
        <v>#REF!</v>
      </c>
      <c r="FS119" t="e">
        <f>AND(Liste!#REF!,"AAAAAH/7nq4=")</f>
        <v>#REF!</v>
      </c>
      <c r="FT119" t="e">
        <f>AND(Liste!#REF!,"AAAAAH/7nq8=")</f>
        <v>#REF!</v>
      </c>
      <c r="FU119" t="e">
        <f>AND(Liste!#REF!,"AAAAAH/7nrA=")</f>
        <v>#REF!</v>
      </c>
      <c r="FV119" t="e">
        <f>AND(Liste!#REF!,"AAAAAH/7nrE=")</f>
        <v>#REF!</v>
      </c>
      <c r="FW119" t="e">
        <f>AND(Liste!#REF!,"AAAAAH/7nrI=")</f>
        <v>#REF!</v>
      </c>
      <c r="FX119" t="e">
        <f>AND(Liste!#REF!,"AAAAAH/7nrM=")</f>
        <v>#REF!</v>
      </c>
      <c r="FY119" t="e">
        <f>AND(Liste!#REF!,"AAAAAH/7nrQ=")</f>
        <v>#REF!</v>
      </c>
      <c r="FZ119" t="e">
        <f>AND(Liste!#REF!,"AAAAAH/7nrU=")</f>
        <v>#REF!</v>
      </c>
      <c r="GA119" t="e">
        <f>AND(Liste!#REF!,"AAAAAH/7nrY=")</f>
        <v>#REF!</v>
      </c>
      <c r="GB119" t="e">
        <f>AND(Liste!#REF!,"AAAAAH/7nrc=")</f>
        <v>#REF!</v>
      </c>
      <c r="GC119" t="e">
        <f>AND(Liste!#REF!,"AAAAAH/7nrg=")</f>
        <v>#REF!</v>
      </c>
      <c r="GD119" t="e">
        <f>AND(Liste!#REF!,"AAAAAH/7nrk=")</f>
        <v>#REF!</v>
      </c>
      <c r="GE119" t="e">
        <f>AND(Liste!#REF!,"AAAAAH/7nro=")</f>
        <v>#REF!</v>
      </c>
      <c r="GF119" t="e">
        <f>AND(Liste!#REF!,"AAAAAH/7nrs=")</f>
        <v>#REF!</v>
      </c>
      <c r="GG119" t="e">
        <f>AND(Liste!#REF!,"AAAAAH/7nrw=")</f>
        <v>#REF!</v>
      </c>
      <c r="GH119" t="e">
        <f>AND(Liste!#REF!,"AAAAAH/7nr0=")</f>
        <v>#REF!</v>
      </c>
      <c r="GI119" t="e">
        <f>AND(Liste!#REF!,"AAAAAH/7nr4=")</f>
        <v>#REF!</v>
      </c>
      <c r="GJ119" t="e">
        <f>AND(Liste!#REF!,"AAAAAH/7nr8=")</f>
        <v>#REF!</v>
      </c>
      <c r="GK119" t="e">
        <f>AND(Liste!#REF!,"AAAAAH/7nsA=")</f>
        <v>#REF!</v>
      </c>
      <c r="GL119" t="e">
        <f>AND(Liste!#REF!,"AAAAAH/7nsE=")</f>
        <v>#REF!</v>
      </c>
      <c r="GM119" t="e">
        <f>AND(Liste!#REF!,"AAAAAH/7nsI=")</f>
        <v>#REF!</v>
      </c>
      <c r="GN119" t="e">
        <f>AND(Liste!#REF!,"AAAAAH/7nsM=")</f>
        <v>#REF!</v>
      </c>
      <c r="GO119" t="e">
        <f>AND(Liste!#REF!,"AAAAAH/7nsQ=")</f>
        <v>#REF!</v>
      </c>
      <c r="GP119" t="e">
        <f>AND(Liste!#REF!,"AAAAAH/7nsU=")</f>
        <v>#REF!</v>
      </c>
      <c r="GQ119" t="e">
        <f>AND(Liste!#REF!,"AAAAAH/7nsY=")</f>
        <v>#REF!</v>
      </c>
      <c r="GR119" t="e">
        <f>AND(Liste!#REF!,"AAAAAH/7nsc=")</f>
        <v>#REF!</v>
      </c>
      <c r="GS119" t="e">
        <f>AND(Liste!#REF!,"AAAAAH/7nsg=")</f>
        <v>#REF!</v>
      </c>
      <c r="GT119" t="e">
        <f>AND(Liste!#REF!,"AAAAAH/7nsk=")</f>
        <v>#REF!</v>
      </c>
      <c r="GU119" t="e">
        <f>AND(Liste!#REF!,"AAAAAH/7nso=")</f>
        <v>#REF!</v>
      </c>
      <c r="GV119" t="e">
        <f>IF(Liste!#REF!,"AAAAAH/7nss=",0)</f>
        <v>#REF!</v>
      </c>
      <c r="GW119" t="e">
        <f>AND(Liste!#REF!,"AAAAAH/7nsw=")</f>
        <v>#REF!</v>
      </c>
      <c r="GX119" t="e">
        <f>AND(Liste!#REF!,"AAAAAH/7ns0=")</f>
        <v>#REF!</v>
      </c>
      <c r="GY119" t="e">
        <f>AND(Liste!#REF!,"AAAAAH/7ns4=")</f>
        <v>#REF!</v>
      </c>
      <c r="GZ119" t="e">
        <f>AND(Liste!#REF!,"AAAAAH/7ns8=")</f>
        <v>#REF!</v>
      </c>
      <c r="HA119" t="e">
        <f>AND(Liste!#REF!,"AAAAAH/7ntA=")</f>
        <v>#REF!</v>
      </c>
      <c r="HB119" t="e">
        <f>AND(Liste!#REF!,"AAAAAH/7ntE=")</f>
        <v>#REF!</v>
      </c>
      <c r="HC119" t="e">
        <f>AND(Liste!#REF!,"AAAAAH/7ntI=")</f>
        <v>#REF!</v>
      </c>
      <c r="HD119" t="e">
        <f>AND(Liste!#REF!,"AAAAAH/7ntM=")</f>
        <v>#REF!</v>
      </c>
      <c r="HE119" t="e">
        <f>AND(Liste!#REF!,"AAAAAH/7ntQ=")</f>
        <v>#REF!</v>
      </c>
      <c r="HF119" t="e">
        <f>AND(Liste!#REF!,"AAAAAH/7ntU=")</f>
        <v>#REF!</v>
      </c>
      <c r="HG119" t="e">
        <f>AND(Liste!#REF!,"AAAAAH/7ntY=")</f>
        <v>#REF!</v>
      </c>
      <c r="HH119" t="e">
        <f>AND(Liste!#REF!,"AAAAAH/7ntc=")</f>
        <v>#REF!</v>
      </c>
      <c r="HI119" t="e">
        <f>AND(Liste!#REF!,"AAAAAH/7ntg=")</f>
        <v>#REF!</v>
      </c>
      <c r="HJ119" t="e">
        <f>AND(Liste!#REF!,"AAAAAH/7ntk=")</f>
        <v>#REF!</v>
      </c>
      <c r="HK119" t="e">
        <f>AND(Liste!#REF!,"AAAAAH/7nto=")</f>
        <v>#REF!</v>
      </c>
      <c r="HL119" t="e">
        <f>AND(Liste!#REF!,"AAAAAH/7nts=")</f>
        <v>#REF!</v>
      </c>
      <c r="HM119" t="e">
        <f>AND(Liste!#REF!,"AAAAAH/7ntw=")</f>
        <v>#REF!</v>
      </c>
      <c r="HN119" t="e">
        <f>AND(Liste!#REF!,"AAAAAH/7nt0=")</f>
        <v>#REF!</v>
      </c>
      <c r="HO119" t="e">
        <f>AND(Liste!#REF!,"AAAAAH/7nt4=")</f>
        <v>#REF!</v>
      </c>
      <c r="HP119" t="e">
        <f>AND(Liste!#REF!,"AAAAAH/7nt8=")</f>
        <v>#REF!</v>
      </c>
      <c r="HQ119" t="e">
        <f>AND(Liste!#REF!,"AAAAAH/7nuA=")</f>
        <v>#REF!</v>
      </c>
      <c r="HR119" t="e">
        <f>AND(Liste!#REF!,"AAAAAH/7nuE=")</f>
        <v>#REF!</v>
      </c>
      <c r="HS119" t="e">
        <f>AND(Liste!#REF!,"AAAAAH/7nuI=")</f>
        <v>#REF!</v>
      </c>
      <c r="HT119" t="e">
        <f>AND(Liste!#REF!,"AAAAAH/7nuM=")</f>
        <v>#REF!</v>
      </c>
      <c r="HU119" t="e">
        <f>AND(Liste!#REF!,"AAAAAH/7nuQ=")</f>
        <v>#REF!</v>
      </c>
      <c r="HV119" t="e">
        <f>AND(Liste!#REF!,"AAAAAH/7nuU=")</f>
        <v>#REF!</v>
      </c>
      <c r="HW119" t="e">
        <f>AND(Liste!#REF!,"AAAAAH/7nuY=")</f>
        <v>#REF!</v>
      </c>
      <c r="HX119" t="e">
        <f>AND(Liste!#REF!,"AAAAAH/7nuc=")</f>
        <v>#REF!</v>
      </c>
      <c r="HY119" t="e">
        <f>AND(Liste!#REF!,"AAAAAH/7nug=")</f>
        <v>#REF!</v>
      </c>
      <c r="HZ119" t="e">
        <f>AND(Liste!#REF!,"AAAAAH/7nuk=")</f>
        <v>#REF!</v>
      </c>
      <c r="IA119">
        <f>IF(Liste!639:639,"AAAAAH/7nuo=",0)</f>
        <v>0</v>
      </c>
      <c r="IB119" t="e">
        <f>AND(Liste!A639,"AAAAAH/7nus=")</f>
        <v>#VALUE!</v>
      </c>
      <c r="IC119" t="e">
        <f>AND(Liste!C639,"AAAAAH/7nuw=")</f>
        <v>#VALUE!</v>
      </c>
      <c r="ID119" t="e">
        <f>AND(Liste!D639,"AAAAAH/7nu0=")</f>
        <v>#VALUE!</v>
      </c>
      <c r="IE119" t="e">
        <f>AND(Liste!E639,"AAAAAH/7nu4=")</f>
        <v>#VALUE!</v>
      </c>
      <c r="IF119" t="e">
        <f>AND(Liste!F639,"AAAAAH/7nu8=")</f>
        <v>#VALUE!</v>
      </c>
      <c r="IG119" t="e">
        <f>AND(Liste!G639,"AAAAAH/7nvA=")</f>
        <v>#VALUE!</v>
      </c>
      <c r="IH119" t="e">
        <f>AND(Liste!H639,"AAAAAH/7nvE=")</f>
        <v>#VALUE!</v>
      </c>
      <c r="II119" t="e">
        <f>AND(Liste!I639,"AAAAAH/7nvI=")</f>
        <v>#VALUE!</v>
      </c>
      <c r="IJ119" t="e">
        <f>AND(Liste!J639,"AAAAAH/7nvM=")</f>
        <v>#VALUE!</v>
      </c>
      <c r="IK119" t="e">
        <f>AND(Liste!#REF!,"AAAAAH/7nvQ=")</f>
        <v>#REF!</v>
      </c>
      <c r="IL119" t="e">
        <f>AND(Liste!#REF!,"AAAAAH/7nvU=")</f>
        <v>#REF!</v>
      </c>
      <c r="IM119" t="e">
        <f>AND(Liste!#REF!,"AAAAAH/7nvY=")</f>
        <v>#REF!</v>
      </c>
      <c r="IN119" t="e">
        <f>AND(Liste!#REF!,"AAAAAH/7nvc=")</f>
        <v>#REF!</v>
      </c>
      <c r="IO119" t="e">
        <f>AND(Liste!#REF!,"AAAAAH/7nvg=")</f>
        <v>#REF!</v>
      </c>
      <c r="IP119" t="e">
        <f>AND(Liste!#REF!,"AAAAAH/7nvk=")</f>
        <v>#REF!</v>
      </c>
      <c r="IQ119" t="e">
        <f>AND(Liste!#REF!,"AAAAAH/7nvo=")</f>
        <v>#REF!</v>
      </c>
      <c r="IR119" t="e">
        <f>AND(Liste!#REF!,"AAAAAH/7nvs=")</f>
        <v>#REF!</v>
      </c>
      <c r="IS119" t="e">
        <f>AND(Liste!#REF!,"AAAAAH/7nvw=")</f>
        <v>#REF!</v>
      </c>
      <c r="IT119" t="e">
        <f>AND(Liste!#REF!,"AAAAAH/7nv0=")</f>
        <v>#REF!</v>
      </c>
      <c r="IU119" t="e">
        <f>AND(Liste!#REF!,"AAAAAH/7nv4=")</f>
        <v>#REF!</v>
      </c>
      <c r="IV119" t="e">
        <f>AND(Liste!#REF!,"AAAAAH/7nv8=")</f>
        <v>#REF!</v>
      </c>
    </row>
    <row r="120" spans="1:256" x14ac:dyDescent="0.2">
      <c r="A120" t="e">
        <f>AND(Liste!#REF!,"AAAAAD/fygA=")</f>
        <v>#REF!</v>
      </c>
      <c r="B120" t="e">
        <f>AND(Liste!#REF!,"AAAAAD/fygE=")</f>
        <v>#REF!</v>
      </c>
      <c r="C120" t="e">
        <f>AND(Liste!#REF!,"AAAAAD/fygI=")</f>
        <v>#REF!</v>
      </c>
      <c r="D120" t="e">
        <f>AND(Liste!#REF!,"AAAAAD/fygM=")</f>
        <v>#REF!</v>
      </c>
      <c r="E120" t="e">
        <f>AND(Liste!#REF!,"AAAAAD/fygQ=")</f>
        <v>#REF!</v>
      </c>
      <c r="F120" t="e">
        <f>AND(Liste!#REF!,"AAAAAD/fygU=")</f>
        <v>#REF!</v>
      </c>
      <c r="G120" t="e">
        <f>AND(Liste!#REF!,"AAAAAD/fygY=")</f>
        <v>#REF!</v>
      </c>
      <c r="H120" t="e">
        <f>AND(Liste!#REF!,"AAAAAD/fygc=")</f>
        <v>#REF!</v>
      </c>
      <c r="I120" t="e">
        <f>AND(Liste!#REF!,"AAAAAD/fygg=")</f>
        <v>#REF!</v>
      </c>
      <c r="J120">
        <f>IF(Liste!640:640,"AAAAAD/fygk=",0)</f>
        <v>0</v>
      </c>
      <c r="K120" t="e">
        <f>AND(Liste!A640,"AAAAAD/fygo=")</f>
        <v>#VALUE!</v>
      </c>
      <c r="L120" t="e">
        <f>AND(Liste!C640,"AAAAAD/fygs=")</f>
        <v>#VALUE!</v>
      </c>
      <c r="M120" t="e">
        <f>AND(Liste!D640,"AAAAAD/fygw=")</f>
        <v>#VALUE!</v>
      </c>
      <c r="N120" t="e">
        <f>AND(Liste!E640,"AAAAAD/fyg0=")</f>
        <v>#VALUE!</v>
      </c>
      <c r="O120" t="e">
        <f>AND(Liste!F640,"AAAAAD/fyg4=")</f>
        <v>#VALUE!</v>
      </c>
      <c r="P120" t="e">
        <f>AND(Liste!G640,"AAAAAD/fyg8=")</f>
        <v>#VALUE!</v>
      </c>
      <c r="Q120" t="e">
        <f>AND(Liste!H640,"AAAAAD/fyhA=")</f>
        <v>#VALUE!</v>
      </c>
      <c r="R120" t="e">
        <f>AND(Liste!I640,"AAAAAD/fyhE=")</f>
        <v>#VALUE!</v>
      </c>
      <c r="S120" t="e">
        <f>AND(Liste!J640,"AAAAAD/fyhI=")</f>
        <v>#VALUE!</v>
      </c>
      <c r="T120" t="e">
        <f>AND(Liste!#REF!,"AAAAAD/fyhM=")</f>
        <v>#REF!</v>
      </c>
      <c r="U120" t="e">
        <f>AND(Liste!#REF!,"AAAAAD/fyhQ=")</f>
        <v>#REF!</v>
      </c>
      <c r="V120" t="e">
        <f>AND(Liste!#REF!,"AAAAAD/fyhU=")</f>
        <v>#REF!</v>
      </c>
      <c r="W120" t="e">
        <f>AND(Liste!#REF!,"AAAAAD/fyhY=")</f>
        <v>#REF!</v>
      </c>
      <c r="X120" t="e">
        <f>AND(Liste!#REF!,"AAAAAD/fyhc=")</f>
        <v>#REF!</v>
      </c>
      <c r="Y120" t="e">
        <f>AND(Liste!#REF!,"AAAAAD/fyhg=")</f>
        <v>#REF!</v>
      </c>
      <c r="Z120" t="e">
        <f>AND(Liste!#REF!,"AAAAAD/fyhk=")</f>
        <v>#REF!</v>
      </c>
      <c r="AA120" t="e">
        <f>AND(Liste!#REF!,"AAAAAD/fyho=")</f>
        <v>#REF!</v>
      </c>
      <c r="AB120" t="e">
        <f>AND(Liste!#REF!,"AAAAAD/fyhs=")</f>
        <v>#REF!</v>
      </c>
      <c r="AC120" t="e">
        <f>AND(Liste!#REF!,"AAAAAD/fyhw=")</f>
        <v>#REF!</v>
      </c>
      <c r="AD120" t="e">
        <f>AND(Liste!#REF!,"AAAAAD/fyh0=")</f>
        <v>#REF!</v>
      </c>
      <c r="AE120" t="e">
        <f>AND(Liste!#REF!,"AAAAAD/fyh4=")</f>
        <v>#REF!</v>
      </c>
      <c r="AF120" t="e">
        <f>AND(Liste!#REF!,"AAAAAD/fyh8=")</f>
        <v>#REF!</v>
      </c>
      <c r="AG120" t="e">
        <f>AND(Liste!#REF!,"AAAAAD/fyiA=")</f>
        <v>#REF!</v>
      </c>
      <c r="AH120" t="e">
        <f>AND(Liste!#REF!,"AAAAAD/fyiE=")</f>
        <v>#REF!</v>
      </c>
      <c r="AI120" t="e">
        <f>AND(Liste!#REF!,"AAAAAD/fyiI=")</f>
        <v>#REF!</v>
      </c>
      <c r="AJ120" t="e">
        <f>AND(Liste!#REF!,"AAAAAD/fyiM=")</f>
        <v>#REF!</v>
      </c>
      <c r="AK120" t="e">
        <f>AND(Liste!#REF!,"AAAAAD/fyiQ=")</f>
        <v>#REF!</v>
      </c>
      <c r="AL120" t="e">
        <f>AND(Liste!#REF!,"AAAAAD/fyiU=")</f>
        <v>#REF!</v>
      </c>
      <c r="AM120" t="e">
        <f>AND(Liste!#REF!,"AAAAAD/fyiY=")</f>
        <v>#REF!</v>
      </c>
      <c r="AN120" t="e">
        <f>AND(Liste!#REF!,"AAAAAD/fyic=")</f>
        <v>#REF!</v>
      </c>
      <c r="AO120">
        <f>IF(Liste!641:641,"AAAAAD/fyig=",0)</f>
        <v>0</v>
      </c>
      <c r="AP120" t="b">
        <f>AND(Liste!A641,"AAAAAD/fyik=")</f>
        <v>1</v>
      </c>
      <c r="AQ120" t="e">
        <f>AND(Liste!#REF!,"AAAAAD/fyio=")</f>
        <v>#REF!</v>
      </c>
      <c r="AR120" t="e">
        <f>AND(Liste!#REF!,"AAAAAD/fyis=")</f>
        <v>#REF!</v>
      </c>
      <c r="AS120" t="e">
        <f>AND(Liste!#REF!,"AAAAAD/fyiw=")</f>
        <v>#REF!</v>
      </c>
      <c r="AT120" t="e">
        <f>AND(Liste!F641,"AAAAAD/fyi0=")</f>
        <v>#VALUE!</v>
      </c>
      <c r="AU120" t="e">
        <f>AND(Liste!G641,"AAAAAD/fyi4=")</f>
        <v>#VALUE!</v>
      </c>
      <c r="AV120" t="e">
        <f>AND(Liste!H641,"AAAAAD/fyi8=")</f>
        <v>#VALUE!</v>
      </c>
      <c r="AW120" t="e">
        <f>AND(Liste!I641,"AAAAAD/fyjA=")</f>
        <v>#VALUE!</v>
      </c>
      <c r="AX120" t="e">
        <f>AND(Liste!J641,"AAAAAD/fyjE=")</f>
        <v>#VALUE!</v>
      </c>
      <c r="AY120" t="e">
        <f>AND(Liste!#REF!,"AAAAAD/fyjI=")</f>
        <v>#REF!</v>
      </c>
      <c r="AZ120" t="e">
        <f>AND(Liste!#REF!,"AAAAAD/fyjM=")</f>
        <v>#REF!</v>
      </c>
      <c r="BA120" t="e">
        <f>AND(Liste!#REF!,"AAAAAD/fyjQ=")</f>
        <v>#REF!</v>
      </c>
      <c r="BB120" t="e">
        <f>AND(Liste!#REF!,"AAAAAD/fyjU=")</f>
        <v>#REF!</v>
      </c>
      <c r="BC120" t="e">
        <f>AND(Liste!#REF!,"AAAAAD/fyjY=")</f>
        <v>#REF!</v>
      </c>
      <c r="BD120" t="e">
        <f>AND(Liste!#REF!,"AAAAAD/fyjc=")</f>
        <v>#REF!</v>
      </c>
      <c r="BE120" t="e">
        <f>AND(Liste!#REF!,"AAAAAD/fyjg=")</f>
        <v>#REF!</v>
      </c>
      <c r="BF120" t="e">
        <f>AND(Liste!#REF!,"AAAAAD/fyjk=")</f>
        <v>#REF!</v>
      </c>
      <c r="BG120" t="e">
        <f>AND(Liste!#REF!,"AAAAAD/fyjo=")</f>
        <v>#REF!</v>
      </c>
      <c r="BH120" t="e">
        <f>AND(Liste!#REF!,"AAAAAD/fyjs=")</f>
        <v>#REF!</v>
      </c>
      <c r="BI120" t="e">
        <f>AND(Liste!#REF!,"AAAAAD/fyjw=")</f>
        <v>#REF!</v>
      </c>
      <c r="BJ120" t="e">
        <f>AND(Liste!#REF!,"AAAAAD/fyj0=")</f>
        <v>#REF!</v>
      </c>
      <c r="BK120" t="e">
        <f>AND(Liste!#REF!,"AAAAAD/fyj4=")</f>
        <v>#REF!</v>
      </c>
      <c r="BL120" t="e">
        <f>AND(Liste!#REF!,"AAAAAD/fyj8=")</f>
        <v>#REF!</v>
      </c>
      <c r="BM120" t="e">
        <f>AND(Liste!#REF!,"AAAAAD/fykA=")</f>
        <v>#REF!</v>
      </c>
      <c r="BN120" t="e">
        <f>AND(Liste!#REF!,"AAAAAD/fykE=")</f>
        <v>#REF!</v>
      </c>
      <c r="BO120" t="e">
        <f>AND(Liste!#REF!,"AAAAAD/fykI=")</f>
        <v>#REF!</v>
      </c>
      <c r="BP120" t="e">
        <f>AND(Liste!#REF!,"AAAAAD/fykM=")</f>
        <v>#REF!</v>
      </c>
      <c r="BQ120" t="e">
        <f>AND(Liste!#REF!,"AAAAAD/fykQ=")</f>
        <v>#REF!</v>
      </c>
      <c r="BR120" t="e">
        <f>AND(Liste!#REF!,"AAAAAD/fykU=")</f>
        <v>#REF!</v>
      </c>
      <c r="BS120" t="e">
        <f>AND(Liste!#REF!,"AAAAAD/fykY=")</f>
        <v>#REF!</v>
      </c>
      <c r="BT120">
        <f>IF(Liste!642:642,"AAAAAD/fykc=",0)</f>
        <v>0</v>
      </c>
      <c r="BU120" t="b">
        <f>AND(Liste!A642,"AAAAAD/fykg=")</f>
        <v>1</v>
      </c>
      <c r="BV120" t="e">
        <f>AND(Liste!#REF!,"AAAAAD/fykk=")</f>
        <v>#REF!</v>
      </c>
      <c r="BW120" t="e">
        <f>AND(Liste!#REF!,"AAAAAD/fyko=")</f>
        <v>#REF!</v>
      </c>
      <c r="BX120" t="e">
        <f>AND(Liste!#REF!,"AAAAAD/fyks=")</f>
        <v>#REF!</v>
      </c>
      <c r="BY120" t="e">
        <f>AND(Liste!F642,"AAAAAD/fykw=")</f>
        <v>#VALUE!</v>
      </c>
      <c r="BZ120" t="e">
        <f>AND(Liste!G642,"AAAAAD/fyk0=")</f>
        <v>#VALUE!</v>
      </c>
      <c r="CA120" t="e">
        <f>AND(Liste!H642,"AAAAAD/fyk4=")</f>
        <v>#VALUE!</v>
      </c>
      <c r="CB120" t="e">
        <f>AND(Liste!I642,"AAAAAD/fyk8=")</f>
        <v>#VALUE!</v>
      </c>
      <c r="CC120" t="e">
        <f>AND(Liste!J642,"AAAAAD/fylA=")</f>
        <v>#VALUE!</v>
      </c>
      <c r="CD120" t="e">
        <f>AND(Liste!#REF!,"AAAAAD/fylE=")</f>
        <v>#REF!</v>
      </c>
      <c r="CE120" t="e">
        <f>AND(Liste!#REF!,"AAAAAD/fylI=")</f>
        <v>#REF!</v>
      </c>
      <c r="CF120" t="e">
        <f>AND(Liste!#REF!,"AAAAAD/fylM=")</f>
        <v>#REF!</v>
      </c>
      <c r="CG120" t="e">
        <f>AND(Liste!#REF!,"AAAAAD/fylQ=")</f>
        <v>#REF!</v>
      </c>
      <c r="CH120" t="e">
        <f>AND(Liste!#REF!,"AAAAAD/fylU=")</f>
        <v>#REF!</v>
      </c>
      <c r="CI120" t="e">
        <f>AND(Liste!#REF!,"AAAAAD/fylY=")</f>
        <v>#REF!</v>
      </c>
      <c r="CJ120" t="e">
        <f>AND(Liste!#REF!,"AAAAAD/fylc=")</f>
        <v>#REF!</v>
      </c>
      <c r="CK120" t="e">
        <f>AND(Liste!#REF!,"AAAAAD/fylg=")</f>
        <v>#REF!</v>
      </c>
      <c r="CL120" t="e">
        <f>AND(Liste!#REF!,"AAAAAD/fylk=")</f>
        <v>#REF!</v>
      </c>
      <c r="CM120" t="e">
        <f>AND(Liste!#REF!,"AAAAAD/fylo=")</f>
        <v>#REF!</v>
      </c>
      <c r="CN120" t="e">
        <f>AND(Liste!#REF!,"AAAAAD/fyls=")</f>
        <v>#REF!</v>
      </c>
      <c r="CO120" t="e">
        <f>AND(Liste!#REF!,"AAAAAD/fylw=")</f>
        <v>#REF!</v>
      </c>
      <c r="CP120" t="e">
        <f>AND(Liste!#REF!,"AAAAAD/fyl0=")</f>
        <v>#REF!</v>
      </c>
      <c r="CQ120" t="e">
        <f>AND(Liste!#REF!,"AAAAAD/fyl4=")</f>
        <v>#REF!</v>
      </c>
      <c r="CR120" t="e">
        <f>AND(Liste!#REF!,"AAAAAD/fyl8=")</f>
        <v>#REF!</v>
      </c>
      <c r="CS120" t="e">
        <f>AND(Liste!#REF!,"AAAAAD/fymA=")</f>
        <v>#REF!</v>
      </c>
      <c r="CT120" t="e">
        <f>AND(Liste!#REF!,"AAAAAD/fymE=")</f>
        <v>#REF!</v>
      </c>
      <c r="CU120" t="e">
        <f>AND(Liste!#REF!,"AAAAAD/fymI=")</f>
        <v>#REF!</v>
      </c>
      <c r="CV120" t="e">
        <f>AND(Liste!#REF!,"AAAAAD/fymM=")</f>
        <v>#REF!</v>
      </c>
      <c r="CW120" t="e">
        <f>AND(Liste!#REF!,"AAAAAD/fymQ=")</f>
        <v>#REF!</v>
      </c>
      <c r="CX120" t="e">
        <f>AND(Liste!#REF!,"AAAAAD/fymU=")</f>
        <v>#REF!</v>
      </c>
      <c r="CY120">
        <f>IF(Liste!643:643,"AAAAAD/fymY=",0)</f>
        <v>0</v>
      </c>
      <c r="CZ120" t="b">
        <f>AND(Liste!A643,"AAAAAD/fymc=")</f>
        <v>1</v>
      </c>
      <c r="DA120" t="e">
        <f>AND(Liste!#REF!,"AAAAAD/fymg=")</f>
        <v>#REF!</v>
      </c>
      <c r="DB120" t="e">
        <f>AND(Liste!#REF!,"AAAAAD/fymk=")</f>
        <v>#REF!</v>
      </c>
      <c r="DC120" t="e">
        <f>AND(Liste!#REF!,"AAAAAD/fymo=")</f>
        <v>#REF!</v>
      </c>
      <c r="DD120" t="e">
        <f>AND(Liste!F643,"AAAAAD/fyms=")</f>
        <v>#VALUE!</v>
      </c>
      <c r="DE120" t="e">
        <f>AND(Liste!G643,"AAAAAD/fymw=")</f>
        <v>#VALUE!</v>
      </c>
      <c r="DF120" t="e">
        <f>AND(Liste!H643,"AAAAAD/fym0=")</f>
        <v>#VALUE!</v>
      </c>
      <c r="DG120" t="e">
        <f>AND(Liste!I643,"AAAAAD/fym4=")</f>
        <v>#VALUE!</v>
      </c>
      <c r="DH120" t="e">
        <f>AND(Liste!J643,"AAAAAD/fym8=")</f>
        <v>#VALUE!</v>
      </c>
      <c r="DI120" t="e">
        <f>AND(Liste!#REF!,"AAAAAD/fynA=")</f>
        <v>#REF!</v>
      </c>
      <c r="DJ120" t="e">
        <f>AND(Liste!#REF!,"AAAAAD/fynE=")</f>
        <v>#REF!</v>
      </c>
      <c r="DK120" t="e">
        <f>AND(Liste!#REF!,"AAAAAD/fynI=")</f>
        <v>#REF!</v>
      </c>
      <c r="DL120" t="e">
        <f>AND(Liste!#REF!,"AAAAAD/fynM=")</f>
        <v>#REF!</v>
      </c>
      <c r="DM120" t="e">
        <f>AND(Liste!#REF!,"AAAAAD/fynQ=")</f>
        <v>#REF!</v>
      </c>
      <c r="DN120" t="e">
        <f>AND(Liste!#REF!,"AAAAAD/fynU=")</f>
        <v>#REF!</v>
      </c>
      <c r="DO120" t="e">
        <f>AND(Liste!#REF!,"AAAAAD/fynY=")</f>
        <v>#REF!</v>
      </c>
      <c r="DP120" t="e">
        <f>AND(Liste!#REF!,"AAAAAD/fync=")</f>
        <v>#REF!</v>
      </c>
      <c r="DQ120" t="e">
        <f>AND(Liste!#REF!,"AAAAAD/fyng=")</f>
        <v>#REF!</v>
      </c>
      <c r="DR120" t="e">
        <f>AND(Liste!#REF!,"AAAAAD/fynk=")</f>
        <v>#REF!</v>
      </c>
      <c r="DS120" t="e">
        <f>AND(Liste!#REF!,"AAAAAD/fyno=")</f>
        <v>#REF!</v>
      </c>
      <c r="DT120" t="e">
        <f>AND(Liste!#REF!,"AAAAAD/fyns=")</f>
        <v>#REF!</v>
      </c>
      <c r="DU120" t="e">
        <f>AND(Liste!#REF!,"AAAAAD/fynw=")</f>
        <v>#REF!</v>
      </c>
      <c r="DV120" t="e">
        <f>AND(Liste!#REF!,"AAAAAD/fyn0=")</f>
        <v>#REF!</v>
      </c>
      <c r="DW120" t="e">
        <f>AND(Liste!#REF!,"AAAAAD/fyn4=")</f>
        <v>#REF!</v>
      </c>
      <c r="DX120" t="e">
        <f>AND(Liste!#REF!,"AAAAAD/fyn8=")</f>
        <v>#REF!</v>
      </c>
      <c r="DY120" t="e">
        <f>AND(Liste!#REF!,"AAAAAD/fyoA=")</f>
        <v>#REF!</v>
      </c>
      <c r="DZ120" t="e">
        <f>AND(Liste!#REF!,"AAAAAD/fyoE=")</f>
        <v>#REF!</v>
      </c>
      <c r="EA120" t="e">
        <f>AND(Liste!#REF!,"AAAAAD/fyoI=")</f>
        <v>#REF!</v>
      </c>
      <c r="EB120" t="e">
        <f>AND(Liste!#REF!,"AAAAAD/fyoM=")</f>
        <v>#REF!</v>
      </c>
      <c r="EC120" t="e">
        <f>AND(Liste!#REF!,"AAAAAD/fyoQ=")</f>
        <v>#REF!</v>
      </c>
      <c r="ED120">
        <f>IF(Liste!644:644,"AAAAAD/fyoU=",0)</f>
        <v>0</v>
      </c>
      <c r="EE120" t="b">
        <f>AND(Liste!A644,"AAAAAD/fyoY=")</f>
        <v>1</v>
      </c>
      <c r="EF120" t="e">
        <f>AND(Liste!#REF!,"AAAAAD/fyoc=")</f>
        <v>#REF!</v>
      </c>
      <c r="EG120" t="e">
        <f>AND(Liste!#REF!,"AAAAAD/fyog=")</f>
        <v>#REF!</v>
      </c>
      <c r="EH120" t="e">
        <f>AND(Liste!#REF!,"AAAAAD/fyok=")</f>
        <v>#REF!</v>
      </c>
      <c r="EI120" t="e">
        <f>AND(Liste!F644,"AAAAAD/fyoo=")</f>
        <v>#VALUE!</v>
      </c>
      <c r="EJ120" t="e">
        <f>AND(Liste!G644,"AAAAAD/fyos=")</f>
        <v>#VALUE!</v>
      </c>
      <c r="EK120" t="e">
        <f>AND(Liste!H644,"AAAAAD/fyow=")</f>
        <v>#VALUE!</v>
      </c>
      <c r="EL120" t="e">
        <f>AND(Liste!I644,"AAAAAD/fyo0=")</f>
        <v>#VALUE!</v>
      </c>
      <c r="EM120" t="e">
        <f>AND(Liste!J644,"AAAAAD/fyo4=")</f>
        <v>#VALUE!</v>
      </c>
      <c r="EN120" t="e">
        <f>AND(Liste!#REF!,"AAAAAD/fyo8=")</f>
        <v>#REF!</v>
      </c>
      <c r="EO120" t="e">
        <f>AND(Liste!#REF!,"AAAAAD/fypA=")</f>
        <v>#REF!</v>
      </c>
      <c r="EP120" t="e">
        <f>AND(Liste!#REF!,"AAAAAD/fypE=")</f>
        <v>#REF!</v>
      </c>
      <c r="EQ120" t="e">
        <f>AND(Liste!#REF!,"AAAAAD/fypI=")</f>
        <v>#REF!</v>
      </c>
      <c r="ER120" t="e">
        <f>AND(Liste!#REF!,"AAAAAD/fypM=")</f>
        <v>#REF!</v>
      </c>
      <c r="ES120" t="e">
        <f>AND(Liste!#REF!,"AAAAAD/fypQ=")</f>
        <v>#REF!</v>
      </c>
      <c r="ET120" t="e">
        <f>AND(Liste!#REF!,"AAAAAD/fypU=")</f>
        <v>#REF!</v>
      </c>
      <c r="EU120" t="e">
        <f>AND(Liste!#REF!,"AAAAAD/fypY=")</f>
        <v>#REF!</v>
      </c>
      <c r="EV120" t="e">
        <f>AND(Liste!#REF!,"AAAAAD/fypc=")</f>
        <v>#REF!</v>
      </c>
      <c r="EW120" t="e">
        <f>AND(Liste!#REF!,"AAAAAD/fypg=")</f>
        <v>#REF!</v>
      </c>
      <c r="EX120" t="e">
        <f>AND(Liste!#REF!,"AAAAAD/fypk=")</f>
        <v>#REF!</v>
      </c>
      <c r="EY120" t="e">
        <f>AND(Liste!#REF!,"AAAAAD/fypo=")</f>
        <v>#REF!</v>
      </c>
      <c r="EZ120" t="e">
        <f>AND(Liste!#REF!,"AAAAAD/fyps=")</f>
        <v>#REF!</v>
      </c>
      <c r="FA120" t="e">
        <f>AND(Liste!#REF!,"AAAAAD/fypw=")</f>
        <v>#REF!</v>
      </c>
      <c r="FB120" t="e">
        <f>AND(Liste!#REF!,"AAAAAD/fyp0=")</f>
        <v>#REF!</v>
      </c>
      <c r="FC120" t="e">
        <f>AND(Liste!#REF!,"AAAAAD/fyp4=")</f>
        <v>#REF!</v>
      </c>
      <c r="FD120" t="e">
        <f>AND(Liste!#REF!,"AAAAAD/fyp8=")</f>
        <v>#REF!</v>
      </c>
      <c r="FE120" t="e">
        <f>AND(Liste!#REF!,"AAAAAD/fyqA=")</f>
        <v>#REF!</v>
      </c>
      <c r="FF120" t="e">
        <f>AND(Liste!#REF!,"AAAAAD/fyqE=")</f>
        <v>#REF!</v>
      </c>
      <c r="FG120" t="e">
        <f>AND(Liste!#REF!,"AAAAAD/fyqI=")</f>
        <v>#REF!</v>
      </c>
      <c r="FH120" t="e">
        <f>AND(Liste!#REF!,"AAAAAD/fyqM=")</f>
        <v>#REF!</v>
      </c>
      <c r="FI120">
        <f>IF(Liste!645:645,"AAAAAD/fyqQ=",0)</f>
        <v>0</v>
      </c>
      <c r="FJ120" t="b">
        <f>AND(Liste!A645,"AAAAAD/fyqU=")</f>
        <v>1</v>
      </c>
      <c r="FK120" t="e">
        <f>AND(Liste!#REF!,"AAAAAD/fyqY=")</f>
        <v>#REF!</v>
      </c>
      <c r="FL120" t="e">
        <f>AND(Liste!#REF!,"AAAAAD/fyqc=")</f>
        <v>#REF!</v>
      </c>
      <c r="FM120" t="e">
        <f>AND(Liste!#REF!,"AAAAAD/fyqg=")</f>
        <v>#REF!</v>
      </c>
      <c r="FN120" t="e">
        <f>AND(Liste!F645,"AAAAAD/fyqk=")</f>
        <v>#VALUE!</v>
      </c>
      <c r="FO120" t="e">
        <f>AND(Liste!G645,"AAAAAD/fyqo=")</f>
        <v>#VALUE!</v>
      </c>
      <c r="FP120" t="e">
        <f>AND(Liste!H645,"AAAAAD/fyqs=")</f>
        <v>#VALUE!</v>
      </c>
      <c r="FQ120" t="e">
        <f>AND(Liste!I645,"AAAAAD/fyqw=")</f>
        <v>#VALUE!</v>
      </c>
      <c r="FR120" t="e">
        <f>AND(Liste!J645,"AAAAAD/fyq0=")</f>
        <v>#VALUE!</v>
      </c>
      <c r="FS120" t="e">
        <f>AND(Liste!#REF!,"AAAAAD/fyq4=")</f>
        <v>#REF!</v>
      </c>
      <c r="FT120" t="e">
        <f>AND(Liste!#REF!,"AAAAAD/fyq8=")</f>
        <v>#REF!</v>
      </c>
      <c r="FU120" t="e">
        <f>AND(Liste!#REF!,"AAAAAD/fyrA=")</f>
        <v>#REF!</v>
      </c>
      <c r="FV120" t="e">
        <f>AND(Liste!#REF!,"AAAAAD/fyrE=")</f>
        <v>#REF!</v>
      </c>
      <c r="FW120" t="e">
        <f>AND(Liste!#REF!,"AAAAAD/fyrI=")</f>
        <v>#REF!</v>
      </c>
      <c r="FX120" t="e">
        <f>AND(Liste!#REF!,"AAAAAD/fyrM=")</f>
        <v>#REF!</v>
      </c>
      <c r="FY120" t="e">
        <f>AND(Liste!#REF!,"AAAAAD/fyrQ=")</f>
        <v>#REF!</v>
      </c>
      <c r="FZ120" t="e">
        <f>AND(Liste!#REF!,"AAAAAD/fyrU=")</f>
        <v>#REF!</v>
      </c>
      <c r="GA120" t="e">
        <f>AND(Liste!#REF!,"AAAAAD/fyrY=")</f>
        <v>#REF!</v>
      </c>
      <c r="GB120" t="e">
        <f>AND(Liste!#REF!,"AAAAAD/fyrc=")</f>
        <v>#REF!</v>
      </c>
      <c r="GC120" t="e">
        <f>AND(Liste!#REF!,"AAAAAD/fyrg=")</f>
        <v>#REF!</v>
      </c>
      <c r="GD120" t="e">
        <f>AND(Liste!#REF!,"AAAAAD/fyrk=")</f>
        <v>#REF!</v>
      </c>
      <c r="GE120" t="e">
        <f>AND(Liste!#REF!,"AAAAAD/fyro=")</f>
        <v>#REF!</v>
      </c>
      <c r="GF120" t="e">
        <f>AND(Liste!#REF!,"AAAAAD/fyrs=")</f>
        <v>#REF!</v>
      </c>
      <c r="GG120" t="e">
        <f>AND(Liste!#REF!,"AAAAAD/fyrw=")</f>
        <v>#REF!</v>
      </c>
      <c r="GH120" t="e">
        <f>AND(Liste!#REF!,"AAAAAD/fyr0=")</f>
        <v>#REF!</v>
      </c>
      <c r="GI120" t="e">
        <f>AND(Liste!#REF!,"AAAAAD/fyr4=")</f>
        <v>#REF!</v>
      </c>
      <c r="GJ120" t="e">
        <f>AND(Liste!#REF!,"AAAAAD/fyr8=")</f>
        <v>#REF!</v>
      </c>
      <c r="GK120" t="e">
        <f>AND(Liste!#REF!,"AAAAAD/fysA=")</f>
        <v>#REF!</v>
      </c>
      <c r="GL120" t="e">
        <f>AND(Liste!#REF!,"AAAAAD/fysE=")</f>
        <v>#REF!</v>
      </c>
      <c r="GM120" t="e">
        <f>AND(Liste!#REF!,"AAAAAD/fysI=")</f>
        <v>#REF!</v>
      </c>
      <c r="GN120">
        <f>IF(Liste!646:646,"AAAAAD/fysM=",0)</f>
        <v>0</v>
      </c>
      <c r="GO120" t="b">
        <f>AND(Liste!A646,"AAAAAD/fysQ=")</f>
        <v>1</v>
      </c>
      <c r="GP120" t="e">
        <f>AND(Liste!#REF!,"AAAAAD/fysU=")</f>
        <v>#REF!</v>
      </c>
      <c r="GQ120" t="e">
        <f>AND(Liste!#REF!,"AAAAAD/fysY=")</f>
        <v>#REF!</v>
      </c>
      <c r="GR120" t="e">
        <f>AND(Liste!#REF!,"AAAAAD/fysc=")</f>
        <v>#REF!</v>
      </c>
      <c r="GS120" t="e">
        <f>AND(Liste!F646,"AAAAAD/fysg=")</f>
        <v>#VALUE!</v>
      </c>
      <c r="GT120" t="e">
        <f>AND(Liste!G646,"AAAAAD/fysk=")</f>
        <v>#VALUE!</v>
      </c>
      <c r="GU120" t="e">
        <f>AND(Liste!H646,"AAAAAD/fyso=")</f>
        <v>#VALUE!</v>
      </c>
      <c r="GV120" t="e">
        <f>AND(Liste!I646,"AAAAAD/fyss=")</f>
        <v>#VALUE!</v>
      </c>
      <c r="GW120" t="e">
        <f>AND(Liste!J646,"AAAAAD/fysw=")</f>
        <v>#VALUE!</v>
      </c>
      <c r="GX120" t="e">
        <f>AND(Liste!#REF!,"AAAAAD/fys0=")</f>
        <v>#REF!</v>
      </c>
      <c r="GY120" t="e">
        <f>AND(Liste!#REF!,"AAAAAD/fys4=")</f>
        <v>#REF!</v>
      </c>
      <c r="GZ120" t="e">
        <f>AND(Liste!#REF!,"AAAAAD/fys8=")</f>
        <v>#REF!</v>
      </c>
      <c r="HA120" t="e">
        <f>AND(Liste!#REF!,"AAAAAD/fytA=")</f>
        <v>#REF!</v>
      </c>
      <c r="HB120" t="e">
        <f>AND(Liste!#REF!,"AAAAAD/fytE=")</f>
        <v>#REF!</v>
      </c>
      <c r="HC120" t="e">
        <f>AND(Liste!#REF!,"AAAAAD/fytI=")</f>
        <v>#REF!</v>
      </c>
      <c r="HD120" t="e">
        <f>AND(Liste!#REF!,"AAAAAD/fytM=")</f>
        <v>#REF!</v>
      </c>
      <c r="HE120" t="e">
        <f>AND(Liste!#REF!,"AAAAAD/fytQ=")</f>
        <v>#REF!</v>
      </c>
      <c r="HF120" t="e">
        <f>AND(Liste!#REF!,"AAAAAD/fytU=")</f>
        <v>#REF!</v>
      </c>
      <c r="HG120" t="e">
        <f>AND(Liste!#REF!,"AAAAAD/fytY=")</f>
        <v>#REF!</v>
      </c>
      <c r="HH120" t="e">
        <f>AND(Liste!#REF!,"AAAAAD/fytc=")</f>
        <v>#REF!</v>
      </c>
      <c r="HI120" t="e">
        <f>AND(Liste!#REF!,"AAAAAD/fytg=")</f>
        <v>#REF!</v>
      </c>
      <c r="HJ120" t="e">
        <f>AND(Liste!#REF!,"AAAAAD/fytk=")</f>
        <v>#REF!</v>
      </c>
      <c r="HK120" t="e">
        <f>AND(Liste!#REF!,"AAAAAD/fyto=")</f>
        <v>#REF!</v>
      </c>
      <c r="HL120" t="e">
        <f>AND(Liste!#REF!,"AAAAAD/fyts=")</f>
        <v>#REF!</v>
      </c>
      <c r="HM120" t="e">
        <f>AND(Liste!#REF!,"AAAAAD/fytw=")</f>
        <v>#REF!</v>
      </c>
      <c r="HN120" t="e">
        <f>AND(Liste!#REF!,"AAAAAD/fyt0=")</f>
        <v>#REF!</v>
      </c>
      <c r="HO120" t="e">
        <f>AND(Liste!#REF!,"AAAAAD/fyt4=")</f>
        <v>#REF!</v>
      </c>
      <c r="HP120" t="e">
        <f>AND(Liste!#REF!,"AAAAAD/fyt8=")</f>
        <v>#REF!</v>
      </c>
      <c r="HQ120" t="e">
        <f>AND(Liste!#REF!,"AAAAAD/fyuA=")</f>
        <v>#REF!</v>
      </c>
      <c r="HR120" t="e">
        <f>AND(Liste!#REF!,"AAAAAD/fyuE=")</f>
        <v>#REF!</v>
      </c>
      <c r="HS120">
        <f>IF(Liste!647:647,"AAAAAD/fyuI=",0)</f>
        <v>0</v>
      </c>
      <c r="HT120" t="b">
        <f>AND(Liste!A647,"AAAAAD/fyuM=")</f>
        <v>1</v>
      </c>
      <c r="HU120" t="e">
        <f>AND(Liste!#REF!,"AAAAAD/fyuQ=")</f>
        <v>#REF!</v>
      </c>
      <c r="HV120" t="e">
        <f>AND(Liste!#REF!,"AAAAAD/fyuU=")</f>
        <v>#REF!</v>
      </c>
      <c r="HW120" t="e">
        <f>AND(Liste!#REF!,"AAAAAD/fyuY=")</f>
        <v>#REF!</v>
      </c>
      <c r="HX120" t="e">
        <f>AND(Liste!F647,"AAAAAD/fyuc=")</f>
        <v>#VALUE!</v>
      </c>
      <c r="HY120" t="e">
        <f>AND(Liste!G647,"AAAAAD/fyug=")</f>
        <v>#VALUE!</v>
      </c>
      <c r="HZ120" t="e">
        <f>AND(Liste!H647,"AAAAAD/fyuk=")</f>
        <v>#VALUE!</v>
      </c>
      <c r="IA120" t="e">
        <f>AND(Liste!I647,"AAAAAD/fyuo=")</f>
        <v>#VALUE!</v>
      </c>
      <c r="IB120" t="e">
        <f>AND(Liste!J647,"AAAAAD/fyus=")</f>
        <v>#VALUE!</v>
      </c>
      <c r="IC120" t="e">
        <f>AND(Liste!#REF!,"AAAAAD/fyuw=")</f>
        <v>#REF!</v>
      </c>
      <c r="ID120" t="e">
        <f>AND(Liste!#REF!,"AAAAAD/fyu0=")</f>
        <v>#REF!</v>
      </c>
      <c r="IE120" t="e">
        <f>AND(Liste!#REF!,"AAAAAD/fyu4=")</f>
        <v>#REF!</v>
      </c>
      <c r="IF120" t="e">
        <f>AND(Liste!#REF!,"AAAAAD/fyu8=")</f>
        <v>#REF!</v>
      </c>
      <c r="IG120" t="e">
        <f>AND(Liste!#REF!,"AAAAAD/fyvA=")</f>
        <v>#REF!</v>
      </c>
      <c r="IH120" t="e">
        <f>AND(Liste!#REF!,"AAAAAD/fyvE=")</f>
        <v>#REF!</v>
      </c>
      <c r="II120" t="e">
        <f>AND(Liste!#REF!,"AAAAAD/fyvI=")</f>
        <v>#REF!</v>
      </c>
      <c r="IJ120" t="e">
        <f>AND(Liste!#REF!,"AAAAAD/fyvM=")</f>
        <v>#REF!</v>
      </c>
      <c r="IK120" t="e">
        <f>AND(Liste!#REF!,"AAAAAD/fyvQ=")</f>
        <v>#REF!</v>
      </c>
      <c r="IL120" t="e">
        <f>AND(Liste!#REF!,"AAAAAD/fyvU=")</f>
        <v>#REF!</v>
      </c>
      <c r="IM120" t="e">
        <f>AND(Liste!#REF!,"AAAAAD/fyvY=")</f>
        <v>#REF!</v>
      </c>
      <c r="IN120" t="e">
        <f>AND(Liste!#REF!,"AAAAAD/fyvc=")</f>
        <v>#REF!</v>
      </c>
      <c r="IO120" t="e">
        <f>AND(Liste!#REF!,"AAAAAD/fyvg=")</f>
        <v>#REF!</v>
      </c>
      <c r="IP120" t="e">
        <f>AND(Liste!#REF!,"AAAAAD/fyvk=")</f>
        <v>#REF!</v>
      </c>
      <c r="IQ120" t="e">
        <f>AND(Liste!#REF!,"AAAAAD/fyvo=")</f>
        <v>#REF!</v>
      </c>
      <c r="IR120" t="e">
        <f>AND(Liste!#REF!,"AAAAAD/fyvs=")</f>
        <v>#REF!</v>
      </c>
      <c r="IS120" t="e">
        <f>AND(Liste!#REF!,"AAAAAD/fyvw=")</f>
        <v>#REF!</v>
      </c>
      <c r="IT120" t="e">
        <f>AND(Liste!#REF!,"AAAAAD/fyv0=")</f>
        <v>#REF!</v>
      </c>
      <c r="IU120" t="e">
        <f>AND(Liste!#REF!,"AAAAAD/fyv4=")</f>
        <v>#REF!</v>
      </c>
      <c r="IV120" t="e">
        <f>AND(Liste!#REF!,"AAAAAD/fyv8=")</f>
        <v>#REF!</v>
      </c>
    </row>
    <row r="121" spans="1:256" x14ac:dyDescent="0.2">
      <c r="A121" t="e">
        <f>AND(Liste!#REF!,"AAAAAFn36QA=")</f>
        <v>#REF!</v>
      </c>
      <c r="B121">
        <f>IF(Liste!648:648,"AAAAAFn36QE=",0)</f>
        <v>0</v>
      </c>
      <c r="C121" t="b">
        <f>AND(Liste!A648,"AAAAAFn36QI=")</f>
        <v>1</v>
      </c>
      <c r="D121" t="e">
        <f>AND(Liste!#REF!,"AAAAAFn36QM=")</f>
        <v>#REF!</v>
      </c>
      <c r="E121" t="e">
        <f>AND(Liste!#REF!,"AAAAAFn36QQ=")</f>
        <v>#REF!</v>
      </c>
      <c r="F121" t="e">
        <f>AND(Liste!#REF!,"AAAAAFn36QU=")</f>
        <v>#REF!</v>
      </c>
      <c r="G121" t="e">
        <f>AND(Liste!F648,"AAAAAFn36QY=")</f>
        <v>#VALUE!</v>
      </c>
      <c r="H121" t="e">
        <f>AND(Liste!G648,"AAAAAFn36Qc=")</f>
        <v>#VALUE!</v>
      </c>
      <c r="I121" t="e">
        <f>AND(Liste!H648,"AAAAAFn36Qg=")</f>
        <v>#VALUE!</v>
      </c>
      <c r="J121" t="e">
        <f>AND(Liste!I648,"AAAAAFn36Qk=")</f>
        <v>#VALUE!</v>
      </c>
      <c r="K121" t="e">
        <f>AND(Liste!J648,"AAAAAFn36Qo=")</f>
        <v>#VALUE!</v>
      </c>
      <c r="L121" t="e">
        <f>AND(Liste!#REF!,"AAAAAFn36Qs=")</f>
        <v>#REF!</v>
      </c>
      <c r="M121" t="e">
        <f>AND(Liste!#REF!,"AAAAAFn36Qw=")</f>
        <v>#REF!</v>
      </c>
      <c r="N121" t="e">
        <f>AND(Liste!#REF!,"AAAAAFn36Q0=")</f>
        <v>#REF!</v>
      </c>
      <c r="O121" t="e">
        <f>AND(Liste!#REF!,"AAAAAFn36Q4=")</f>
        <v>#REF!</v>
      </c>
      <c r="P121" t="e">
        <f>AND(Liste!#REF!,"AAAAAFn36Q8=")</f>
        <v>#REF!</v>
      </c>
      <c r="Q121" t="e">
        <f>AND(Liste!#REF!,"AAAAAFn36RA=")</f>
        <v>#REF!</v>
      </c>
      <c r="R121" t="e">
        <f>AND(Liste!#REF!,"AAAAAFn36RE=")</f>
        <v>#REF!</v>
      </c>
      <c r="S121" t="e">
        <f>AND(Liste!#REF!,"AAAAAFn36RI=")</f>
        <v>#REF!</v>
      </c>
      <c r="T121" t="e">
        <f>AND(Liste!#REF!,"AAAAAFn36RM=")</f>
        <v>#REF!</v>
      </c>
      <c r="U121" t="e">
        <f>AND(Liste!#REF!,"AAAAAFn36RQ=")</f>
        <v>#REF!</v>
      </c>
      <c r="V121" t="e">
        <f>AND(Liste!#REF!,"AAAAAFn36RU=")</f>
        <v>#REF!</v>
      </c>
      <c r="W121" t="e">
        <f>AND(Liste!#REF!,"AAAAAFn36RY=")</f>
        <v>#REF!</v>
      </c>
      <c r="X121" t="e">
        <f>AND(Liste!#REF!,"AAAAAFn36Rc=")</f>
        <v>#REF!</v>
      </c>
      <c r="Y121" t="e">
        <f>AND(Liste!#REF!,"AAAAAFn36Rg=")</f>
        <v>#REF!</v>
      </c>
      <c r="Z121" t="e">
        <f>AND(Liste!#REF!,"AAAAAFn36Rk=")</f>
        <v>#REF!</v>
      </c>
      <c r="AA121" t="e">
        <f>AND(Liste!#REF!,"AAAAAFn36Ro=")</f>
        <v>#REF!</v>
      </c>
      <c r="AB121" t="e">
        <f>AND(Liste!#REF!,"AAAAAFn36Rs=")</f>
        <v>#REF!</v>
      </c>
      <c r="AC121" t="e">
        <f>AND(Liste!#REF!,"AAAAAFn36Rw=")</f>
        <v>#REF!</v>
      </c>
      <c r="AD121" t="e">
        <f>AND(Liste!#REF!,"AAAAAFn36R0=")</f>
        <v>#REF!</v>
      </c>
      <c r="AE121" t="e">
        <f>AND(Liste!#REF!,"AAAAAFn36R4=")</f>
        <v>#REF!</v>
      </c>
      <c r="AF121" t="e">
        <f>AND(Liste!#REF!,"AAAAAFn36R8=")</f>
        <v>#REF!</v>
      </c>
      <c r="AG121">
        <f>IF(Liste!649:649,"AAAAAFn36SA=",0)</f>
        <v>0</v>
      </c>
      <c r="AH121" t="b">
        <f>AND(Liste!A649,"AAAAAFn36SE=")</f>
        <v>1</v>
      </c>
      <c r="AI121" t="e">
        <f>AND(Liste!#REF!,"AAAAAFn36SI=")</f>
        <v>#REF!</v>
      </c>
      <c r="AJ121" t="e">
        <f>AND(Liste!#REF!,"AAAAAFn36SM=")</f>
        <v>#REF!</v>
      </c>
      <c r="AK121" t="e">
        <f>AND(Liste!#REF!,"AAAAAFn36SQ=")</f>
        <v>#REF!</v>
      </c>
      <c r="AL121" t="e">
        <f>AND(Liste!F649,"AAAAAFn36SU=")</f>
        <v>#VALUE!</v>
      </c>
      <c r="AM121" t="e">
        <f>AND(Liste!G649,"AAAAAFn36SY=")</f>
        <v>#VALUE!</v>
      </c>
      <c r="AN121" t="e">
        <f>AND(Liste!H649,"AAAAAFn36Sc=")</f>
        <v>#VALUE!</v>
      </c>
      <c r="AO121" t="e">
        <f>AND(Liste!I649,"AAAAAFn36Sg=")</f>
        <v>#VALUE!</v>
      </c>
      <c r="AP121" t="e">
        <f>AND(Liste!J649,"AAAAAFn36Sk=")</f>
        <v>#VALUE!</v>
      </c>
      <c r="AQ121" t="e">
        <f>AND(Liste!#REF!,"AAAAAFn36So=")</f>
        <v>#REF!</v>
      </c>
      <c r="AR121" t="e">
        <f>AND(Liste!#REF!,"AAAAAFn36Ss=")</f>
        <v>#REF!</v>
      </c>
      <c r="AS121" t="e">
        <f>AND(Liste!#REF!,"AAAAAFn36Sw=")</f>
        <v>#REF!</v>
      </c>
      <c r="AT121" t="e">
        <f>AND(Liste!#REF!,"AAAAAFn36S0=")</f>
        <v>#REF!</v>
      </c>
      <c r="AU121" t="e">
        <f>AND(Liste!#REF!,"AAAAAFn36S4=")</f>
        <v>#REF!</v>
      </c>
      <c r="AV121" t="e">
        <f>AND(Liste!#REF!,"AAAAAFn36S8=")</f>
        <v>#REF!</v>
      </c>
      <c r="AW121" t="e">
        <f>AND(Liste!#REF!,"AAAAAFn36TA=")</f>
        <v>#REF!</v>
      </c>
      <c r="AX121" t="e">
        <f>AND(Liste!#REF!,"AAAAAFn36TE=")</f>
        <v>#REF!</v>
      </c>
      <c r="AY121" t="e">
        <f>AND(Liste!#REF!,"AAAAAFn36TI=")</f>
        <v>#REF!</v>
      </c>
      <c r="AZ121" t="e">
        <f>AND(Liste!#REF!,"AAAAAFn36TM=")</f>
        <v>#REF!</v>
      </c>
      <c r="BA121" t="e">
        <f>AND(Liste!#REF!,"AAAAAFn36TQ=")</f>
        <v>#REF!</v>
      </c>
      <c r="BB121" t="e">
        <f>AND(Liste!#REF!,"AAAAAFn36TU=")</f>
        <v>#REF!</v>
      </c>
      <c r="BC121" t="e">
        <f>AND(Liste!#REF!,"AAAAAFn36TY=")</f>
        <v>#REF!</v>
      </c>
      <c r="BD121" t="e">
        <f>AND(Liste!#REF!,"AAAAAFn36Tc=")</f>
        <v>#REF!</v>
      </c>
      <c r="BE121" t="e">
        <f>AND(Liste!#REF!,"AAAAAFn36Tg=")</f>
        <v>#REF!</v>
      </c>
      <c r="BF121" t="e">
        <f>AND(Liste!#REF!,"AAAAAFn36Tk=")</f>
        <v>#REF!</v>
      </c>
      <c r="BG121" t="e">
        <f>AND(Liste!#REF!,"AAAAAFn36To=")</f>
        <v>#REF!</v>
      </c>
      <c r="BH121" t="e">
        <f>AND(Liste!#REF!,"AAAAAFn36Ts=")</f>
        <v>#REF!</v>
      </c>
      <c r="BI121" t="e">
        <f>AND(Liste!#REF!,"AAAAAFn36Tw=")</f>
        <v>#REF!</v>
      </c>
      <c r="BJ121" t="e">
        <f>AND(Liste!#REF!,"AAAAAFn36T0=")</f>
        <v>#REF!</v>
      </c>
      <c r="BK121" t="e">
        <f>AND(Liste!#REF!,"AAAAAFn36T4=")</f>
        <v>#REF!</v>
      </c>
      <c r="BL121">
        <f>IF(Liste!650:650,"AAAAAFn36T8=",0)</f>
        <v>0</v>
      </c>
      <c r="BM121" t="b">
        <f>AND(Liste!A650,"AAAAAFn36UA=")</f>
        <v>1</v>
      </c>
      <c r="BN121" t="e">
        <f>AND(Liste!#REF!,"AAAAAFn36UE=")</f>
        <v>#REF!</v>
      </c>
      <c r="BO121" t="e">
        <f>AND(Liste!#REF!,"AAAAAFn36UI=")</f>
        <v>#REF!</v>
      </c>
      <c r="BP121" t="e">
        <f>AND(Liste!#REF!,"AAAAAFn36UM=")</f>
        <v>#REF!</v>
      </c>
      <c r="BQ121" t="e">
        <f>AND(Liste!F650,"AAAAAFn36UQ=")</f>
        <v>#VALUE!</v>
      </c>
      <c r="BR121" t="e">
        <f>AND(Liste!G650,"AAAAAFn36UU=")</f>
        <v>#VALUE!</v>
      </c>
      <c r="BS121" t="e">
        <f>AND(Liste!H650,"AAAAAFn36UY=")</f>
        <v>#VALUE!</v>
      </c>
      <c r="BT121" t="e">
        <f>AND(Liste!I650,"AAAAAFn36Uc=")</f>
        <v>#VALUE!</v>
      </c>
      <c r="BU121" t="e">
        <f>AND(Liste!J650,"AAAAAFn36Ug=")</f>
        <v>#VALUE!</v>
      </c>
      <c r="BV121" t="e">
        <f>AND(Liste!#REF!,"AAAAAFn36Uk=")</f>
        <v>#REF!</v>
      </c>
      <c r="BW121" t="e">
        <f>AND(Liste!#REF!,"AAAAAFn36Uo=")</f>
        <v>#REF!</v>
      </c>
      <c r="BX121" t="e">
        <f>AND(Liste!#REF!,"AAAAAFn36Us=")</f>
        <v>#REF!</v>
      </c>
      <c r="BY121" t="e">
        <f>AND(Liste!#REF!,"AAAAAFn36Uw=")</f>
        <v>#REF!</v>
      </c>
      <c r="BZ121" t="e">
        <f>AND(Liste!#REF!,"AAAAAFn36U0=")</f>
        <v>#REF!</v>
      </c>
      <c r="CA121" t="e">
        <f>AND(Liste!#REF!,"AAAAAFn36U4=")</f>
        <v>#REF!</v>
      </c>
      <c r="CB121" t="e">
        <f>AND(Liste!#REF!,"AAAAAFn36U8=")</f>
        <v>#REF!</v>
      </c>
      <c r="CC121" t="e">
        <f>AND(Liste!#REF!,"AAAAAFn36VA=")</f>
        <v>#REF!</v>
      </c>
      <c r="CD121" t="e">
        <f>AND(Liste!#REF!,"AAAAAFn36VE=")</f>
        <v>#REF!</v>
      </c>
      <c r="CE121" t="e">
        <f>AND(Liste!#REF!,"AAAAAFn36VI=")</f>
        <v>#REF!</v>
      </c>
      <c r="CF121" t="e">
        <f>AND(Liste!#REF!,"AAAAAFn36VM=")</f>
        <v>#REF!</v>
      </c>
      <c r="CG121" t="e">
        <f>AND(Liste!#REF!,"AAAAAFn36VQ=")</f>
        <v>#REF!</v>
      </c>
      <c r="CH121" t="e">
        <f>AND(Liste!#REF!,"AAAAAFn36VU=")</f>
        <v>#REF!</v>
      </c>
      <c r="CI121" t="e">
        <f>AND(Liste!#REF!,"AAAAAFn36VY=")</f>
        <v>#REF!</v>
      </c>
      <c r="CJ121" t="e">
        <f>AND(Liste!#REF!,"AAAAAFn36Vc=")</f>
        <v>#REF!</v>
      </c>
      <c r="CK121" t="e">
        <f>AND(Liste!#REF!,"AAAAAFn36Vg=")</f>
        <v>#REF!</v>
      </c>
      <c r="CL121" t="e">
        <f>AND(Liste!#REF!,"AAAAAFn36Vk=")</f>
        <v>#REF!</v>
      </c>
      <c r="CM121" t="e">
        <f>AND(Liste!#REF!,"AAAAAFn36Vo=")</f>
        <v>#REF!</v>
      </c>
      <c r="CN121" t="e">
        <f>AND(Liste!#REF!,"AAAAAFn36Vs=")</f>
        <v>#REF!</v>
      </c>
      <c r="CO121" t="e">
        <f>AND(Liste!#REF!,"AAAAAFn36Vw=")</f>
        <v>#REF!</v>
      </c>
      <c r="CP121" t="e">
        <f>AND(Liste!#REF!,"AAAAAFn36V0=")</f>
        <v>#REF!</v>
      </c>
      <c r="CQ121">
        <f>IF(Liste!651:651,"AAAAAFn36V4=",0)</f>
        <v>0</v>
      </c>
      <c r="CR121" t="b">
        <f>AND(Liste!A651,"AAAAAFn36V8=")</f>
        <v>1</v>
      </c>
      <c r="CS121" t="e">
        <f>AND(Liste!#REF!,"AAAAAFn36WA=")</f>
        <v>#REF!</v>
      </c>
      <c r="CT121" t="e">
        <f>AND(Liste!#REF!,"AAAAAFn36WE=")</f>
        <v>#REF!</v>
      </c>
      <c r="CU121" t="e">
        <f>AND(Liste!#REF!,"AAAAAFn36WI=")</f>
        <v>#REF!</v>
      </c>
      <c r="CV121" t="e">
        <f>AND(Liste!F651,"AAAAAFn36WM=")</f>
        <v>#VALUE!</v>
      </c>
      <c r="CW121" t="e">
        <f>AND(Liste!G651,"AAAAAFn36WQ=")</f>
        <v>#VALUE!</v>
      </c>
      <c r="CX121" t="e">
        <f>AND(Liste!H651,"AAAAAFn36WU=")</f>
        <v>#VALUE!</v>
      </c>
      <c r="CY121" t="e">
        <f>AND(Liste!I651,"AAAAAFn36WY=")</f>
        <v>#VALUE!</v>
      </c>
      <c r="CZ121" t="e">
        <f>AND(Liste!J651,"AAAAAFn36Wc=")</f>
        <v>#VALUE!</v>
      </c>
      <c r="DA121" t="e">
        <f>AND(Liste!#REF!,"AAAAAFn36Wg=")</f>
        <v>#REF!</v>
      </c>
      <c r="DB121" t="e">
        <f>AND(Liste!#REF!,"AAAAAFn36Wk=")</f>
        <v>#REF!</v>
      </c>
      <c r="DC121" t="e">
        <f>AND(Liste!#REF!,"AAAAAFn36Wo=")</f>
        <v>#REF!</v>
      </c>
      <c r="DD121" t="e">
        <f>AND(Liste!#REF!,"AAAAAFn36Ws=")</f>
        <v>#REF!</v>
      </c>
      <c r="DE121" t="e">
        <f>AND(Liste!#REF!,"AAAAAFn36Ww=")</f>
        <v>#REF!</v>
      </c>
      <c r="DF121" t="e">
        <f>AND(Liste!#REF!,"AAAAAFn36W0=")</f>
        <v>#REF!</v>
      </c>
      <c r="DG121" t="e">
        <f>AND(Liste!#REF!,"AAAAAFn36W4=")</f>
        <v>#REF!</v>
      </c>
      <c r="DH121" t="e">
        <f>AND(Liste!#REF!,"AAAAAFn36W8=")</f>
        <v>#REF!</v>
      </c>
      <c r="DI121" t="e">
        <f>AND(Liste!#REF!,"AAAAAFn36XA=")</f>
        <v>#REF!</v>
      </c>
      <c r="DJ121" t="e">
        <f>AND(Liste!#REF!,"AAAAAFn36XE=")</f>
        <v>#REF!</v>
      </c>
      <c r="DK121" t="e">
        <f>AND(Liste!#REF!,"AAAAAFn36XI=")</f>
        <v>#REF!</v>
      </c>
      <c r="DL121" t="e">
        <f>AND(Liste!#REF!,"AAAAAFn36XM=")</f>
        <v>#REF!</v>
      </c>
      <c r="DM121" t="e">
        <f>AND(Liste!#REF!,"AAAAAFn36XQ=")</f>
        <v>#REF!</v>
      </c>
      <c r="DN121" t="e">
        <f>AND(Liste!#REF!,"AAAAAFn36XU=")</f>
        <v>#REF!</v>
      </c>
      <c r="DO121" t="e">
        <f>AND(Liste!#REF!,"AAAAAFn36XY=")</f>
        <v>#REF!</v>
      </c>
      <c r="DP121" t="e">
        <f>AND(Liste!#REF!,"AAAAAFn36Xc=")</f>
        <v>#REF!</v>
      </c>
      <c r="DQ121" t="e">
        <f>AND(Liste!#REF!,"AAAAAFn36Xg=")</f>
        <v>#REF!</v>
      </c>
      <c r="DR121" t="e">
        <f>AND(Liste!#REF!,"AAAAAFn36Xk=")</f>
        <v>#REF!</v>
      </c>
      <c r="DS121" t="e">
        <f>AND(Liste!#REF!,"AAAAAFn36Xo=")</f>
        <v>#REF!</v>
      </c>
      <c r="DT121" t="e">
        <f>AND(Liste!#REF!,"AAAAAFn36Xs=")</f>
        <v>#REF!</v>
      </c>
      <c r="DU121" t="e">
        <f>AND(Liste!#REF!,"AAAAAFn36Xw=")</f>
        <v>#REF!</v>
      </c>
      <c r="DV121">
        <f>IF(Liste!652:652,"AAAAAFn36X0=",0)</f>
        <v>0</v>
      </c>
      <c r="DW121" t="b">
        <f>AND(Liste!A652,"AAAAAFn36X4=")</f>
        <v>1</v>
      </c>
      <c r="DX121" t="e">
        <f>AND(Liste!#REF!,"AAAAAFn36X8=")</f>
        <v>#REF!</v>
      </c>
      <c r="DY121" t="e">
        <f>AND(Liste!#REF!,"AAAAAFn36YA=")</f>
        <v>#REF!</v>
      </c>
      <c r="DZ121" t="e">
        <f>AND(Liste!#REF!,"AAAAAFn36YE=")</f>
        <v>#REF!</v>
      </c>
      <c r="EA121" t="e">
        <f>AND(Liste!F652,"AAAAAFn36YI=")</f>
        <v>#VALUE!</v>
      </c>
      <c r="EB121" t="e">
        <f>AND(Liste!G652,"AAAAAFn36YM=")</f>
        <v>#VALUE!</v>
      </c>
      <c r="EC121" t="e">
        <f>AND(Liste!H652,"AAAAAFn36YQ=")</f>
        <v>#VALUE!</v>
      </c>
      <c r="ED121" t="e">
        <f>AND(Liste!I652,"AAAAAFn36YU=")</f>
        <v>#VALUE!</v>
      </c>
      <c r="EE121" t="e">
        <f>AND(Liste!J652,"AAAAAFn36YY=")</f>
        <v>#VALUE!</v>
      </c>
      <c r="EF121" t="e">
        <f>AND(Liste!#REF!,"AAAAAFn36Yc=")</f>
        <v>#REF!</v>
      </c>
      <c r="EG121" t="e">
        <f>AND(Liste!#REF!,"AAAAAFn36Yg=")</f>
        <v>#REF!</v>
      </c>
      <c r="EH121" t="e">
        <f>AND(Liste!#REF!,"AAAAAFn36Yk=")</f>
        <v>#REF!</v>
      </c>
      <c r="EI121" t="e">
        <f>AND(Liste!#REF!,"AAAAAFn36Yo=")</f>
        <v>#REF!</v>
      </c>
      <c r="EJ121" t="e">
        <f>AND(Liste!#REF!,"AAAAAFn36Ys=")</f>
        <v>#REF!</v>
      </c>
      <c r="EK121" t="e">
        <f>AND(Liste!#REF!,"AAAAAFn36Yw=")</f>
        <v>#REF!</v>
      </c>
      <c r="EL121" t="e">
        <f>AND(Liste!#REF!,"AAAAAFn36Y0=")</f>
        <v>#REF!</v>
      </c>
      <c r="EM121" t="e">
        <f>AND(Liste!#REF!,"AAAAAFn36Y4=")</f>
        <v>#REF!</v>
      </c>
      <c r="EN121" t="e">
        <f>AND(Liste!#REF!,"AAAAAFn36Y8=")</f>
        <v>#REF!</v>
      </c>
      <c r="EO121" t="e">
        <f>AND(Liste!#REF!,"AAAAAFn36ZA=")</f>
        <v>#REF!</v>
      </c>
      <c r="EP121" t="e">
        <f>AND(Liste!#REF!,"AAAAAFn36ZE=")</f>
        <v>#REF!</v>
      </c>
      <c r="EQ121" t="e">
        <f>AND(Liste!#REF!,"AAAAAFn36ZI=")</f>
        <v>#REF!</v>
      </c>
      <c r="ER121" t="e">
        <f>AND(Liste!#REF!,"AAAAAFn36ZM=")</f>
        <v>#REF!</v>
      </c>
      <c r="ES121" t="e">
        <f>AND(Liste!#REF!,"AAAAAFn36ZQ=")</f>
        <v>#REF!</v>
      </c>
      <c r="ET121" t="e">
        <f>AND(Liste!#REF!,"AAAAAFn36ZU=")</f>
        <v>#REF!</v>
      </c>
      <c r="EU121" t="e">
        <f>AND(Liste!#REF!,"AAAAAFn36ZY=")</f>
        <v>#REF!</v>
      </c>
      <c r="EV121" t="e">
        <f>AND(Liste!#REF!,"AAAAAFn36Zc=")</f>
        <v>#REF!</v>
      </c>
      <c r="EW121" t="e">
        <f>AND(Liste!#REF!,"AAAAAFn36Zg=")</f>
        <v>#REF!</v>
      </c>
      <c r="EX121" t="e">
        <f>AND(Liste!#REF!,"AAAAAFn36Zk=")</f>
        <v>#REF!</v>
      </c>
      <c r="EY121" t="e">
        <f>AND(Liste!#REF!,"AAAAAFn36Zo=")</f>
        <v>#REF!</v>
      </c>
      <c r="EZ121" t="e">
        <f>AND(Liste!#REF!,"AAAAAFn36Zs=")</f>
        <v>#REF!</v>
      </c>
      <c r="FA121">
        <f>IF(Liste!653:653,"AAAAAFn36Zw=",0)</f>
        <v>0</v>
      </c>
      <c r="FB121" t="b">
        <f>AND(Liste!A653,"AAAAAFn36Z0=")</f>
        <v>1</v>
      </c>
      <c r="FC121" t="e">
        <f>AND(Liste!#REF!,"AAAAAFn36Z4=")</f>
        <v>#REF!</v>
      </c>
      <c r="FD121" t="e">
        <f>AND(Liste!#REF!,"AAAAAFn36Z8=")</f>
        <v>#REF!</v>
      </c>
      <c r="FE121" t="e">
        <f>AND(Liste!#REF!,"AAAAAFn36aA=")</f>
        <v>#REF!</v>
      </c>
      <c r="FF121" t="e">
        <f>AND(Liste!F653,"AAAAAFn36aE=")</f>
        <v>#VALUE!</v>
      </c>
      <c r="FG121" t="e">
        <f>AND(Liste!G653,"AAAAAFn36aI=")</f>
        <v>#VALUE!</v>
      </c>
      <c r="FH121" t="e">
        <f>AND(Liste!H653,"AAAAAFn36aM=")</f>
        <v>#VALUE!</v>
      </c>
      <c r="FI121" t="e">
        <f>AND(Liste!I653,"AAAAAFn36aQ=")</f>
        <v>#VALUE!</v>
      </c>
      <c r="FJ121" t="e">
        <f>AND(Liste!J653,"AAAAAFn36aU=")</f>
        <v>#VALUE!</v>
      </c>
      <c r="FK121" t="e">
        <f>AND(Liste!#REF!,"AAAAAFn36aY=")</f>
        <v>#REF!</v>
      </c>
      <c r="FL121" t="e">
        <f>AND(Liste!#REF!,"AAAAAFn36ac=")</f>
        <v>#REF!</v>
      </c>
      <c r="FM121" t="e">
        <f>AND(Liste!#REF!,"AAAAAFn36ag=")</f>
        <v>#REF!</v>
      </c>
      <c r="FN121" t="e">
        <f>AND(Liste!#REF!,"AAAAAFn36ak=")</f>
        <v>#REF!</v>
      </c>
      <c r="FO121" t="e">
        <f>AND(Liste!#REF!,"AAAAAFn36ao=")</f>
        <v>#REF!</v>
      </c>
      <c r="FP121" t="e">
        <f>AND(Liste!#REF!,"AAAAAFn36as=")</f>
        <v>#REF!</v>
      </c>
      <c r="FQ121" t="e">
        <f>AND(Liste!#REF!,"AAAAAFn36aw=")</f>
        <v>#REF!</v>
      </c>
      <c r="FR121" t="e">
        <f>AND(Liste!#REF!,"AAAAAFn36a0=")</f>
        <v>#REF!</v>
      </c>
      <c r="FS121" t="e">
        <f>AND(Liste!#REF!,"AAAAAFn36a4=")</f>
        <v>#REF!</v>
      </c>
      <c r="FT121" t="e">
        <f>AND(Liste!#REF!,"AAAAAFn36a8=")</f>
        <v>#REF!</v>
      </c>
      <c r="FU121" t="e">
        <f>AND(Liste!#REF!,"AAAAAFn36bA=")</f>
        <v>#REF!</v>
      </c>
      <c r="FV121" t="e">
        <f>AND(Liste!#REF!,"AAAAAFn36bE=")</f>
        <v>#REF!</v>
      </c>
      <c r="FW121" t="e">
        <f>AND(Liste!#REF!,"AAAAAFn36bI=")</f>
        <v>#REF!</v>
      </c>
      <c r="FX121" t="e">
        <f>AND(Liste!#REF!,"AAAAAFn36bM=")</f>
        <v>#REF!</v>
      </c>
      <c r="FY121" t="e">
        <f>AND(Liste!#REF!,"AAAAAFn36bQ=")</f>
        <v>#REF!</v>
      </c>
      <c r="FZ121" t="e">
        <f>AND(Liste!#REF!,"AAAAAFn36bU=")</f>
        <v>#REF!</v>
      </c>
      <c r="GA121" t="e">
        <f>AND(Liste!#REF!,"AAAAAFn36bY=")</f>
        <v>#REF!</v>
      </c>
      <c r="GB121" t="e">
        <f>AND(Liste!#REF!,"AAAAAFn36bc=")</f>
        <v>#REF!</v>
      </c>
      <c r="GC121" t="e">
        <f>AND(Liste!#REF!,"AAAAAFn36bg=")</f>
        <v>#REF!</v>
      </c>
      <c r="GD121" t="e">
        <f>AND(Liste!#REF!,"AAAAAFn36bk=")</f>
        <v>#REF!</v>
      </c>
      <c r="GE121" t="e">
        <f>AND(Liste!#REF!,"AAAAAFn36bo=")</f>
        <v>#REF!</v>
      </c>
      <c r="GF121">
        <f>IF(Liste!654:654,"AAAAAFn36bs=",0)</f>
        <v>0</v>
      </c>
      <c r="GG121" t="b">
        <f>AND(Liste!A654,"AAAAAFn36bw=")</f>
        <v>1</v>
      </c>
      <c r="GH121" t="e">
        <f>AND(Liste!#REF!,"AAAAAFn36b0=")</f>
        <v>#REF!</v>
      </c>
      <c r="GI121" t="e">
        <f>AND(Liste!#REF!,"AAAAAFn36b4=")</f>
        <v>#REF!</v>
      </c>
      <c r="GJ121" t="e">
        <f>AND(Liste!#REF!,"AAAAAFn36b8=")</f>
        <v>#REF!</v>
      </c>
      <c r="GK121" t="e">
        <f>AND(Liste!F654,"AAAAAFn36cA=")</f>
        <v>#VALUE!</v>
      </c>
      <c r="GL121" t="e">
        <f>AND(Liste!G654,"AAAAAFn36cE=")</f>
        <v>#VALUE!</v>
      </c>
      <c r="GM121" t="e">
        <f>AND(Liste!H654,"AAAAAFn36cI=")</f>
        <v>#VALUE!</v>
      </c>
      <c r="GN121" t="e">
        <f>AND(Liste!I654,"AAAAAFn36cM=")</f>
        <v>#VALUE!</v>
      </c>
      <c r="GO121" t="e">
        <f>AND(Liste!J654,"AAAAAFn36cQ=")</f>
        <v>#VALUE!</v>
      </c>
      <c r="GP121" t="e">
        <f>AND(Liste!#REF!,"AAAAAFn36cU=")</f>
        <v>#REF!</v>
      </c>
      <c r="GQ121" t="e">
        <f>AND(Liste!#REF!,"AAAAAFn36cY=")</f>
        <v>#REF!</v>
      </c>
      <c r="GR121" t="e">
        <f>AND(Liste!#REF!,"AAAAAFn36cc=")</f>
        <v>#REF!</v>
      </c>
      <c r="GS121" t="e">
        <f>AND(Liste!#REF!,"AAAAAFn36cg=")</f>
        <v>#REF!</v>
      </c>
      <c r="GT121" t="e">
        <f>AND(Liste!#REF!,"AAAAAFn36ck=")</f>
        <v>#REF!</v>
      </c>
      <c r="GU121" t="e">
        <f>AND(Liste!#REF!,"AAAAAFn36co=")</f>
        <v>#REF!</v>
      </c>
      <c r="GV121" t="e">
        <f>AND(Liste!#REF!,"AAAAAFn36cs=")</f>
        <v>#REF!</v>
      </c>
      <c r="GW121" t="e">
        <f>AND(Liste!#REF!,"AAAAAFn36cw=")</f>
        <v>#REF!</v>
      </c>
      <c r="GX121" t="e">
        <f>AND(Liste!#REF!,"AAAAAFn36c0=")</f>
        <v>#REF!</v>
      </c>
      <c r="GY121" t="e">
        <f>AND(Liste!#REF!,"AAAAAFn36c4=")</f>
        <v>#REF!</v>
      </c>
      <c r="GZ121" t="e">
        <f>AND(Liste!#REF!,"AAAAAFn36c8=")</f>
        <v>#REF!</v>
      </c>
      <c r="HA121" t="e">
        <f>AND(Liste!#REF!,"AAAAAFn36dA=")</f>
        <v>#REF!</v>
      </c>
      <c r="HB121" t="e">
        <f>AND(Liste!#REF!,"AAAAAFn36dE=")</f>
        <v>#REF!</v>
      </c>
      <c r="HC121" t="e">
        <f>AND(Liste!#REF!,"AAAAAFn36dI=")</f>
        <v>#REF!</v>
      </c>
      <c r="HD121" t="e">
        <f>AND(Liste!#REF!,"AAAAAFn36dM=")</f>
        <v>#REF!</v>
      </c>
      <c r="HE121" t="e">
        <f>AND(Liste!#REF!,"AAAAAFn36dQ=")</f>
        <v>#REF!</v>
      </c>
      <c r="HF121" t="e">
        <f>AND(Liste!#REF!,"AAAAAFn36dU=")</f>
        <v>#REF!</v>
      </c>
      <c r="HG121" t="e">
        <f>AND(Liste!#REF!,"AAAAAFn36dY=")</f>
        <v>#REF!</v>
      </c>
      <c r="HH121" t="e">
        <f>AND(Liste!#REF!,"AAAAAFn36dc=")</f>
        <v>#REF!</v>
      </c>
      <c r="HI121" t="e">
        <f>AND(Liste!#REF!,"AAAAAFn36dg=")</f>
        <v>#REF!</v>
      </c>
      <c r="HJ121" t="e">
        <f>AND(Liste!#REF!,"AAAAAFn36dk=")</f>
        <v>#REF!</v>
      </c>
      <c r="HK121">
        <f>IF(Liste!655:655,"AAAAAFn36do=",0)</f>
        <v>0</v>
      </c>
      <c r="HL121" t="b">
        <f>AND(Liste!A655,"AAAAAFn36ds=")</f>
        <v>1</v>
      </c>
      <c r="HM121" t="e">
        <f>AND(Liste!#REF!,"AAAAAFn36dw=")</f>
        <v>#REF!</v>
      </c>
      <c r="HN121" t="e">
        <f>AND(Liste!#REF!,"AAAAAFn36d0=")</f>
        <v>#REF!</v>
      </c>
      <c r="HO121" t="e">
        <f>AND(Liste!#REF!,"AAAAAFn36d4=")</f>
        <v>#REF!</v>
      </c>
      <c r="HP121" t="e">
        <f>AND(Liste!F655,"AAAAAFn36d8=")</f>
        <v>#VALUE!</v>
      </c>
      <c r="HQ121" t="e">
        <f>AND(Liste!G655,"AAAAAFn36eA=")</f>
        <v>#VALUE!</v>
      </c>
      <c r="HR121" t="e">
        <f>AND(Liste!H655,"AAAAAFn36eE=")</f>
        <v>#VALUE!</v>
      </c>
      <c r="HS121" t="e">
        <f>AND(Liste!I655,"AAAAAFn36eI=")</f>
        <v>#VALUE!</v>
      </c>
      <c r="HT121" t="e">
        <f>AND(Liste!J655,"AAAAAFn36eM=")</f>
        <v>#VALUE!</v>
      </c>
      <c r="HU121" t="e">
        <f>AND(Liste!#REF!,"AAAAAFn36eQ=")</f>
        <v>#REF!</v>
      </c>
      <c r="HV121" t="e">
        <f>AND(Liste!#REF!,"AAAAAFn36eU=")</f>
        <v>#REF!</v>
      </c>
      <c r="HW121" t="e">
        <f>AND(Liste!#REF!,"AAAAAFn36eY=")</f>
        <v>#REF!</v>
      </c>
      <c r="HX121" t="e">
        <f>AND(Liste!#REF!,"AAAAAFn36ec=")</f>
        <v>#REF!</v>
      </c>
      <c r="HY121" t="e">
        <f>AND(Liste!#REF!,"AAAAAFn36eg=")</f>
        <v>#REF!</v>
      </c>
      <c r="HZ121" t="e">
        <f>AND(Liste!#REF!,"AAAAAFn36ek=")</f>
        <v>#REF!</v>
      </c>
      <c r="IA121" t="e">
        <f>AND(Liste!#REF!,"AAAAAFn36eo=")</f>
        <v>#REF!</v>
      </c>
      <c r="IB121" t="e">
        <f>AND(Liste!#REF!,"AAAAAFn36es=")</f>
        <v>#REF!</v>
      </c>
      <c r="IC121" t="e">
        <f>AND(Liste!#REF!,"AAAAAFn36ew=")</f>
        <v>#REF!</v>
      </c>
      <c r="ID121" t="e">
        <f>AND(Liste!#REF!,"AAAAAFn36e0=")</f>
        <v>#REF!</v>
      </c>
      <c r="IE121" t="e">
        <f>AND(Liste!#REF!,"AAAAAFn36e4=")</f>
        <v>#REF!</v>
      </c>
      <c r="IF121" t="e">
        <f>AND(Liste!#REF!,"AAAAAFn36e8=")</f>
        <v>#REF!</v>
      </c>
      <c r="IG121" t="e">
        <f>AND(Liste!#REF!,"AAAAAFn36fA=")</f>
        <v>#REF!</v>
      </c>
      <c r="IH121" t="e">
        <f>AND(Liste!#REF!,"AAAAAFn36fE=")</f>
        <v>#REF!</v>
      </c>
      <c r="II121" t="e">
        <f>AND(Liste!#REF!,"AAAAAFn36fI=")</f>
        <v>#REF!</v>
      </c>
      <c r="IJ121" t="e">
        <f>AND(Liste!#REF!,"AAAAAFn36fM=")</f>
        <v>#REF!</v>
      </c>
      <c r="IK121" t="e">
        <f>AND(Liste!#REF!,"AAAAAFn36fQ=")</f>
        <v>#REF!</v>
      </c>
      <c r="IL121" t="e">
        <f>AND(Liste!#REF!,"AAAAAFn36fU=")</f>
        <v>#REF!</v>
      </c>
      <c r="IM121" t="e">
        <f>AND(Liste!#REF!,"AAAAAFn36fY=")</f>
        <v>#REF!</v>
      </c>
      <c r="IN121" t="e">
        <f>AND(Liste!#REF!,"AAAAAFn36fc=")</f>
        <v>#REF!</v>
      </c>
      <c r="IO121" t="e">
        <f>AND(Liste!#REF!,"AAAAAFn36fg=")</f>
        <v>#REF!</v>
      </c>
      <c r="IP121">
        <f>IF(Liste!657:657,"AAAAAFn36fk=",0)</f>
        <v>0</v>
      </c>
      <c r="IQ121" t="b">
        <f>AND(Liste!A656,"AAAAAFn36fo=")</f>
        <v>1</v>
      </c>
      <c r="IR121" t="e">
        <f>AND(Liste!#REF!,"AAAAAFn36fs=")</f>
        <v>#REF!</v>
      </c>
      <c r="IS121" t="e">
        <f>AND(Liste!#REF!,"AAAAAFn36fw=")</f>
        <v>#REF!</v>
      </c>
      <c r="IT121" t="e">
        <f>AND(Liste!#REF!,"AAAAAFn36f0=")</f>
        <v>#REF!</v>
      </c>
      <c r="IU121" t="e">
        <f>AND(Liste!F657,"AAAAAFn36f4=")</f>
        <v>#VALUE!</v>
      </c>
      <c r="IV121" t="e">
        <f>AND(Liste!G657,"AAAAAFn36f8=")</f>
        <v>#VALUE!</v>
      </c>
    </row>
    <row r="122" spans="1:256" x14ac:dyDescent="0.2">
      <c r="A122" t="e">
        <f>AND(Liste!H657,"AAAAAFf++gA=")</f>
        <v>#VALUE!</v>
      </c>
      <c r="B122" t="e">
        <f>AND(Liste!I657,"AAAAAFf++gE=")</f>
        <v>#VALUE!</v>
      </c>
      <c r="C122" t="e">
        <f>AND(Liste!J657,"AAAAAFf++gI=")</f>
        <v>#VALUE!</v>
      </c>
      <c r="D122" t="e">
        <f>AND(Liste!#REF!,"AAAAAFf++gM=")</f>
        <v>#REF!</v>
      </c>
      <c r="E122" t="e">
        <f>AND(Liste!#REF!,"AAAAAFf++gQ=")</f>
        <v>#REF!</v>
      </c>
      <c r="F122" t="e">
        <f>AND(Liste!#REF!,"AAAAAFf++gU=")</f>
        <v>#REF!</v>
      </c>
      <c r="G122" t="e">
        <f>AND(Liste!#REF!,"AAAAAFf++gY=")</f>
        <v>#REF!</v>
      </c>
      <c r="H122" t="e">
        <f>AND(Liste!#REF!,"AAAAAFf++gc=")</f>
        <v>#REF!</v>
      </c>
      <c r="I122" t="e">
        <f>AND(Liste!#REF!,"AAAAAFf++gg=")</f>
        <v>#REF!</v>
      </c>
      <c r="J122" t="e">
        <f>AND(Liste!#REF!,"AAAAAFf++gk=")</f>
        <v>#REF!</v>
      </c>
      <c r="K122" t="e">
        <f>AND(Liste!#REF!,"AAAAAFf++go=")</f>
        <v>#REF!</v>
      </c>
      <c r="L122" t="e">
        <f>AND(Liste!#REF!,"AAAAAFf++gs=")</f>
        <v>#REF!</v>
      </c>
      <c r="M122" t="e">
        <f>AND(Liste!#REF!,"AAAAAFf++gw=")</f>
        <v>#REF!</v>
      </c>
      <c r="N122" t="e">
        <f>AND(Liste!#REF!,"AAAAAFf++g0=")</f>
        <v>#REF!</v>
      </c>
      <c r="O122" t="e">
        <f>AND(Liste!#REF!,"AAAAAFf++g4=")</f>
        <v>#REF!</v>
      </c>
      <c r="P122" t="e">
        <f>AND(Liste!#REF!,"AAAAAFf++g8=")</f>
        <v>#REF!</v>
      </c>
      <c r="Q122" t="e">
        <f>AND(Liste!#REF!,"AAAAAFf++hA=")</f>
        <v>#REF!</v>
      </c>
      <c r="R122" t="e">
        <f>AND(Liste!#REF!,"AAAAAFf++hE=")</f>
        <v>#REF!</v>
      </c>
      <c r="S122" t="e">
        <f>AND(Liste!#REF!,"AAAAAFf++hI=")</f>
        <v>#REF!</v>
      </c>
      <c r="T122" t="e">
        <f>AND(Liste!#REF!,"AAAAAFf++hM=")</f>
        <v>#REF!</v>
      </c>
      <c r="U122" t="e">
        <f>AND(Liste!#REF!,"AAAAAFf++hQ=")</f>
        <v>#REF!</v>
      </c>
      <c r="V122" t="e">
        <f>AND(Liste!#REF!,"AAAAAFf++hU=")</f>
        <v>#REF!</v>
      </c>
      <c r="W122" t="e">
        <f>AND(Liste!#REF!,"AAAAAFf++hY=")</f>
        <v>#REF!</v>
      </c>
      <c r="X122" t="e">
        <f>AND(Liste!#REF!,"AAAAAFf++hc=")</f>
        <v>#REF!</v>
      </c>
      <c r="Y122" t="e">
        <f>IF(Liste!#REF!,"AAAAAFf++hg=",0)</f>
        <v>#REF!</v>
      </c>
      <c r="Z122" t="e">
        <f>AND(Liste!#REF!,"AAAAAFf++hk=")</f>
        <v>#REF!</v>
      </c>
      <c r="AA122" t="e">
        <f>AND(Liste!#REF!,"AAAAAFf++ho=")</f>
        <v>#REF!</v>
      </c>
      <c r="AB122" t="e">
        <f>AND(Liste!#REF!,"AAAAAFf++hs=")</f>
        <v>#REF!</v>
      </c>
      <c r="AC122" t="e">
        <f>AND(Liste!#REF!,"AAAAAFf++hw=")</f>
        <v>#REF!</v>
      </c>
      <c r="AD122" t="e">
        <f>AND(Liste!#REF!,"AAAAAFf++h0=")</f>
        <v>#REF!</v>
      </c>
      <c r="AE122" t="e">
        <f>AND(Liste!#REF!,"AAAAAFf++h4=")</f>
        <v>#REF!</v>
      </c>
      <c r="AF122" t="e">
        <f>AND(Liste!#REF!,"AAAAAFf++h8=")</f>
        <v>#REF!</v>
      </c>
      <c r="AG122" t="e">
        <f>AND(Liste!#REF!,"AAAAAFf++iA=")</f>
        <v>#REF!</v>
      </c>
      <c r="AH122" t="e">
        <f>AND(Liste!#REF!,"AAAAAFf++iE=")</f>
        <v>#REF!</v>
      </c>
      <c r="AI122" t="e">
        <f>AND(Liste!#REF!,"AAAAAFf++iI=")</f>
        <v>#REF!</v>
      </c>
      <c r="AJ122" t="e">
        <f>AND(Liste!#REF!,"AAAAAFf++iM=")</f>
        <v>#REF!</v>
      </c>
      <c r="AK122" t="e">
        <f>AND(Liste!#REF!,"AAAAAFf++iQ=")</f>
        <v>#REF!</v>
      </c>
      <c r="AL122" t="e">
        <f>AND(Liste!#REF!,"AAAAAFf++iU=")</f>
        <v>#REF!</v>
      </c>
      <c r="AM122" t="e">
        <f>AND(Liste!#REF!,"AAAAAFf++iY=")</f>
        <v>#REF!</v>
      </c>
      <c r="AN122" t="e">
        <f>AND(Liste!#REF!,"AAAAAFf++ic=")</f>
        <v>#REF!</v>
      </c>
      <c r="AO122" t="e">
        <f>AND(Liste!#REF!,"AAAAAFf++ig=")</f>
        <v>#REF!</v>
      </c>
      <c r="AP122" t="e">
        <f>AND(Liste!#REF!,"AAAAAFf++ik=")</f>
        <v>#REF!</v>
      </c>
      <c r="AQ122" t="e">
        <f>AND(Liste!#REF!,"AAAAAFf++io=")</f>
        <v>#REF!</v>
      </c>
      <c r="AR122" t="e">
        <f>AND(Liste!#REF!,"AAAAAFf++is=")</f>
        <v>#REF!</v>
      </c>
      <c r="AS122" t="e">
        <f>AND(Liste!#REF!,"AAAAAFf++iw=")</f>
        <v>#REF!</v>
      </c>
      <c r="AT122" t="e">
        <f>AND(Liste!#REF!,"AAAAAFf++i0=")</f>
        <v>#REF!</v>
      </c>
      <c r="AU122" t="e">
        <f>AND(Liste!#REF!,"AAAAAFf++i4=")</f>
        <v>#REF!</v>
      </c>
      <c r="AV122" t="e">
        <f>AND(Liste!#REF!,"AAAAAFf++i8=")</f>
        <v>#REF!</v>
      </c>
      <c r="AW122" t="e">
        <f>AND(Liste!#REF!,"AAAAAFf++jA=")</f>
        <v>#REF!</v>
      </c>
      <c r="AX122" t="e">
        <f>AND(Liste!#REF!,"AAAAAFf++jE=")</f>
        <v>#REF!</v>
      </c>
      <c r="AY122" t="e">
        <f>AND(Liste!#REF!,"AAAAAFf++jI=")</f>
        <v>#REF!</v>
      </c>
      <c r="AZ122" t="e">
        <f>AND(Liste!#REF!,"AAAAAFf++jM=")</f>
        <v>#REF!</v>
      </c>
      <c r="BA122" t="e">
        <f>AND(Liste!#REF!,"AAAAAFf++jQ=")</f>
        <v>#REF!</v>
      </c>
      <c r="BB122" t="e">
        <f>AND(Liste!#REF!,"AAAAAFf++jU=")</f>
        <v>#REF!</v>
      </c>
      <c r="BC122" t="e">
        <f>AND(Liste!#REF!,"AAAAAFf++jY=")</f>
        <v>#REF!</v>
      </c>
      <c r="BD122" t="e">
        <f>IF(Liste!#REF!,"AAAAAFf++jc=",0)</f>
        <v>#REF!</v>
      </c>
      <c r="BE122" t="e">
        <f>AND(Liste!#REF!,"AAAAAFf++jg=")</f>
        <v>#REF!</v>
      </c>
      <c r="BF122" t="e">
        <f>AND(Liste!#REF!,"AAAAAFf++jk=")</f>
        <v>#REF!</v>
      </c>
      <c r="BG122" t="e">
        <f>AND(Liste!#REF!,"AAAAAFf++jo=")</f>
        <v>#REF!</v>
      </c>
      <c r="BH122" t="e">
        <f>AND(Liste!#REF!,"AAAAAFf++js=")</f>
        <v>#REF!</v>
      </c>
      <c r="BI122" t="e">
        <f>AND(Liste!#REF!,"AAAAAFf++jw=")</f>
        <v>#REF!</v>
      </c>
      <c r="BJ122" t="e">
        <f>AND(Liste!#REF!,"AAAAAFf++j0=")</f>
        <v>#REF!</v>
      </c>
      <c r="BK122" t="e">
        <f>AND(Liste!#REF!,"AAAAAFf++j4=")</f>
        <v>#REF!</v>
      </c>
      <c r="BL122" t="e">
        <f>AND(Liste!#REF!,"AAAAAFf++j8=")</f>
        <v>#REF!</v>
      </c>
      <c r="BM122" t="e">
        <f>AND(Liste!#REF!,"AAAAAFf++kA=")</f>
        <v>#REF!</v>
      </c>
      <c r="BN122" t="e">
        <f>AND(Liste!#REF!,"AAAAAFf++kE=")</f>
        <v>#REF!</v>
      </c>
      <c r="BO122" t="e">
        <f>AND(Liste!#REF!,"AAAAAFf++kI=")</f>
        <v>#REF!</v>
      </c>
      <c r="BP122" t="e">
        <f>AND(Liste!#REF!,"AAAAAFf++kM=")</f>
        <v>#REF!</v>
      </c>
      <c r="BQ122" t="e">
        <f>AND(Liste!#REF!,"AAAAAFf++kQ=")</f>
        <v>#REF!</v>
      </c>
      <c r="BR122" t="e">
        <f>AND(Liste!#REF!,"AAAAAFf++kU=")</f>
        <v>#REF!</v>
      </c>
      <c r="BS122" t="e">
        <f>AND(Liste!#REF!,"AAAAAFf++kY=")</f>
        <v>#REF!</v>
      </c>
      <c r="BT122" t="e">
        <f>AND(Liste!#REF!,"AAAAAFf++kc=")</f>
        <v>#REF!</v>
      </c>
      <c r="BU122" t="e">
        <f>AND(Liste!#REF!,"AAAAAFf++kg=")</f>
        <v>#REF!</v>
      </c>
      <c r="BV122" t="e">
        <f>AND(Liste!#REF!,"AAAAAFf++kk=")</f>
        <v>#REF!</v>
      </c>
      <c r="BW122" t="e">
        <f>AND(Liste!#REF!,"AAAAAFf++ko=")</f>
        <v>#REF!</v>
      </c>
      <c r="BX122" t="e">
        <f>AND(Liste!#REF!,"AAAAAFf++ks=")</f>
        <v>#REF!</v>
      </c>
      <c r="BY122" t="e">
        <f>AND(Liste!#REF!,"AAAAAFf++kw=")</f>
        <v>#REF!</v>
      </c>
      <c r="BZ122" t="e">
        <f>AND(Liste!#REF!,"AAAAAFf++k0=")</f>
        <v>#REF!</v>
      </c>
      <c r="CA122" t="e">
        <f>AND(Liste!#REF!,"AAAAAFf++k4=")</f>
        <v>#REF!</v>
      </c>
      <c r="CB122" t="e">
        <f>AND(Liste!#REF!,"AAAAAFf++k8=")</f>
        <v>#REF!</v>
      </c>
      <c r="CC122" t="e">
        <f>AND(Liste!#REF!,"AAAAAFf++lA=")</f>
        <v>#REF!</v>
      </c>
      <c r="CD122" t="e">
        <f>AND(Liste!#REF!,"AAAAAFf++lE=")</f>
        <v>#REF!</v>
      </c>
      <c r="CE122" t="e">
        <f>AND(Liste!#REF!,"AAAAAFf++lI=")</f>
        <v>#REF!</v>
      </c>
      <c r="CF122" t="e">
        <f>AND(Liste!#REF!,"AAAAAFf++lM=")</f>
        <v>#REF!</v>
      </c>
      <c r="CG122" t="e">
        <f>AND(Liste!#REF!,"AAAAAFf++lQ=")</f>
        <v>#REF!</v>
      </c>
      <c r="CH122" t="e">
        <f>AND(Liste!#REF!,"AAAAAFf++lU=")</f>
        <v>#REF!</v>
      </c>
      <c r="CI122" t="e">
        <f>IF(Liste!#REF!,"AAAAAFf++lY=",0)</f>
        <v>#REF!</v>
      </c>
      <c r="CJ122" t="e">
        <f>AND(Liste!#REF!,"AAAAAFf++lc=")</f>
        <v>#REF!</v>
      </c>
      <c r="CK122" t="e">
        <f>AND(Liste!#REF!,"AAAAAFf++lg=")</f>
        <v>#REF!</v>
      </c>
      <c r="CL122" t="e">
        <f>AND(Liste!#REF!,"AAAAAFf++lk=")</f>
        <v>#REF!</v>
      </c>
      <c r="CM122" t="e">
        <f>AND(Liste!#REF!,"AAAAAFf++lo=")</f>
        <v>#REF!</v>
      </c>
      <c r="CN122" t="e">
        <f>AND(Liste!#REF!,"AAAAAFf++ls=")</f>
        <v>#REF!</v>
      </c>
      <c r="CO122" t="e">
        <f>AND(Liste!#REF!,"AAAAAFf++lw=")</f>
        <v>#REF!</v>
      </c>
      <c r="CP122" t="e">
        <f>AND(Liste!#REF!,"AAAAAFf++l0=")</f>
        <v>#REF!</v>
      </c>
      <c r="CQ122" t="e">
        <f>AND(Liste!#REF!,"AAAAAFf++l4=")</f>
        <v>#REF!</v>
      </c>
      <c r="CR122" t="e">
        <f>AND(Liste!#REF!,"AAAAAFf++l8=")</f>
        <v>#REF!</v>
      </c>
      <c r="CS122" t="e">
        <f>AND(Liste!#REF!,"AAAAAFf++mA=")</f>
        <v>#REF!</v>
      </c>
      <c r="CT122" t="e">
        <f>AND(Liste!#REF!,"AAAAAFf++mE=")</f>
        <v>#REF!</v>
      </c>
      <c r="CU122" t="e">
        <f>AND(Liste!#REF!,"AAAAAFf++mI=")</f>
        <v>#REF!</v>
      </c>
      <c r="CV122" t="e">
        <f>AND(Liste!#REF!,"AAAAAFf++mM=")</f>
        <v>#REF!</v>
      </c>
      <c r="CW122" t="e">
        <f>AND(Liste!#REF!,"AAAAAFf++mQ=")</f>
        <v>#REF!</v>
      </c>
      <c r="CX122" t="e">
        <f>AND(Liste!#REF!,"AAAAAFf++mU=")</f>
        <v>#REF!</v>
      </c>
      <c r="CY122" t="e">
        <f>AND(Liste!#REF!,"AAAAAFf++mY=")</f>
        <v>#REF!</v>
      </c>
      <c r="CZ122" t="e">
        <f>AND(Liste!#REF!,"AAAAAFf++mc=")</f>
        <v>#REF!</v>
      </c>
      <c r="DA122" t="e">
        <f>AND(Liste!#REF!,"AAAAAFf++mg=")</f>
        <v>#REF!</v>
      </c>
      <c r="DB122" t="e">
        <f>AND(Liste!#REF!,"AAAAAFf++mk=")</f>
        <v>#REF!</v>
      </c>
      <c r="DC122" t="e">
        <f>AND(Liste!#REF!,"AAAAAFf++mo=")</f>
        <v>#REF!</v>
      </c>
      <c r="DD122" t="e">
        <f>AND(Liste!#REF!,"AAAAAFf++ms=")</f>
        <v>#REF!</v>
      </c>
      <c r="DE122" t="e">
        <f>AND(Liste!#REF!,"AAAAAFf++mw=")</f>
        <v>#REF!</v>
      </c>
      <c r="DF122" t="e">
        <f>AND(Liste!#REF!,"AAAAAFf++m0=")</f>
        <v>#REF!</v>
      </c>
      <c r="DG122" t="e">
        <f>AND(Liste!#REF!,"AAAAAFf++m4=")</f>
        <v>#REF!</v>
      </c>
      <c r="DH122" t="e">
        <f>AND(Liste!#REF!,"AAAAAFf++m8=")</f>
        <v>#REF!</v>
      </c>
      <c r="DI122" t="e">
        <f>AND(Liste!#REF!,"AAAAAFf++nA=")</f>
        <v>#REF!</v>
      </c>
      <c r="DJ122" t="e">
        <f>AND(Liste!#REF!,"AAAAAFf++nE=")</f>
        <v>#REF!</v>
      </c>
      <c r="DK122" t="e">
        <f>AND(Liste!#REF!,"AAAAAFf++nI=")</f>
        <v>#REF!</v>
      </c>
      <c r="DL122" t="e">
        <f>AND(Liste!#REF!,"AAAAAFf++nM=")</f>
        <v>#REF!</v>
      </c>
      <c r="DM122" t="e">
        <f>AND(Liste!#REF!,"AAAAAFf++nQ=")</f>
        <v>#REF!</v>
      </c>
      <c r="DN122" t="e">
        <f>IF(Liste!#REF!,"AAAAAFf++nU=",0)</f>
        <v>#REF!</v>
      </c>
      <c r="DO122" t="e">
        <f>AND(Liste!#REF!,"AAAAAFf++nY=")</f>
        <v>#REF!</v>
      </c>
      <c r="DP122" t="e">
        <f>AND(Liste!#REF!,"AAAAAFf++nc=")</f>
        <v>#REF!</v>
      </c>
      <c r="DQ122" t="e">
        <f>AND(Liste!#REF!,"AAAAAFf++ng=")</f>
        <v>#REF!</v>
      </c>
      <c r="DR122" t="e">
        <f>AND(Liste!#REF!,"AAAAAFf++nk=")</f>
        <v>#REF!</v>
      </c>
      <c r="DS122" t="e">
        <f>AND(Liste!#REF!,"AAAAAFf++no=")</f>
        <v>#REF!</v>
      </c>
      <c r="DT122" t="e">
        <f>AND(Liste!#REF!,"AAAAAFf++ns=")</f>
        <v>#REF!</v>
      </c>
      <c r="DU122" t="e">
        <f>AND(Liste!#REF!,"AAAAAFf++nw=")</f>
        <v>#REF!</v>
      </c>
      <c r="DV122" t="e">
        <f>AND(Liste!#REF!,"AAAAAFf++n0=")</f>
        <v>#REF!</v>
      </c>
      <c r="DW122" t="e">
        <f>AND(Liste!#REF!,"AAAAAFf++n4=")</f>
        <v>#REF!</v>
      </c>
      <c r="DX122" t="e">
        <f>AND(Liste!#REF!,"AAAAAFf++n8=")</f>
        <v>#REF!</v>
      </c>
      <c r="DY122" t="e">
        <f>AND(Liste!#REF!,"AAAAAFf++oA=")</f>
        <v>#REF!</v>
      </c>
      <c r="DZ122" t="e">
        <f>AND(Liste!#REF!,"AAAAAFf++oE=")</f>
        <v>#REF!</v>
      </c>
      <c r="EA122" t="e">
        <f>AND(Liste!#REF!,"AAAAAFf++oI=")</f>
        <v>#REF!</v>
      </c>
      <c r="EB122" t="e">
        <f>AND(Liste!#REF!,"AAAAAFf++oM=")</f>
        <v>#REF!</v>
      </c>
      <c r="EC122" t="e">
        <f>AND(Liste!#REF!,"AAAAAFf++oQ=")</f>
        <v>#REF!</v>
      </c>
      <c r="ED122" t="e">
        <f>AND(Liste!#REF!,"AAAAAFf++oU=")</f>
        <v>#REF!</v>
      </c>
      <c r="EE122" t="e">
        <f>AND(Liste!#REF!,"AAAAAFf++oY=")</f>
        <v>#REF!</v>
      </c>
      <c r="EF122" t="e">
        <f>AND(Liste!#REF!,"AAAAAFf++oc=")</f>
        <v>#REF!</v>
      </c>
      <c r="EG122" t="e">
        <f>AND(Liste!#REF!,"AAAAAFf++og=")</f>
        <v>#REF!</v>
      </c>
      <c r="EH122" t="e">
        <f>AND(Liste!#REF!,"AAAAAFf++ok=")</f>
        <v>#REF!</v>
      </c>
      <c r="EI122" t="e">
        <f>AND(Liste!#REF!,"AAAAAFf++oo=")</f>
        <v>#REF!</v>
      </c>
      <c r="EJ122" t="e">
        <f>AND(Liste!#REF!,"AAAAAFf++os=")</f>
        <v>#REF!</v>
      </c>
      <c r="EK122" t="e">
        <f>AND(Liste!#REF!,"AAAAAFf++ow=")</f>
        <v>#REF!</v>
      </c>
      <c r="EL122" t="e">
        <f>AND(Liste!#REF!,"AAAAAFf++o0=")</f>
        <v>#REF!</v>
      </c>
      <c r="EM122" t="e">
        <f>AND(Liste!#REF!,"AAAAAFf++o4=")</f>
        <v>#REF!</v>
      </c>
      <c r="EN122" t="e">
        <f>AND(Liste!#REF!,"AAAAAFf++o8=")</f>
        <v>#REF!</v>
      </c>
      <c r="EO122" t="e">
        <f>AND(Liste!#REF!,"AAAAAFf++pA=")</f>
        <v>#REF!</v>
      </c>
      <c r="EP122" t="e">
        <f>AND(Liste!#REF!,"AAAAAFf++pE=")</f>
        <v>#REF!</v>
      </c>
      <c r="EQ122" t="e">
        <f>AND(Liste!#REF!,"AAAAAFf++pI=")</f>
        <v>#REF!</v>
      </c>
      <c r="ER122" t="e">
        <f>AND(Liste!#REF!,"AAAAAFf++pM=")</f>
        <v>#REF!</v>
      </c>
      <c r="ES122" t="e">
        <f>IF(Liste!#REF!,"AAAAAFf++pQ=",0)</f>
        <v>#REF!</v>
      </c>
      <c r="ET122" t="e">
        <f>AND(Liste!#REF!,"AAAAAFf++pU=")</f>
        <v>#REF!</v>
      </c>
      <c r="EU122" t="e">
        <f>AND(Liste!#REF!,"AAAAAFf++pY=")</f>
        <v>#REF!</v>
      </c>
      <c r="EV122" t="e">
        <f>AND(Liste!#REF!,"AAAAAFf++pc=")</f>
        <v>#REF!</v>
      </c>
      <c r="EW122" t="e">
        <f>AND(Liste!#REF!,"AAAAAFf++pg=")</f>
        <v>#REF!</v>
      </c>
      <c r="EX122" t="e">
        <f>AND(Liste!#REF!,"AAAAAFf++pk=")</f>
        <v>#REF!</v>
      </c>
      <c r="EY122" t="e">
        <f>AND(Liste!#REF!,"AAAAAFf++po=")</f>
        <v>#REF!</v>
      </c>
      <c r="EZ122" t="e">
        <f>AND(Liste!#REF!,"AAAAAFf++ps=")</f>
        <v>#REF!</v>
      </c>
      <c r="FA122" t="e">
        <f>AND(Liste!#REF!,"AAAAAFf++pw=")</f>
        <v>#REF!</v>
      </c>
      <c r="FB122" t="e">
        <f>AND(Liste!#REF!,"AAAAAFf++p0=")</f>
        <v>#REF!</v>
      </c>
      <c r="FC122" t="e">
        <f>AND(Liste!#REF!,"AAAAAFf++p4=")</f>
        <v>#REF!</v>
      </c>
      <c r="FD122" t="e">
        <f>AND(Liste!#REF!,"AAAAAFf++p8=")</f>
        <v>#REF!</v>
      </c>
      <c r="FE122" t="e">
        <f>AND(Liste!#REF!,"AAAAAFf++qA=")</f>
        <v>#REF!</v>
      </c>
      <c r="FF122" t="e">
        <f>AND(Liste!#REF!,"AAAAAFf++qE=")</f>
        <v>#REF!</v>
      </c>
      <c r="FG122" t="e">
        <f>AND(Liste!#REF!,"AAAAAFf++qI=")</f>
        <v>#REF!</v>
      </c>
      <c r="FH122" t="e">
        <f>AND(Liste!#REF!,"AAAAAFf++qM=")</f>
        <v>#REF!</v>
      </c>
      <c r="FI122" t="e">
        <f>AND(Liste!#REF!,"AAAAAFf++qQ=")</f>
        <v>#REF!</v>
      </c>
      <c r="FJ122" t="e">
        <f>AND(Liste!#REF!,"AAAAAFf++qU=")</f>
        <v>#REF!</v>
      </c>
      <c r="FK122" t="e">
        <f>AND(Liste!#REF!,"AAAAAFf++qY=")</f>
        <v>#REF!</v>
      </c>
      <c r="FL122" t="e">
        <f>AND(Liste!#REF!,"AAAAAFf++qc=")</f>
        <v>#REF!</v>
      </c>
      <c r="FM122" t="e">
        <f>AND(Liste!#REF!,"AAAAAFf++qg=")</f>
        <v>#REF!</v>
      </c>
      <c r="FN122" t="e">
        <f>AND(Liste!#REF!,"AAAAAFf++qk=")</f>
        <v>#REF!</v>
      </c>
      <c r="FO122" t="e">
        <f>AND(Liste!#REF!,"AAAAAFf++qo=")</f>
        <v>#REF!</v>
      </c>
      <c r="FP122" t="e">
        <f>AND(Liste!#REF!,"AAAAAFf++qs=")</f>
        <v>#REF!</v>
      </c>
      <c r="FQ122" t="e">
        <f>AND(Liste!#REF!,"AAAAAFf++qw=")</f>
        <v>#REF!</v>
      </c>
      <c r="FR122" t="e">
        <f>AND(Liste!#REF!,"AAAAAFf++q0=")</f>
        <v>#REF!</v>
      </c>
      <c r="FS122" t="e">
        <f>AND(Liste!#REF!,"AAAAAFf++q4=")</f>
        <v>#REF!</v>
      </c>
      <c r="FT122" t="e">
        <f>AND(Liste!#REF!,"AAAAAFf++q8=")</f>
        <v>#REF!</v>
      </c>
      <c r="FU122" t="e">
        <f>AND(Liste!#REF!,"AAAAAFf++rA=")</f>
        <v>#REF!</v>
      </c>
      <c r="FV122" t="e">
        <f>AND(Liste!#REF!,"AAAAAFf++rE=")</f>
        <v>#REF!</v>
      </c>
      <c r="FW122" t="e">
        <f>AND(Liste!#REF!,"AAAAAFf++rI=")</f>
        <v>#REF!</v>
      </c>
      <c r="FX122" t="e">
        <f>IF(Liste!#REF!,"AAAAAFf++rM=",0)</f>
        <v>#REF!</v>
      </c>
      <c r="FY122" t="e">
        <f>AND(Liste!#REF!,"AAAAAFf++rQ=")</f>
        <v>#REF!</v>
      </c>
      <c r="FZ122" t="e">
        <f>AND(Liste!#REF!,"AAAAAFf++rU=")</f>
        <v>#REF!</v>
      </c>
      <c r="GA122" t="e">
        <f>AND(Liste!#REF!,"AAAAAFf++rY=")</f>
        <v>#REF!</v>
      </c>
      <c r="GB122" t="e">
        <f>AND(Liste!#REF!,"AAAAAFf++rc=")</f>
        <v>#REF!</v>
      </c>
      <c r="GC122" t="e">
        <f>AND(Liste!#REF!,"AAAAAFf++rg=")</f>
        <v>#REF!</v>
      </c>
      <c r="GD122" t="e">
        <f>AND(Liste!#REF!,"AAAAAFf++rk=")</f>
        <v>#REF!</v>
      </c>
      <c r="GE122" t="e">
        <f>AND(Liste!#REF!,"AAAAAFf++ro=")</f>
        <v>#REF!</v>
      </c>
      <c r="GF122" t="e">
        <f>AND(Liste!#REF!,"AAAAAFf++rs=")</f>
        <v>#REF!</v>
      </c>
      <c r="GG122" t="e">
        <f>AND(Liste!#REF!,"AAAAAFf++rw=")</f>
        <v>#REF!</v>
      </c>
      <c r="GH122" t="e">
        <f>AND(Liste!#REF!,"AAAAAFf++r0=")</f>
        <v>#REF!</v>
      </c>
      <c r="GI122" t="e">
        <f>AND(Liste!#REF!,"AAAAAFf++r4=")</f>
        <v>#REF!</v>
      </c>
      <c r="GJ122" t="e">
        <f>AND(Liste!#REF!,"AAAAAFf++r8=")</f>
        <v>#REF!</v>
      </c>
      <c r="GK122" t="e">
        <f>AND(Liste!#REF!,"AAAAAFf++sA=")</f>
        <v>#REF!</v>
      </c>
      <c r="GL122" t="e">
        <f>AND(Liste!#REF!,"AAAAAFf++sE=")</f>
        <v>#REF!</v>
      </c>
      <c r="GM122" t="e">
        <f>AND(Liste!#REF!,"AAAAAFf++sI=")</f>
        <v>#REF!</v>
      </c>
      <c r="GN122" t="e">
        <f>AND(Liste!#REF!,"AAAAAFf++sM=")</f>
        <v>#REF!</v>
      </c>
      <c r="GO122" t="e">
        <f>AND(Liste!#REF!,"AAAAAFf++sQ=")</f>
        <v>#REF!</v>
      </c>
      <c r="GP122" t="e">
        <f>AND(Liste!#REF!,"AAAAAFf++sU=")</f>
        <v>#REF!</v>
      </c>
      <c r="GQ122" t="e">
        <f>AND(Liste!#REF!,"AAAAAFf++sY=")</f>
        <v>#REF!</v>
      </c>
      <c r="GR122" t="e">
        <f>AND(Liste!#REF!,"AAAAAFf++sc=")</f>
        <v>#REF!</v>
      </c>
      <c r="GS122" t="e">
        <f>AND(Liste!#REF!,"AAAAAFf++sg=")</f>
        <v>#REF!</v>
      </c>
      <c r="GT122" t="e">
        <f>AND(Liste!#REF!,"AAAAAFf++sk=")</f>
        <v>#REF!</v>
      </c>
      <c r="GU122" t="e">
        <f>AND(Liste!#REF!,"AAAAAFf++so=")</f>
        <v>#REF!</v>
      </c>
      <c r="GV122" t="e">
        <f>AND(Liste!#REF!,"AAAAAFf++ss=")</f>
        <v>#REF!</v>
      </c>
      <c r="GW122" t="e">
        <f>AND(Liste!#REF!,"AAAAAFf++sw=")</f>
        <v>#REF!</v>
      </c>
      <c r="GX122" t="e">
        <f>AND(Liste!#REF!,"AAAAAFf++s0=")</f>
        <v>#REF!</v>
      </c>
      <c r="GY122" t="e">
        <f>AND(Liste!#REF!,"AAAAAFf++s4=")</f>
        <v>#REF!</v>
      </c>
      <c r="GZ122" t="e">
        <f>AND(Liste!#REF!,"AAAAAFf++s8=")</f>
        <v>#REF!</v>
      </c>
      <c r="HA122" t="e">
        <f>AND(Liste!#REF!,"AAAAAFf++tA=")</f>
        <v>#REF!</v>
      </c>
      <c r="HB122" t="e">
        <f>AND(Liste!#REF!,"AAAAAFf++tE=")</f>
        <v>#REF!</v>
      </c>
      <c r="HC122" t="e">
        <f>IF(Liste!#REF!,"AAAAAFf++tI=",0)</f>
        <v>#REF!</v>
      </c>
      <c r="HD122" t="e">
        <f>AND(Liste!#REF!,"AAAAAFf++tM=")</f>
        <v>#REF!</v>
      </c>
      <c r="HE122" t="e">
        <f>AND(Liste!#REF!,"AAAAAFf++tQ=")</f>
        <v>#REF!</v>
      </c>
      <c r="HF122" t="e">
        <f>AND(Liste!#REF!,"AAAAAFf++tU=")</f>
        <v>#REF!</v>
      </c>
      <c r="HG122" t="e">
        <f>AND(Liste!#REF!,"AAAAAFf++tY=")</f>
        <v>#REF!</v>
      </c>
      <c r="HH122" t="e">
        <f>AND(Liste!#REF!,"AAAAAFf++tc=")</f>
        <v>#REF!</v>
      </c>
      <c r="HI122" t="e">
        <f>AND(Liste!#REF!,"AAAAAFf++tg=")</f>
        <v>#REF!</v>
      </c>
      <c r="HJ122" t="e">
        <f>AND(Liste!#REF!,"AAAAAFf++tk=")</f>
        <v>#REF!</v>
      </c>
      <c r="HK122" t="e">
        <f>AND(Liste!#REF!,"AAAAAFf++to=")</f>
        <v>#REF!</v>
      </c>
      <c r="HL122" t="e">
        <f>AND(Liste!#REF!,"AAAAAFf++ts=")</f>
        <v>#REF!</v>
      </c>
      <c r="HM122" t="e">
        <f>AND(Liste!#REF!,"AAAAAFf++tw=")</f>
        <v>#REF!</v>
      </c>
      <c r="HN122" t="e">
        <f>AND(Liste!#REF!,"AAAAAFf++t0=")</f>
        <v>#REF!</v>
      </c>
      <c r="HO122" t="e">
        <f>AND(Liste!#REF!,"AAAAAFf++t4=")</f>
        <v>#REF!</v>
      </c>
      <c r="HP122" t="e">
        <f>AND(Liste!#REF!,"AAAAAFf++t8=")</f>
        <v>#REF!</v>
      </c>
      <c r="HQ122" t="e">
        <f>AND(Liste!#REF!,"AAAAAFf++uA=")</f>
        <v>#REF!</v>
      </c>
      <c r="HR122" t="e">
        <f>AND(Liste!#REF!,"AAAAAFf++uE=")</f>
        <v>#REF!</v>
      </c>
      <c r="HS122" t="e">
        <f>AND(Liste!#REF!,"AAAAAFf++uI=")</f>
        <v>#REF!</v>
      </c>
      <c r="HT122" t="e">
        <f>AND(Liste!#REF!,"AAAAAFf++uM=")</f>
        <v>#REF!</v>
      </c>
      <c r="HU122" t="e">
        <f>AND(Liste!#REF!,"AAAAAFf++uQ=")</f>
        <v>#REF!</v>
      </c>
      <c r="HV122" t="e">
        <f>AND(Liste!#REF!,"AAAAAFf++uU=")</f>
        <v>#REF!</v>
      </c>
      <c r="HW122" t="e">
        <f>AND(Liste!#REF!,"AAAAAFf++uY=")</f>
        <v>#REF!</v>
      </c>
      <c r="HX122" t="e">
        <f>AND(Liste!#REF!,"AAAAAFf++uc=")</f>
        <v>#REF!</v>
      </c>
      <c r="HY122" t="e">
        <f>AND(Liste!#REF!,"AAAAAFf++ug=")</f>
        <v>#REF!</v>
      </c>
      <c r="HZ122" t="e">
        <f>AND(Liste!#REF!,"AAAAAFf++uk=")</f>
        <v>#REF!</v>
      </c>
      <c r="IA122" t="e">
        <f>AND(Liste!#REF!,"AAAAAFf++uo=")</f>
        <v>#REF!</v>
      </c>
      <c r="IB122" t="e">
        <f>AND(Liste!#REF!,"AAAAAFf++us=")</f>
        <v>#REF!</v>
      </c>
      <c r="IC122" t="e">
        <f>AND(Liste!#REF!,"AAAAAFf++uw=")</f>
        <v>#REF!</v>
      </c>
      <c r="ID122" t="e">
        <f>AND(Liste!#REF!,"AAAAAFf++u0=")</f>
        <v>#REF!</v>
      </c>
      <c r="IE122" t="e">
        <f>AND(Liste!#REF!,"AAAAAFf++u4=")</f>
        <v>#REF!</v>
      </c>
      <c r="IF122" t="e">
        <f>AND(Liste!#REF!,"AAAAAFf++u8=")</f>
        <v>#REF!</v>
      </c>
      <c r="IG122" t="e">
        <f>AND(Liste!#REF!,"AAAAAFf++vA=")</f>
        <v>#REF!</v>
      </c>
      <c r="IH122" t="e">
        <f>IF(Liste!#REF!,"AAAAAFf++vE=",0)</f>
        <v>#REF!</v>
      </c>
      <c r="II122" t="e">
        <f>AND(Liste!#REF!,"AAAAAFf++vI=")</f>
        <v>#REF!</v>
      </c>
      <c r="IJ122" t="e">
        <f>AND(Liste!#REF!,"AAAAAFf++vM=")</f>
        <v>#REF!</v>
      </c>
      <c r="IK122" t="e">
        <f>AND(Liste!#REF!,"AAAAAFf++vQ=")</f>
        <v>#REF!</v>
      </c>
      <c r="IL122" t="e">
        <f>AND(Liste!#REF!,"AAAAAFf++vU=")</f>
        <v>#REF!</v>
      </c>
      <c r="IM122" t="e">
        <f>AND(Liste!#REF!,"AAAAAFf++vY=")</f>
        <v>#REF!</v>
      </c>
      <c r="IN122" t="e">
        <f>AND(Liste!#REF!,"AAAAAFf++vc=")</f>
        <v>#REF!</v>
      </c>
      <c r="IO122" t="e">
        <f>AND(Liste!#REF!,"AAAAAFf++vg=")</f>
        <v>#REF!</v>
      </c>
      <c r="IP122" t="e">
        <f>AND(Liste!#REF!,"AAAAAFf++vk=")</f>
        <v>#REF!</v>
      </c>
      <c r="IQ122" t="e">
        <f>AND(Liste!#REF!,"AAAAAFf++vo=")</f>
        <v>#REF!</v>
      </c>
      <c r="IR122" t="e">
        <f>AND(Liste!#REF!,"AAAAAFf++vs=")</f>
        <v>#REF!</v>
      </c>
      <c r="IS122" t="e">
        <f>AND(Liste!#REF!,"AAAAAFf++vw=")</f>
        <v>#REF!</v>
      </c>
      <c r="IT122" t="e">
        <f>AND(Liste!#REF!,"AAAAAFf++v0=")</f>
        <v>#REF!</v>
      </c>
      <c r="IU122" t="e">
        <f>AND(Liste!#REF!,"AAAAAFf++v4=")</f>
        <v>#REF!</v>
      </c>
      <c r="IV122" t="e">
        <f>AND(Liste!#REF!,"AAAAAFf++v8=")</f>
        <v>#REF!</v>
      </c>
    </row>
    <row r="123" spans="1:256" x14ac:dyDescent="0.2">
      <c r="A123" t="e">
        <f>AND(Liste!#REF!,"AAAAAH/NLwA=")</f>
        <v>#REF!</v>
      </c>
      <c r="B123" t="e">
        <f>AND(Liste!#REF!,"AAAAAH/NLwE=")</f>
        <v>#REF!</v>
      </c>
      <c r="C123" t="e">
        <f>AND(Liste!#REF!,"AAAAAH/NLwI=")</f>
        <v>#REF!</v>
      </c>
      <c r="D123" t="e">
        <f>AND(Liste!#REF!,"AAAAAH/NLwM=")</f>
        <v>#REF!</v>
      </c>
      <c r="E123" t="e">
        <f>AND(Liste!#REF!,"AAAAAH/NLwQ=")</f>
        <v>#REF!</v>
      </c>
      <c r="F123" t="e">
        <f>AND(Liste!#REF!,"AAAAAH/NLwU=")</f>
        <v>#REF!</v>
      </c>
      <c r="G123" t="e">
        <f>AND(Liste!#REF!,"AAAAAH/NLwY=")</f>
        <v>#REF!</v>
      </c>
      <c r="H123" t="e">
        <f>AND(Liste!#REF!,"AAAAAH/NLwc=")</f>
        <v>#REF!</v>
      </c>
      <c r="I123" t="e">
        <f>AND(Liste!#REF!,"AAAAAH/NLwg=")</f>
        <v>#REF!</v>
      </c>
      <c r="J123" t="e">
        <f>AND(Liste!#REF!,"AAAAAH/NLwk=")</f>
        <v>#REF!</v>
      </c>
      <c r="K123" t="e">
        <f>AND(Liste!#REF!,"AAAAAH/NLwo=")</f>
        <v>#REF!</v>
      </c>
      <c r="L123" t="e">
        <f>AND(Liste!#REF!,"AAAAAH/NLws=")</f>
        <v>#REF!</v>
      </c>
      <c r="M123" t="e">
        <f>AND(Liste!#REF!,"AAAAAH/NLww=")</f>
        <v>#REF!</v>
      </c>
      <c r="N123" t="e">
        <f>AND(Liste!#REF!,"AAAAAH/NLw0=")</f>
        <v>#REF!</v>
      </c>
      <c r="O123" t="e">
        <f>AND(Liste!#REF!,"AAAAAH/NLw4=")</f>
        <v>#REF!</v>
      </c>
      <c r="P123" t="e">
        <f>AND(Liste!#REF!,"AAAAAH/NLw8=")</f>
        <v>#REF!</v>
      </c>
      <c r="Q123" t="e">
        <f>IF(Liste!#REF!,"AAAAAH/NLxA=",0)</f>
        <v>#REF!</v>
      </c>
      <c r="R123" t="e">
        <f>AND(Liste!#REF!,"AAAAAH/NLxE=")</f>
        <v>#REF!</v>
      </c>
      <c r="S123" t="e">
        <f>AND(Liste!#REF!,"AAAAAH/NLxI=")</f>
        <v>#REF!</v>
      </c>
      <c r="T123" t="e">
        <f>AND(Liste!#REF!,"AAAAAH/NLxM=")</f>
        <v>#REF!</v>
      </c>
      <c r="U123" t="e">
        <f>AND(Liste!#REF!,"AAAAAH/NLxQ=")</f>
        <v>#REF!</v>
      </c>
      <c r="V123" t="e">
        <f>AND(Liste!#REF!,"AAAAAH/NLxU=")</f>
        <v>#REF!</v>
      </c>
      <c r="W123" t="e">
        <f>AND(Liste!#REF!,"AAAAAH/NLxY=")</f>
        <v>#REF!</v>
      </c>
      <c r="X123" t="e">
        <f>AND(Liste!#REF!,"AAAAAH/NLxc=")</f>
        <v>#REF!</v>
      </c>
      <c r="Y123" t="e">
        <f>AND(Liste!#REF!,"AAAAAH/NLxg=")</f>
        <v>#REF!</v>
      </c>
      <c r="Z123" t="e">
        <f>AND(Liste!#REF!,"AAAAAH/NLxk=")</f>
        <v>#REF!</v>
      </c>
      <c r="AA123" t="e">
        <f>AND(Liste!#REF!,"AAAAAH/NLxo=")</f>
        <v>#REF!</v>
      </c>
      <c r="AB123" t="e">
        <f>AND(Liste!#REF!,"AAAAAH/NLxs=")</f>
        <v>#REF!</v>
      </c>
      <c r="AC123" t="e">
        <f>AND(Liste!#REF!,"AAAAAH/NLxw=")</f>
        <v>#REF!</v>
      </c>
      <c r="AD123" t="e">
        <f>AND(Liste!#REF!,"AAAAAH/NLx0=")</f>
        <v>#REF!</v>
      </c>
      <c r="AE123" t="e">
        <f>AND(Liste!#REF!,"AAAAAH/NLx4=")</f>
        <v>#REF!</v>
      </c>
      <c r="AF123" t="e">
        <f>AND(Liste!#REF!,"AAAAAH/NLx8=")</f>
        <v>#REF!</v>
      </c>
      <c r="AG123" t="e">
        <f>AND(Liste!#REF!,"AAAAAH/NLyA=")</f>
        <v>#REF!</v>
      </c>
      <c r="AH123" t="e">
        <f>AND(Liste!#REF!,"AAAAAH/NLyE=")</f>
        <v>#REF!</v>
      </c>
      <c r="AI123" t="e">
        <f>AND(Liste!#REF!,"AAAAAH/NLyI=")</f>
        <v>#REF!</v>
      </c>
      <c r="AJ123" t="e">
        <f>AND(Liste!#REF!,"AAAAAH/NLyM=")</f>
        <v>#REF!</v>
      </c>
      <c r="AK123" t="e">
        <f>AND(Liste!#REF!,"AAAAAH/NLyQ=")</f>
        <v>#REF!</v>
      </c>
      <c r="AL123" t="e">
        <f>AND(Liste!#REF!,"AAAAAH/NLyU=")</f>
        <v>#REF!</v>
      </c>
      <c r="AM123" t="e">
        <f>AND(Liste!#REF!,"AAAAAH/NLyY=")</f>
        <v>#REF!</v>
      </c>
      <c r="AN123" t="e">
        <f>AND(Liste!#REF!,"AAAAAH/NLyc=")</f>
        <v>#REF!</v>
      </c>
      <c r="AO123" t="e">
        <f>AND(Liste!#REF!,"AAAAAH/NLyg=")</f>
        <v>#REF!</v>
      </c>
      <c r="AP123" t="e">
        <f>AND(Liste!#REF!,"AAAAAH/NLyk=")</f>
        <v>#REF!</v>
      </c>
      <c r="AQ123" t="e">
        <f>AND(Liste!#REF!,"AAAAAH/NLyo=")</f>
        <v>#REF!</v>
      </c>
      <c r="AR123" t="e">
        <f>AND(Liste!#REF!,"AAAAAH/NLys=")</f>
        <v>#REF!</v>
      </c>
      <c r="AS123" t="e">
        <f>AND(Liste!#REF!,"AAAAAH/NLyw=")</f>
        <v>#REF!</v>
      </c>
      <c r="AT123" t="e">
        <f>AND(Liste!#REF!,"AAAAAH/NLy0=")</f>
        <v>#REF!</v>
      </c>
      <c r="AU123" t="e">
        <f>AND(Liste!#REF!,"AAAAAH/NLy4=")</f>
        <v>#REF!</v>
      </c>
      <c r="AV123" t="e">
        <f>IF(Liste!#REF!,"AAAAAH/NLy8=",0)</f>
        <v>#REF!</v>
      </c>
      <c r="AW123" t="e">
        <f>AND(Liste!#REF!,"AAAAAH/NLzA=")</f>
        <v>#REF!</v>
      </c>
      <c r="AX123" t="e">
        <f>AND(Liste!#REF!,"AAAAAH/NLzE=")</f>
        <v>#REF!</v>
      </c>
      <c r="AY123" t="e">
        <f>AND(Liste!#REF!,"AAAAAH/NLzI=")</f>
        <v>#REF!</v>
      </c>
      <c r="AZ123" t="e">
        <f>AND(Liste!#REF!,"AAAAAH/NLzM=")</f>
        <v>#REF!</v>
      </c>
      <c r="BA123" t="e">
        <f>AND(Liste!#REF!,"AAAAAH/NLzQ=")</f>
        <v>#REF!</v>
      </c>
      <c r="BB123" t="e">
        <f>AND(Liste!#REF!,"AAAAAH/NLzU=")</f>
        <v>#REF!</v>
      </c>
      <c r="BC123" t="e">
        <f>AND(Liste!#REF!,"AAAAAH/NLzY=")</f>
        <v>#REF!</v>
      </c>
      <c r="BD123" t="e">
        <f>AND(Liste!#REF!,"AAAAAH/NLzc=")</f>
        <v>#REF!</v>
      </c>
      <c r="BE123" t="e">
        <f>AND(Liste!#REF!,"AAAAAH/NLzg=")</f>
        <v>#REF!</v>
      </c>
      <c r="BF123" t="e">
        <f>AND(Liste!#REF!,"AAAAAH/NLzk=")</f>
        <v>#REF!</v>
      </c>
      <c r="BG123" t="e">
        <f>AND(Liste!#REF!,"AAAAAH/NLzo=")</f>
        <v>#REF!</v>
      </c>
      <c r="BH123" t="e">
        <f>AND(Liste!#REF!,"AAAAAH/NLzs=")</f>
        <v>#REF!</v>
      </c>
      <c r="BI123" t="e">
        <f>AND(Liste!#REF!,"AAAAAH/NLzw=")</f>
        <v>#REF!</v>
      </c>
      <c r="BJ123" t="e">
        <f>AND(Liste!#REF!,"AAAAAH/NLz0=")</f>
        <v>#REF!</v>
      </c>
      <c r="BK123" t="e">
        <f>AND(Liste!#REF!,"AAAAAH/NLz4=")</f>
        <v>#REF!</v>
      </c>
      <c r="BL123" t="e">
        <f>AND(Liste!#REF!,"AAAAAH/NLz8=")</f>
        <v>#REF!</v>
      </c>
      <c r="BM123" t="e">
        <f>AND(Liste!#REF!,"AAAAAH/NL0A=")</f>
        <v>#REF!</v>
      </c>
      <c r="BN123" t="e">
        <f>AND(Liste!#REF!,"AAAAAH/NL0E=")</f>
        <v>#REF!</v>
      </c>
      <c r="BO123" t="e">
        <f>AND(Liste!#REF!,"AAAAAH/NL0I=")</f>
        <v>#REF!</v>
      </c>
      <c r="BP123" t="e">
        <f>AND(Liste!#REF!,"AAAAAH/NL0M=")</f>
        <v>#REF!</v>
      </c>
      <c r="BQ123" t="e">
        <f>AND(Liste!#REF!,"AAAAAH/NL0Q=")</f>
        <v>#REF!</v>
      </c>
      <c r="BR123" t="e">
        <f>AND(Liste!#REF!,"AAAAAH/NL0U=")</f>
        <v>#REF!</v>
      </c>
      <c r="BS123" t="e">
        <f>AND(Liste!#REF!,"AAAAAH/NL0Y=")</f>
        <v>#REF!</v>
      </c>
      <c r="BT123" t="e">
        <f>AND(Liste!#REF!,"AAAAAH/NL0c=")</f>
        <v>#REF!</v>
      </c>
      <c r="BU123" t="e">
        <f>AND(Liste!#REF!,"AAAAAH/NL0g=")</f>
        <v>#REF!</v>
      </c>
      <c r="BV123" t="e">
        <f>AND(Liste!#REF!,"AAAAAH/NL0k=")</f>
        <v>#REF!</v>
      </c>
      <c r="BW123" t="e">
        <f>AND(Liste!#REF!,"AAAAAH/NL0o=")</f>
        <v>#REF!</v>
      </c>
      <c r="BX123" t="e">
        <f>AND(Liste!#REF!,"AAAAAH/NL0s=")</f>
        <v>#REF!</v>
      </c>
      <c r="BY123" t="e">
        <f>AND(Liste!#REF!,"AAAAAH/NL0w=")</f>
        <v>#REF!</v>
      </c>
      <c r="BZ123" t="e">
        <f>AND(Liste!#REF!,"AAAAAH/NL00=")</f>
        <v>#REF!</v>
      </c>
      <c r="CA123" t="e">
        <f>IF(Liste!#REF!,"AAAAAH/NL04=",0)</f>
        <v>#REF!</v>
      </c>
      <c r="CB123" t="e">
        <f>AND(Liste!#REF!,"AAAAAH/NL08=")</f>
        <v>#REF!</v>
      </c>
      <c r="CC123" t="e">
        <f>AND(Liste!#REF!,"AAAAAH/NL1A=")</f>
        <v>#REF!</v>
      </c>
      <c r="CD123" t="e">
        <f>AND(Liste!#REF!,"AAAAAH/NL1E=")</f>
        <v>#REF!</v>
      </c>
      <c r="CE123" t="e">
        <f>AND(Liste!#REF!,"AAAAAH/NL1I=")</f>
        <v>#REF!</v>
      </c>
      <c r="CF123" t="e">
        <f>AND(Liste!#REF!,"AAAAAH/NL1M=")</f>
        <v>#REF!</v>
      </c>
      <c r="CG123" t="e">
        <f>AND(Liste!#REF!,"AAAAAH/NL1Q=")</f>
        <v>#REF!</v>
      </c>
      <c r="CH123" t="e">
        <f>AND(Liste!#REF!,"AAAAAH/NL1U=")</f>
        <v>#REF!</v>
      </c>
      <c r="CI123" t="e">
        <f>AND(Liste!#REF!,"AAAAAH/NL1Y=")</f>
        <v>#REF!</v>
      </c>
      <c r="CJ123" t="e">
        <f>AND(Liste!#REF!,"AAAAAH/NL1c=")</f>
        <v>#REF!</v>
      </c>
      <c r="CK123" t="e">
        <f>AND(Liste!#REF!,"AAAAAH/NL1g=")</f>
        <v>#REF!</v>
      </c>
      <c r="CL123" t="e">
        <f>AND(Liste!#REF!,"AAAAAH/NL1k=")</f>
        <v>#REF!</v>
      </c>
      <c r="CM123" t="e">
        <f>AND(Liste!#REF!,"AAAAAH/NL1o=")</f>
        <v>#REF!</v>
      </c>
      <c r="CN123" t="e">
        <f>AND(Liste!#REF!,"AAAAAH/NL1s=")</f>
        <v>#REF!</v>
      </c>
      <c r="CO123" t="e">
        <f>AND(Liste!#REF!,"AAAAAH/NL1w=")</f>
        <v>#REF!</v>
      </c>
      <c r="CP123" t="e">
        <f>AND(Liste!#REF!,"AAAAAH/NL10=")</f>
        <v>#REF!</v>
      </c>
      <c r="CQ123" t="e">
        <f>AND(Liste!#REF!,"AAAAAH/NL14=")</f>
        <v>#REF!</v>
      </c>
      <c r="CR123" t="e">
        <f>AND(Liste!#REF!,"AAAAAH/NL18=")</f>
        <v>#REF!</v>
      </c>
      <c r="CS123" t="e">
        <f>AND(Liste!#REF!,"AAAAAH/NL2A=")</f>
        <v>#REF!</v>
      </c>
      <c r="CT123" t="e">
        <f>AND(Liste!#REF!,"AAAAAH/NL2E=")</f>
        <v>#REF!</v>
      </c>
      <c r="CU123" t="e">
        <f>AND(Liste!#REF!,"AAAAAH/NL2I=")</f>
        <v>#REF!</v>
      </c>
      <c r="CV123" t="e">
        <f>AND(Liste!#REF!,"AAAAAH/NL2M=")</f>
        <v>#REF!</v>
      </c>
      <c r="CW123" t="e">
        <f>AND(Liste!#REF!,"AAAAAH/NL2Q=")</f>
        <v>#REF!</v>
      </c>
      <c r="CX123" t="e">
        <f>AND(Liste!#REF!,"AAAAAH/NL2U=")</f>
        <v>#REF!</v>
      </c>
      <c r="CY123" t="e">
        <f>AND(Liste!#REF!,"AAAAAH/NL2Y=")</f>
        <v>#REF!</v>
      </c>
      <c r="CZ123" t="e">
        <f>AND(Liste!#REF!,"AAAAAH/NL2c=")</f>
        <v>#REF!</v>
      </c>
      <c r="DA123" t="e">
        <f>AND(Liste!#REF!,"AAAAAH/NL2g=")</f>
        <v>#REF!</v>
      </c>
      <c r="DB123" t="e">
        <f>AND(Liste!#REF!,"AAAAAH/NL2k=")</f>
        <v>#REF!</v>
      </c>
      <c r="DC123" t="e">
        <f>AND(Liste!#REF!,"AAAAAH/NL2o=")</f>
        <v>#REF!</v>
      </c>
      <c r="DD123" t="e">
        <f>AND(Liste!#REF!,"AAAAAH/NL2s=")</f>
        <v>#REF!</v>
      </c>
      <c r="DE123" t="e">
        <f>AND(Liste!#REF!,"AAAAAH/NL2w=")</f>
        <v>#REF!</v>
      </c>
      <c r="DF123" t="e">
        <f>IF(Liste!#REF!,"AAAAAH/NL20=",0)</f>
        <v>#REF!</v>
      </c>
      <c r="DG123" t="e">
        <f>AND(Liste!#REF!,"AAAAAH/NL24=")</f>
        <v>#REF!</v>
      </c>
      <c r="DH123" t="e">
        <f>AND(Liste!#REF!,"AAAAAH/NL28=")</f>
        <v>#REF!</v>
      </c>
      <c r="DI123" t="e">
        <f>AND(Liste!#REF!,"AAAAAH/NL3A=")</f>
        <v>#REF!</v>
      </c>
      <c r="DJ123" t="e">
        <f>AND(Liste!#REF!,"AAAAAH/NL3E=")</f>
        <v>#REF!</v>
      </c>
      <c r="DK123" t="e">
        <f>AND(Liste!#REF!,"AAAAAH/NL3I=")</f>
        <v>#REF!</v>
      </c>
      <c r="DL123" t="e">
        <f>AND(Liste!#REF!,"AAAAAH/NL3M=")</f>
        <v>#REF!</v>
      </c>
      <c r="DM123" t="e">
        <f>AND(Liste!#REF!,"AAAAAH/NL3Q=")</f>
        <v>#REF!</v>
      </c>
      <c r="DN123" t="e">
        <f>AND(Liste!#REF!,"AAAAAH/NL3U=")</f>
        <v>#REF!</v>
      </c>
      <c r="DO123" t="e">
        <f>AND(Liste!#REF!,"AAAAAH/NL3Y=")</f>
        <v>#REF!</v>
      </c>
      <c r="DP123" t="e">
        <f>AND(Liste!#REF!,"AAAAAH/NL3c=")</f>
        <v>#REF!</v>
      </c>
      <c r="DQ123" t="e">
        <f>AND(Liste!#REF!,"AAAAAH/NL3g=")</f>
        <v>#REF!</v>
      </c>
      <c r="DR123" t="e">
        <f>AND(Liste!#REF!,"AAAAAH/NL3k=")</f>
        <v>#REF!</v>
      </c>
      <c r="DS123" t="e">
        <f>AND(Liste!#REF!,"AAAAAH/NL3o=")</f>
        <v>#REF!</v>
      </c>
      <c r="DT123" t="e">
        <f>AND(Liste!#REF!,"AAAAAH/NL3s=")</f>
        <v>#REF!</v>
      </c>
      <c r="DU123" t="e">
        <f>AND(Liste!#REF!,"AAAAAH/NL3w=")</f>
        <v>#REF!</v>
      </c>
      <c r="DV123" t="e">
        <f>AND(Liste!#REF!,"AAAAAH/NL30=")</f>
        <v>#REF!</v>
      </c>
      <c r="DW123" t="e">
        <f>AND(Liste!#REF!,"AAAAAH/NL34=")</f>
        <v>#REF!</v>
      </c>
      <c r="DX123" t="e">
        <f>AND(Liste!#REF!,"AAAAAH/NL38=")</f>
        <v>#REF!</v>
      </c>
      <c r="DY123" t="e">
        <f>AND(Liste!#REF!,"AAAAAH/NL4A=")</f>
        <v>#REF!</v>
      </c>
      <c r="DZ123" t="e">
        <f>AND(Liste!#REF!,"AAAAAH/NL4E=")</f>
        <v>#REF!</v>
      </c>
      <c r="EA123" t="e">
        <f>AND(Liste!#REF!,"AAAAAH/NL4I=")</f>
        <v>#REF!</v>
      </c>
      <c r="EB123" t="e">
        <f>AND(Liste!#REF!,"AAAAAH/NL4M=")</f>
        <v>#REF!</v>
      </c>
      <c r="EC123" t="e">
        <f>AND(Liste!#REF!,"AAAAAH/NL4Q=")</f>
        <v>#REF!</v>
      </c>
      <c r="ED123" t="e">
        <f>AND(Liste!#REF!,"AAAAAH/NL4U=")</f>
        <v>#REF!</v>
      </c>
      <c r="EE123" t="e">
        <f>AND(Liste!#REF!,"AAAAAH/NL4Y=")</f>
        <v>#REF!</v>
      </c>
      <c r="EF123" t="e">
        <f>AND(Liste!#REF!,"AAAAAH/NL4c=")</f>
        <v>#REF!</v>
      </c>
      <c r="EG123" t="e">
        <f>AND(Liste!#REF!,"AAAAAH/NL4g=")</f>
        <v>#REF!</v>
      </c>
      <c r="EH123" t="e">
        <f>AND(Liste!#REF!,"AAAAAH/NL4k=")</f>
        <v>#REF!</v>
      </c>
      <c r="EI123" t="e">
        <f>AND(Liste!#REF!,"AAAAAH/NL4o=")</f>
        <v>#REF!</v>
      </c>
      <c r="EJ123" t="e">
        <f>AND(Liste!#REF!,"AAAAAH/NL4s=")</f>
        <v>#REF!</v>
      </c>
      <c r="EK123" t="e">
        <f>IF(Liste!#REF!,"AAAAAH/NL4w=",0)</f>
        <v>#REF!</v>
      </c>
      <c r="EL123" t="e">
        <f>AND(Liste!#REF!,"AAAAAH/NL40=")</f>
        <v>#REF!</v>
      </c>
      <c r="EM123" t="e">
        <f>AND(Liste!#REF!,"AAAAAH/NL44=")</f>
        <v>#REF!</v>
      </c>
      <c r="EN123" t="e">
        <f>AND(Liste!#REF!,"AAAAAH/NL48=")</f>
        <v>#REF!</v>
      </c>
      <c r="EO123" t="e">
        <f>AND(Liste!#REF!,"AAAAAH/NL5A=")</f>
        <v>#REF!</v>
      </c>
      <c r="EP123" t="e">
        <f>AND(Liste!#REF!,"AAAAAH/NL5E=")</f>
        <v>#REF!</v>
      </c>
      <c r="EQ123" t="e">
        <f>AND(Liste!#REF!,"AAAAAH/NL5I=")</f>
        <v>#REF!</v>
      </c>
      <c r="ER123" t="e">
        <f>AND(Liste!#REF!,"AAAAAH/NL5M=")</f>
        <v>#REF!</v>
      </c>
      <c r="ES123" t="e">
        <f>AND(Liste!#REF!,"AAAAAH/NL5Q=")</f>
        <v>#REF!</v>
      </c>
      <c r="ET123" t="e">
        <f>AND(Liste!#REF!,"AAAAAH/NL5U=")</f>
        <v>#REF!</v>
      </c>
      <c r="EU123" t="e">
        <f>AND(Liste!#REF!,"AAAAAH/NL5Y=")</f>
        <v>#REF!</v>
      </c>
      <c r="EV123" t="e">
        <f>AND(Liste!#REF!,"AAAAAH/NL5c=")</f>
        <v>#REF!</v>
      </c>
      <c r="EW123" t="e">
        <f>AND(Liste!#REF!,"AAAAAH/NL5g=")</f>
        <v>#REF!</v>
      </c>
      <c r="EX123" t="e">
        <f>AND(Liste!#REF!,"AAAAAH/NL5k=")</f>
        <v>#REF!</v>
      </c>
      <c r="EY123" t="e">
        <f>AND(Liste!#REF!,"AAAAAH/NL5o=")</f>
        <v>#REF!</v>
      </c>
      <c r="EZ123" t="e">
        <f>AND(Liste!#REF!,"AAAAAH/NL5s=")</f>
        <v>#REF!</v>
      </c>
      <c r="FA123" t="e">
        <f>AND(Liste!#REF!,"AAAAAH/NL5w=")</f>
        <v>#REF!</v>
      </c>
      <c r="FB123" t="e">
        <f>AND(Liste!#REF!,"AAAAAH/NL50=")</f>
        <v>#REF!</v>
      </c>
      <c r="FC123" t="e">
        <f>AND(Liste!#REF!,"AAAAAH/NL54=")</f>
        <v>#REF!</v>
      </c>
      <c r="FD123" t="e">
        <f>AND(Liste!#REF!,"AAAAAH/NL58=")</f>
        <v>#REF!</v>
      </c>
      <c r="FE123" t="e">
        <f>AND(Liste!#REF!,"AAAAAH/NL6A=")</f>
        <v>#REF!</v>
      </c>
      <c r="FF123" t="e">
        <f>AND(Liste!#REF!,"AAAAAH/NL6E=")</f>
        <v>#REF!</v>
      </c>
      <c r="FG123" t="e">
        <f>AND(Liste!#REF!,"AAAAAH/NL6I=")</f>
        <v>#REF!</v>
      </c>
      <c r="FH123" t="e">
        <f>AND(Liste!#REF!,"AAAAAH/NL6M=")</f>
        <v>#REF!</v>
      </c>
      <c r="FI123" t="e">
        <f>AND(Liste!#REF!,"AAAAAH/NL6Q=")</f>
        <v>#REF!</v>
      </c>
      <c r="FJ123" t="e">
        <f>AND(Liste!#REF!,"AAAAAH/NL6U=")</f>
        <v>#REF!</v>
      </c>
      <c r="FK123" t="e">
        <f>AND(Liste!#REF!,"AAAAAH/NL6Y=")</f>
        <v>#REF!</v>
      </c>
      <c r="FL123" t="e">
        <f>AND(Liste!#REF!,"AAAAAH/NL6c=")</f>
        <v>#REF!</v>
      </c>
      <c r="FM123" t="e">
        <f>AND(Liste!#REF!,"AAAAAH/NL6g=")</f>
        <v>#REF!</v>
      </c>
      <c r="FN123" t="e">
        <f>AND(Liste!#REF!,"AAAAAH/NL6k=")</f>
        <v>#REF!</v>
      </c>
      <c r="FO123" t="e">
        <f>AND(Liste!#REF!,"AAAAAH/NL6o=")</f>
        <v>#REF!</v>
      </c>
      <c r="FP123" t="e">
        <f>IF(Liste!#REF!,"AAAAAH/NL6s=",0)</f>
        <v>#REF!</v>
      </c>
      <c r="FQ123" t="e">
        <f>AND(Liste!#REF!,"AAAAAH/NL6w=")</f>
        <v>#REF!</v>
      </c>
      <c r="FR123" t="e">
        <f>AND(Liste!#REF!,"AAAAAH/NL60=")</f>
        <v>#REF!</v>
      </c>
      <c r="FS123" t="e">
        <f>AND(Liste!#REF!,"AAAAAH/NL64=")</f>
        <v>#REF!</v>
      </c>
      <c r="FT123" t="e">
        <f>AND(Liste!#REF!,"AAAAAH/NL68=")</f>
        <v>#REF!</v>
      </c>
      <c r="FU123" t="e">
        <f>AND(Liste!#REF!,"AAAAAH/NL7A=")</f>
        <v>#REF!</v>
      </c>
      <c r="FV123" t="e">
        <f>AND(Liste!#REF!,"AAAAAH/NL7E=")</f>
        <v>#REF!</v>
      </c>
      <c r="FW123" t="e">
        <f>AND(Liste!#REF!,"AAAAAH/NL7I=")</f>
        <v>#REF!</v>
      </c>
      <c r="FX123" t="e">
        <f>AND(Liste!#REF!,"AAAAAH/NL7M=")</f>
        <v>#REF!</v>
      </c>
      <c r="FY123" t="e">
        <f>AND(Liste!#REF!,"AAAAAH/NL7Q=")</f>
        <v>#REF!</v>
      </c>
      <c r="FZ123" t="e">
        <f>AND(Liste!#REF!,"AAAAAH/NL7U=")</f>
        <v>#REF!</v>
      </c>
      <c r="GA123" t="e">
        <f>AND(Liste!#REF!,"AAAAAH/NL7Y=")</f>
        <v>#REF!</v>
      </c>
      <c r="GB123" t="e">
        <f>AND(Liste!#REF!,"AAAAAH/NL7c=")</f>
        <v>#REF!</v>
      </c>
      <c r="GC123" t="e">
        <f>AND(Liste!#REF!,"AAAAAH/NL7g=")</f>
        <v>#REF!</v>
      </c>
      <c r="GD123" t="e">
        <f>AND(Liste!#REF!,"AAAAAH/NL7k=")</f>
        <v>#REF!</v>
      </c>
      <c r="GE123" t="e">
        <f>AND(Liste!#REF!,"AAAAAH/NL7o=")</f>
        <v>#REF!</v>
      </c>
      <c r="GF123" t="e">
        <f>AND(Liste!#REF!,"AAAAAH/NL7s=")</f>
        <v>#REF!</v>
      </c>
      <c r="GG123" t="e">
        <f>AND(Liste!#REF!,"AAAAAH/NL7w=")</f>
        <v>#REF!</v>
      </c>
      <c r="GH123" t="e">
        <f>AND(Liste!#REF!,"AAAAAH/NL70=")</f>
        <v>#REF!</v>
      </c>
      <c r="GI123" t="e">
        <f>AND(Liste!#REF!,"AAAAAH/NL74=")</f>
        <v>#REF!</v>
      </c>
      <c r="GJ123" t="e">
        <f>AND(Liste!#REF!,"AAAAAH/NL78=")</f>
        <v>#REF!</v>
      </c>
      <c r="GK123" t="e">
        <f>AND(Liste!#REF!,"AAAAAH/NL8A=")</f>
        <v>#REF!</v>
      </c>
      <c r="GL123" t="e">
        <f>AND(Liste!#REF!,"AAAAAH/NL8E=")</f>
        <v>#REF!</v>
      </c>
      <c r="GM123" t="e">
        <f>AND(Liste!#REF!,"AAAAAH/NL8I=")</f>
        <v>#REF!</v>
      </c>
      <c r="GN123" t="e">
        <f>AND(Liste!#REF!,"AAAAAH/NL8M=")</f>
        <v>#REF!</v>
      </c>
      <c r="GO123" t="e">
        <f>AND(Liste!#REF!,"AAAAAH/NL8Q=")</f>
        <v>#REF!</v>
      </c>
      <c r="GP123" t="e">
        <f>AND(Liste!#REF!,"AAAAAH/NL8U=")</f>
        <v>#REF!</v>
      </c>
      <c r="GQ123" t="e">
        <f>AND(Liste!#REF!,"AAAAAH/NL8Y=")</f>
        <v>#REF!</v>
      </c>
      <c r="GR123" t="e">
        <f>AND(Liste!#REF!,"AAAAAH/NL8c=")</f>
        <v>#REF!</v>
      </c>
      <c r="GS123" t="e">
        <f>AND(Liste!#REF!,"AAAAAH/NL8g=")</f>
        <v>#REF!</v>
      </c>
      <c r="GT123" t="e">
        <f>AND(Liste!#REF!,"AAAAAH/NL8k=")</f>
        <v>#REF!</v>
      </c>
      <c r="GU123" t="e">
        <f>IF(Liste!#REF!,"AAAAAH/NL8o=",0)</f>
        <v>#REF!</v>
      </c>
      <c r="GV123" t="e">
        <f>AND(Liste!#REF!,"AAAAAH/NL8s=")</f>
        <v>#REF!</v>
      </c>
      <c r="GW123" t="e">
        <f>AND(Liste!#REF!,"AAAAAH/NL8w=")</f>
        <v>#REF!</v>
      </c>
      <c r="GX123" t="e">
        <f>AND(Liste!#REF!,"AAAAAH/NL80=")</f>
        <v>#REF!</v>
      </c>
      <c r="GY123" t="e">
        <f>AND(Liste!#REF!,"AAAAAH/NL84=")</f>
        <v>#REF!</v>
      </c>
      <c r="GZ123" t="e">
        <f>AND(Liste!#REF!,"AAAAAH/NL88=")</f>
        <v>#REF!</v>
      </c>
      <c r="HA123" t="e">
        <f>AND(Liste!#REF!,"AAAAAH/NL9A=")</f>
        <v>#REF!</v>
      </c>
      <c r="HB123" t="e">
        <f>AND(Liste!#REF!,"AAAAAH/NL9E=")</f>
        <v>#REF!</v>
      </c>
      <c r="HC123" t="e">
        <f>AND(Liste!#REF!,"AAAAAH/NL9I=")</f>
        <v>#REF!</v>
      </c>
      <c r="HD123" t="e">
        <f>AND(Liste!#REF!,"AAAAAH/NL9M=")</f>
        <v>#REF!</v>
      </c>
      <c r="HE123" t="e">
        <f>AND(Liste!#REF!,"AAAAAH/NL9Q=")</f>
        <v>#REF!</v>
      </c>
      <c r="HF123" t="e">
        <f>AND(Liste!#REF!,"AAAAAH/NL9U=")</f>
        <v>#REF!</v>
      </c>
      <c r="HG123" t="e">
        <f>AND(Liste!#REF!,"AAAAAH/NL9Y=")</f>
        <v>#REF!</v>
      </c>
      <c r="HH123" t="e">
        <f>AND(Liste!#REF!,"AAAAAH/NL9c=")</f>
        <v>#REF!</v>
      </c>
      <c r="HI123" t="e">
        <f>AND(Liste!#REF!,"AAAAAH/NL9g=")</f>
        <v>#REF!</v>
      </c>
      <c r="HJ123" t="e">
        <f>AND(Liste!#REF!,"AAAAAH/NL9k=")</f>
        <v>#REF!</v>
      </c>
      <c r="HK123" t="e">
        <f>AND(Liste!#REF!,"AAAAAH/NL9o=")</f>
        <v>#REF!</v>
      </c>
      <c r="HL123" t="e">
        <f>AND(Liste!#REF!,"AAAAAH/NL9s=")</f>
        <v>#REF!</v>
      </c>
      <c r="HM123" t="e">
        <f>AND(Liste!#REF!,"AAAAAH/NL9w=")</f>
        <v>#REF!</v>
      </c>
      <c r="HN123" t="e">
        <f>AND(Liste!#REF!,"AAAAAH/NL90=")</f>
        <v>#REF!</v>
      </c>
      <c r="HO123" t="e">
        <f>AND(Liste!#REF!,"AAAAAH/NL94=")</f>
        <v>#REF!</v>
      </c>
      <c r="HP123" t="e">
        <f>AND(Liste!#REF!,"AAAAAH/NL98=")</f>
        <v>#REF!</v>
      </c>
      <c r="HQ123" t="e">
        <f>AND(Liste!#REF!,"AAAAAH/NL+A=")</f>
        <v>#REF!</v>
      </c>
      <c r="HR123" t="e">
        <f>AND(Liste!#REF!,"AAAAAH/NL+E=")</f>
        <v>#REF!</v>
      </c>
      <c r="HS123" t="e">
        <f>AND(Liste!#REF!,"AAAAAH/NL+I=")</f>
        <v>#REF!</v>
      </c>
      <c r="HT123" t="e">
        <f>AND(Liste!#REF!,"AAAAAH/NL+M=")</f>
        <v>#REF!</v>
      </c>
      <c r="HU123" t="e">
        <f>AND(Liste!#REF!,"AAAAAH/NL+Q=")</f>
        <v>#REF!</v>
      </c>
      <c r="HV123" t="e">
        <f>AND(Liste!#REF!,"AAAAAH/NL+U=")</f>
        <v>#REF!</v>
      </c>
      <c r="HW123" t="e">
        <f>AND(Liste!#REF!,"AAAAAH/NL+Y=")</f>
        <v>#REF!</v>
      </c>
      <c r="HX123" t="e">
        <f>AND(Liste!#REF!,"AAAAAH/NL+c=")</f>
        <v>#REF!</v>
      </c>
      <c r="HY123" t="e">
        <f>AND(Liste!#REF!,"AAAAAH/NL+g=")</f>
        <v>#REF!</v>
      </c>
      <c r="HZ123" t="e">
        <f>IF(Liste!#REF!,"AAAAAH/NL+k=",0)</f>
        <v>#REF!</v>
      </c>
      <c r="IA123" t="e">
        <f>AND(Liste!#REF!,"AAAAAH/NL+o=")</f>
        <v>#REF!</v>
      </c>
      <c r="IB123" t="e">
        <f>AND(Liste!#REF!,"AAAAAH/NL+s=")</f>
        <v>#REF!</v>
      </c>
      <c r="IC123" t="e">
        <f>AND(Liste!#REF!,"AAAAAH/NL+w=")</f>
        <v>#REF!</v>
      </c>
      <c r="ID123" t="e">
        <f>AND(Liste!#REF!,"AAAAAH/NL+0=")</f>
        <v>#REF!</v>
      </c>
      <c r="IE123" t="e">
        <f>AND(Liste!#REF!,"AAAAAH/NL+4=")</f>
        <v>#REF!</v>
      </c>
      <c r="IF123" t="e">
        <f>AND(Liste!#REF!,"AAAAAH/NL+8=")</f>
        <v>#REF!</v>
      </c>
      <c r="IG123" t="e">
        <f>AND(Liste!#REF!,"AAAAAH/NL/A=")</f>
        <v>#REF!</v>
      </c>
      <c r="IH123" t="e">
        <f>AND(Liste!#REF!,"AAAAAH/NL/E=")</f>
        <v>#REF!</v>
      </c>
      <c r="II123" t="e">
        <f>AND(Liste!#REF!,"AAAAAH/NL/I=")</f>
        <v>#REF!</v>
      </c>
      <c r="IJ123" t="e">
        <f>AND(Liste!#REF!,"AAAAAH/NL/M=")</f>
        <v>#REF!</v>
      </c>
      <c r="IK123" t="e">
        <f>AND(Liste!#REF!,"AAAAAH/NL/Q=")</f>
        <v>#REF!</v>
      </c>
      <c r="IL123" t="e">
        <f>AND(Liste!#REF!,"AAAAAH/NL/U=")</f>
        <v>#REF!</v>
      </c>
      <c r="IM123" t="e">
        <f>AND(Liste!#REF!,"AAAAAH/NL/Y=")</f>
        <v>#REF!</v>
      </c>
      <c r="IN123" t="e">
        <f>AND(Liste!#REF!,"AAAAAH/NL/c=")</f>
        <v>#REF!</v>
      </c>
      <c r="IO123" t="e">
        <f>AND(Liste!#REF!,"AAAAAH/NL/g=")</f>
        <v>#REF!</v>
      </c>
      <c r="IP123" t="e">
        <f>AND(Liste!#REF!,"AAAAAH/NL/k=")</f>
        <v>#REF!</v>
      </c>
      <c r="IQ123" t="e">
        <f>AND(Liste!#REF!,"AAAAAH/NL/o=")</f>
        <v>#REF!</v>
      </c>
      <c r="IR123" t="e">
        <f>AND(Liste!#REF!,"AAAAAH/NL/s=")</f>
        <v>#REF!</v>
      </c>
      <c r="IS123" t="e">
        <f>AND(Liste!#REF!,"AAAAAH/NL/w=")</f>
        <v>#REF!</v>
      </c>
      <c r="IT123" t="e">
        <f>AND(Liste!#REF!,"AAAAAH/NL/0=")</f>
        <v>#REF!</v>
      </c>
      <c r="IU123" t="e">
        <f>AND(Liste!#REF!,"AAAAAH/NL/4=")</f>
        <v>#REF!</v>
      </c>
      <c r="IV123" t="e">
        <f>AND(Liste!#REF!,"AAAAAH/NL/8=")</f>
        <v>#REF!</v>
      </c>
    </row>
    <row r="124" spans="1:256" x14ac:dyDescent="0.2">
      <c r="A124" t="e">
        <f>AND(Liste!#REF!,"AAAAAD9VvwA=")</f>
        <v>#REF!</v>
      </c>
      <c r="B124" t="e">
        <f>AND(Liste!#REF!,"AAAAAD9VvwE=")</f>
        <v>#REF!</v>
      </c>
      <c r="C124" t="e">
        <f>AND(Liste!#REF!,"AAAAAD9VvwI=")</f>
        <v>#REF!</v>
      </c>
      <c r="D124" t="e">
        <f>AND(Liste!#REF!,"AAAAAD9VvwM=")</f>
        <v>#REF!</v>
      </c>
      <c r="E124" t="e">
        <f>AND(Liste!#REF!,"AAAAAD9VvwQ=")</f>
        <v>#REF!</v>
      </c>
      <c r="F124" t="e">
        <f>AND(Liste!#REF!,"AAAAAD9VvwU=")</f>
        <v>#REF!</v>
      </c>
      <c r="G124" t="e">
        <f>AND(Liste!#REF!,"AAAAAD9VvwY=")</f>
        <v>#REF!</v>
      </c>
      <c r="H124" t="e">
        <f>AND(Liste!#REF!,"AAAAAD9Vvwc=")</f>
        <v>#REF!</v>
      </c>
      <c r="I124" t="e">
        <f>IF(Liste!#REF!,"AAAAAD9Vvwg=",0)</f>
        <v>#REF!</v>
      </c>
      <c r="J124" t="e">
        <f>AND(Liste!#REF!,"AAAAAD9Vvwk=")</f>
        <v>#REF!</v>
      </c>
      <c r="K124" t="e">
        <f>AND(Liste!#REF!,"AAAAAD9Vvwo=")</f>
        <v>#REF!</v>
      </c>
      <c r="L124" t="e">
        <f>AND(Liste!#REF!,"AAAAAD9Vvws=")</f>
        <v>#REF!</v>
      </c>
      <c r="M124" t="e">
        <f>AND(Liste!#REF!,"AAAAAD9Vvww=")</f>
        <v>#REF!</v>
      </c>
      <c r="N124" t="e">
        <f>AND(Liste!#REF!,"AAAAAD9Vvw0=")</f>
        <v>#REF!</v>
      </c>
      <c r="O124" t="e">
        <f>AND(Liste!#REF!,"AAAAAD9Vvw4=")</f>
        <v>#REF!</v>
      </c>
      <c r="P124" t="e">
        <f>AND(Liste!#REF!,"AAAAAD9Vvw8=")</f>
        <v>#REF!</v>
      </c>
      <c r="Q124" t="e">
        <f>AND(Liste!#REF!,"AAAAAD9VvxA=")</f>
        <v>#REF!</v>
      </c>
      <c r="R124" t="e">
        <f>AND(Liste!#REF!,"AAAAAD9VvxE=")</f>
        <v>#REF!</v>
      </c>
      <c r="S124" t="e">
        <f>AND(Liste!#REF!,"AAAAAD9VvxI=")</f>
        <v>#REF!</v>
      </c>
      <c r="T124" t="e">
        <f>AND(Liste!#REF!,"AAAAAD9VvxM=")</f>
        <v>#REF!</v>
      </c>
      <c r="U124" t="e">
        <f>AND(Liste!#REF!,"AAAAAD9VvxQ=")</f>
        <v>#REF!</v>
      </c>
      <c r="V124" t="e">
        <f>AND(Liste!#REF!,"AAAAAD9VvxU=")</f>
        <v>#REF!</v>
      </c>
      <c r="W124" t="e">
        <f>AND(Liste!#REF!,"AAAAAD9VvxY=")</f>
        <v>#REF!</v>
      </c>
      <c r="X124" t="e">
        <f>AND(Liste!#REF!,"AAAAAD9Vvxc=")</f>
        <v>#REF!</v>
      </c>
      <c r="Y124" t="e">
        <f>AND(Liste!#REF!,"AAAAAD9Vvxg=")</f>
        <v>#REF!</v>
      </c>
      <c r="Z124" t="e">
        <f>AND(Liste!#REF!,"AAAAAD9Vvxk=")</f>
        <v>#REF!</v>
      </c>
      <c r="AA124" t="e">
        <f>AND(Liste!#REF!,"AAAAAD9Vvxo=")</f>
        <v>#REF!</v>
      </c>
      <c r="AB124" t="e">
        <f>AND(Liste!#REF!,"AAAAAD9Vvxs=")</f>
        <v>#REF!</v>
      </c>
      <c r="AC124" t="e">
        <f>AND(Liste!#REF!,"AAAAAD9Vvxw=")</f>
        <v>#REF!</v>
      </c>
      <c r="AD124" t="e">
        <f>AND(Liste!#REF!,"AAAAAD9Vvx0=")</f>
        <v>#REF!</v>
      </c>
      <c r="AE124" t="e">
        <f>AND(Liste!#REF!,"AAAAAD9Vvx4=")</f>
        <v>#REF!</v>
      </c>
      <c r="AF124" t="e">
        <f>AND(Liste!#REF!,"AAAAAD9Vvx8=")</f>
        <v>#REF!</v>
      </c>
      <c r="AG124" t="e">
        <f>AND(Liste!#REF!,"AAAAAD9VvyA=")</f>
        <v>#REF!</v>
      </c>
      <c r="AH124" t="e">
        <f>AND(Liste!#REF!,"AAAAAD9VvyE=")</f>
        <v>#REF!</v>
      </c>
      <c r="AI124" t="e">
        <f>AND(Liste!#REF!,"AAAAAD9VvyI=")</f>
        <v>#REF!</v>
      </c>
      <c r="AJ124" t="e">
        <f>AND(Liste!#REF!,"AAAAAD9VvyM=")</f>
        <v>#REF!</v>
      </c>
      <c r="AK124" t="e">
        <f>AND(Liste!#REF!,"AAAAAD9VvyQ=")</f>
        <v>#REF!</v>
      </c>
      <c r="AL124" t="e">
        <f>AND(Liste!#REF!,"AAAAAD9VvyU=")</f>
        <v>#REF!</v>
      </c>
      <c r="AM124" t="e">
        <f>AND(Liste!#REF!,"AAAAAD9VvyY=")</f>
        <v>#REF!</v>
      </c>
      <c r="AN124" t="e">
        <f>IF(Liste!#REF!,"AAAAAD9Vvyc=",0)</f>
        <v>#REF!</v>
      </c>
      <c r="AO124" t="e">
        <f>AND(Liste!#REF!,"AAAAAD9Vvyg=")</f>
        <v>#REF!</v>
      </c>
      <c r="AP124" t="e">
        <f>AND(Liste!#REF!,"AAAAAD9Vvyk=")</f>
        <v>#REF!</v>
      </c>
      <c r="AQ124" t="e">
        <f>AND(Liste!#REF!,"AAAAAD9Vvyo=")</f>
        <v>#REF!</v>
      </c>
      <c r="AR124" t="e">
        <f>AND(Liste!#REF!,"AAAAAD9Vvys=")</f>
        <v>#REF!</v>
      </c>
      <c r="AS124" t="e">
        <f>AND(Liste!#REF!,"AAAAAD9Vvyw=")</f>
        <v>#REF!</v>
      </c>
      <c r="AT124" t="e">
        <f>AND(Liste!#REF!,"AAAAAD9Vvy0=")</f>
        <v>#REF!</v>
      </c>
      <c r="AU124" t="e">
        <f>AND(Liste!#REF!,"AAAAAD9Vvy4=")</f>
        <v>#REF!</v>
      </c>
      <c r="AV124" t="e">
        <f>AND(Liste!#REF!,"AAAAAD9Vvy8=")</f>
        <v>#REF!</v>
      </c>
      <c r="AW124" t="e">
        <f>AND(Liste!#REF!,"AAAAAD9VvzA=")</f>
        <v>#REF!</v>
      </c>
      <c r="AX124" t="e">
        <f>AND(Liste!#REF!,"AAAAAD9VvzE=")</f>
        <v>#REF!</v>
      </c>
      <c r="AY124" t="e">
        <f>AND(Liste!#REF!,"AAAAAD9VvzI=")</f>
        <v>#REF!</v>
      </c>
      <c r="AZ124" t="e">
        <f>AND(Liste!#REF!,"AAAAAD9VvzM=")</f>
        <v>#REF!</v>
      </c>
      <c r="BA124" t="e">
        <f>AND(Liste!#REF!,"AAAAAD9VvzQ=")</f>
        <v>#REF!</v>
      </c>
      <c r="BB124" t="e">
        <f>AND(Liste!#REF!,"AAAAAD9VvzU=")</f>
        <v>#REF!</v>
      </c>
      <c r="BC124" t="e">
        <f>AND(Liste!#REF!,"AAAAAD9VvzY=")</f>
        <v>#REF!</v>
      </c>
      <c r="BD124" t="e">
        <f>AND(Liste!#REF!,"AAAAAD9Vvzc=")</f>
        <v>#REF!</v>
      </c>
      <c r="BE124" t="e">
        <f>AND(Liste!#REF!,"AAAAAD9Vvzg=")</f>
        <v>#REF!</v>
      </c>
      <c r="BF124" t="e">
        <f>AND(Liste!#REF!,"AAAAAD9Vvzk=")</f>
        <v>#REF!</v>
      </c>
      <c r="BG124" t="e">
        <f>AND(Liste!#REF!,"AAAAAD9Vvzo=")</f>
        <v>#REF!</v>
      </c>
      <c r="BH124" t="e">
        <f>AND(Liste!#REF!,"AAAAAD9Vvzs=")</f>
        <v>#REF!</v>
      </c>
      <c r="BI124" t="e">
        <f>AND(Liste!#REF!,"AAAAAD9Vvzw=")</f>
        <v>#REF!</v>
      </c>
      <c r="BJ124" t="e">
        <f>AND(Liste!#REF!,"AAAAAD9Vvz0=")</f>
        <v>#REF!</v>
      </c>
      <c r="BK124" t="e">
        <f>AND(Liste!#REF!,"AAAAAD9Vvz4=")</f>
        <v>#REF!</v>
      </c>
      <c r="BL124" t="e">
        <f>AND(Liste!#REF!,"AAAAAD9Vvz8=")</f>
        <v>#REF!</v>
      </c>
      <c r="BM124" t="e">
        <f>AND(Liste!#REF!,"AAAAAD9Vv0A=")</f>
        <v>#REF!</v>
      </c>
      <c r="BN124" t="e">
        <f>AND(Liste!#REF!,"AAAAAD9Vv0E=")</f>
        <v>#REF!</v>
      </c>
      <c r="BO124" t="e">
        <f>AND(Liste!#REF!,"AAAAAD9Vv0I=")</f>
        <v>#REF!</v>
      </c>
      <c r="BP124" t="e">
        <f>AND(Liste!#REF!,"AAAAAD9Vv0M=")</f>
        <v>#REF!</v>
      </c>
      <c r="BQ124" t="e">
        <f>AND(Liste!#REF!,"AAAAAD9Vv0Q=")</f>
        <v>#REF!</v>
      </c>
      <c r="BR124" t="e">
        <f>AND(Liste!#REF!,"AAAAAD9Vv0U=")</f>
        <v>#REF!</v>
      </c>
      <c r="BS124" t="e">
        <f>IF(Liste!#REF!,"AAAAAD9Vv0Y=",0)</f>
        <v>#REF!</v>
      </c>
      <c r="BT124" t="e">
        <f>AND(Liste!#REF!,"AAAAAD9Vv0c=")</f>
        <v>#REF!</v>
      </c>
      <c r="BU124" t="e">
        <f>AND(Liste!#REF!,"AAAAAD9Vv0g=")</f>
        <v>#REF!</v>
      </c>
      <c r="BV124" t="e">
        <f>AND(Liste!#REF!,"AAAAAD9Vv0k=")</f>
        <v>#REF!</v>
      </c>
      <c r="BW124" t="e">
        <f>AND(Liste!#REF!,"AAAAAD9Vv0o=")</f>
        <v>#REF!</v>
      </c>
      <c r="BX124" t="e">
        <f>AND(Liste!#REF!,"AAAAAD9Vv0s=")</f>
        <v>#REF!</v>
      </c>
      <c r="BY124" t="e">
        <f>AND(Liste!#REF!,"AAAAAD9Vv0w=")</f>
        <v>#REF!</v>
      </c>
      <c r="BZ124" t="e">
        <f>AND(Liste!#REF!,"AAAAAD9Vv00=")</f>
        <v>#REF!</v>
      </c>
      <c r="CA124" t="e">
        <f>AND(Liste!#REF!,"AAAAAD9Vv04=")</f>
        <v>#REF!</v>
      </c>
      <c r="CB124" t="e">
        <f>AND(Liste!#REF!,"AAAAAD9Vv08=")</f>
        <v>#REF!</v>
      </c>
      <c r="CC124" t="e">
        <f>AND(Liste!#REF!,"AAAAAD9Vv1A=")</f>
        <v>#REF!</v>
      </c>
      <c r="CD124" t="e">
        <f>AND(Liste!#REF!,"AAAAAD9Vv1E=")</f>
        <v>#REF!</v>
      </c>
      <c r="CE124" t="e">
        <f>AND(Liste!#REF!,"AAAAAD9Vv1I=")</f>
        <v>#REF!</v>
      </c>
      <c r="CF124" t="e">
        <f>AND(Liste!#REF!,"AAAAAD9Vv1M=")</f>
        <v>#REF!</v>
      </c>
      <c r="CG124" t="e">
        <f>AND(Liste!#REF!,"AAAAAD9Vv1Q=")</f>
        <v>#REF!</v>
      </c>
      <c r="CH124" t="e">
        <f>AND(Liste!#REF!,"AAAAAD9Vv1U=")</f>
        <v>#REF!</v>
      </c>
      <c r="CI124" t="e">
        <f>AND(Liste!#REF!,"AAAAAD9Vv1Y=")</f>
        <v>#REF!</v>
      </c>
      <c r="CJ124" t="e">
        <f>AND(Liste!#REF!,"AAAAAD9Vv1c=")</f>
        <v>#REF!</v>
      </c>
      <c r="CK124" t="e">
        <f>AND(Liste!#REF!,"AAAAAD9Vv1g=")</f>
        <v>#REF!</v>
      </c>
      <c r="CL124" t="e">
        <f>AND(Liste!#REF!,"AAAAAD9Vv1k=")</f>
        <v>#REF!</v>
      </c>
      <c r="CM124" t="e">
        <f>AND(Liste!#REF!,"AAAAAD9Vv1o=")</f>
        <v>#REF!</v>
      </c>
      <c r="CN124" t="e">
        <f>AND(Liste!#REF!,"AAAAAD9Vv1s=")</f>
        <v>#REF!</v>
      </c>
      <c r="CO124" t="e">
        <f>AND(Liste!#REF!,"AAAAAD9Vv1w=")</f>
        <v>#REF!</v>
      </c>
      <c r="CP124" t="e">
        <f>AND(Liste!#REF!,"AAAAAD9Vv10=")</f>
        <v>#REF!</v>
      </c>
      <c r="CQ124" t="e">
        <f>AND(Liste!#REF!,"AAAAAD9Vv14=")</f>
        <v>#REF!</v>
      </c>
      <c r="CR124" t="e">
        <f>AND(Liste!#REF!,"AAAAAD9Vv18=")</f>
        <v>#REF!</v>
      </c>
      <c r="CS124" t="e">
        <f>AND(Liste!#REF!,"AAAAAD9Vv2A=")</f>
        <v>#REF!</v>
      </c>
      <c r="CT124" t="e">
        <f>AND(Liste!#REF!,"AAAAAD9Vv2E=")</f>
        <v>#REF!</v>
      </c>
      <c r="CU124" t="e">
        <f>AND(Liste!#REF!,"AAAAAD9Vv2I=")</f>
        <v>#REF!</v>
      </c>
      <c r="CV124" t="e">
        <f>AND(Liste!#REF!,"AAAAAD9Vv2M=")</f>
        <v>#REF!</v>
      </c>
      <c r="CW124" t="e">
        <f>AND(Liste!#REF!,"AAAAAD9Vv2Q=")</f>
        <v>#REF!</v>
      </c>
      <c r="CX124" t="e">
        <f>IF(Liste!#REF!,"AAAAAD9Vv2U=",0)</f>
        <v>#REF!</v>
      </c>
      <c r="CY124" t="e">
        <f>AND(Liste!#REF!,"AAAAAD9Vv2Y=")</f>
        <v>#REF!</v>
      </c>
      <c r="CZ124" t="e">
        <f>AND(Liste!#REF!,"AAAAAD9Vv2c=")</f>
        <v>#REF!</v>
      </c>
      <c r="DA124" t="e">
        <f>AND(Liste!#REF!,"AAAAAD9Vv2g=")</f>
        <v>#REF!</v>
      </c>
      <c r="DB124" t="e">
        <f>AND(Liste!#REF!,"AAAAAD9Vv2k=")</f>
        <v>#REF!</v>
      </c>
      <c r="DC124" t="e">
        <f>AND(Liste!#REF!,"AAAAAD9Vv2o=")</f>
        <v>#REF!</v>
      </c>
      <c r="DD124" t="e">
        <f>AND(Liste!#REF!,"AAAAAD9Vv2s=")</f>
        <v>#REF!</v>
      </c>
      <c r="DE124" t="e">
        <f>AND(Liste!#REF!,"AAAAAD9Vv2w=")</f>
        <v>#REF!</v>
      </c>
      <c r="DF124" t="e">
        <f>AND(Liste!#REF!,"AAAAAD9Vv20=")</f>
        <v>#REF!</v>
      </c>
      <c r="DG124" t="e">
        <f>AND(Liste!#REF!,"AAAAAD9Vv24=")</f>
        <v>#REF!</v>
      </c>
      <c r="DH124" t="e">
        <f>AND(Liste!#REF!,"AAAAAD9Vv28=")</f>
        <v>#REF!</v>
      </c>
      <c r="DI124" t="e">
        <f>AND(Liste!#REF!,"AAAAAD9Vv3A=")</f>
        <v>#REF!</v>
      </c>
      <c r="DJ124" t="e">
        <f>AND(Liste!#REF!,"AAAAAD9Vv3E=")</f>
        <v>#REF!</v>
      </c>
      <c r="DK124" t="e">
        <f>AND(Liste!#REF!,"AAAAAD9Vv3I=")</f>
        <v>#REF!</v>
      </c>
      <c r="DL124" t="e">
        <f>AND(Liste!#REF!,"AAAAAD9Vv3M=")</f>
        <v>#REF!</v>
      </c>
      <c r="DM124" t="e">
        <f>AND(Liste!#REF!,"AAAAAD9Vv3Q=")</f>
        <v>#REF!</v>
      </c>
      <c r="DN124" t="e">
        <f>AND(Liste!#REF!,"AAAAAD9Vv3U=")</f>
        <v>#REF!</v>
      </c>
      <c r="DO124" t="e">
        <f>AND(Liste!#REF!,"AAAAAD9Vv3Y=")</f>
        <v>#REF!</v>
      </c>
      <c r="DP124" t="e">
        <f>AND(Liste!#REF!,"AAAAAD9Vv3c=")</f>
        <v>#REF!</v>
      </c>
      <c r="DQ124" t="e">
        <f>AND(Liste!#REF!,"AAAAAD9Vv3g=")</f>
        <v>#REF!</v>
      </c>
      <c r="DR124" t="e">
        <f>AND(Liste!#REF!,"AAAAAD9Vv3k=")</f>
        <v>#REF!</v>
      </c>
      <c r="DS124" t="e">
        <f>AND(Liste!#REF!,"AAAAAD9Vv3o=")</f>
        <v>#REF!</v>
      </c>
      <c r="DT124" t="e">
        <f>AND(Liste!#REF!,"AAAAAD9Vv3s=")</f>
        <v>#REF!</v>
      </c>
      <c r="DU124" t="e">
        <f>AND(Liste!#REF!,"AAAAAD9Vv3w=")</f>
        <v>#REF!</v>
      </c>
      <c r="DV124" t="e">
        <f>AND(Liste!#REF!,"AAAAAD9Vv30=")</f>
        <v>#REF!</v>
      </c>
      <c r="DW124" t="e">
        <f>AND(Liste!#REF!,"AAAAAD9Vv34=")</f>
        <v>#REF!</v>
      </c>
      <c r="DX124" t="e">
        <f>AND(Liste!#REF!,"AAAAAD9Vv38=")</f>
        <v>#REF!</v>
      </c>
      <c r="DY124" t="e">
        <f>AND(Liste!#REF!,"AAAAAD9Vv4A=")</f>
        <v>#REF!</v>
      </c>
      <c r="DZ124" t="e">
        <f>AND(Liste!#REF!,"AAAAAD9Vv4E=")</f>
        <v>#REF!</v>
      </c>
      <c r="EA124" t="e">
        <f>AND(Liste!#REF!,"AAAAAD9Vv4I=")</f>
        <v>#REF!</v>
      </c>
      <c r="EB124" t="e">
        <f>AND(Liste!#REF!,"AAAAAD9Vv4M=")</f>
        <v>#REF!</v>
      </c>
      <c r="EC124" t="e">
        <f>IF(Liste!#REF!,"AAAAAD9Vv4Q=",0)</f>
        <v>#REF!</v>
      </c>
      <c r="ED124" t="e">
        <f>AND(Liste!#REF!,"AAAAAD9Vv4U=")</f>
        <v>#REF!</v>
      </c>
      <c r="EE124" t="e">
        <f>AND(Liste!#REF!,"AAAAAD9Vv4Y=")</f>
        <v>#REF!</v>
      </c>
      <c r="EF124" t="e">
        <f>AND(Liste!#REF!,"AAAAAD9Vv4c=")</f>
        <v>#REF!</v>
      </c>
      <c r="EG124" t="e">
        <f>AND(Liste!#REF!,"AAAAAD9Vv4g=")</f>
        <v>#REF!</v>
      </c>
      <c r="EH124" t="e">
        <f>AND(Liste!#REF!,"AAAAAD9Vv4k=")</f>
        <v>#REF!</v>
      </c>
      <c r="EI124" t="e">
        <f>AND(Liste!#REF!,"AAAAAD9Vv4o=")</f>
        <v>#REF!</v>
      </c>
      <c r="EJ124" t="e">
        <f>AND(Liste!#REF!,"AAAAAD9Vv4s=")</f>
        <v>#REF!</v>
      </c>
      <c r="EK124" t="e">
        <f>AND(Liste!#REF!,"AAAAAD9Vv4w=")</f>
        <v>#REF!</v>
      </c>
      <c r="EL124" t="e">
        <f>AND(Liste!#REF!,"AAAAAD9Vv40=")</f>
        <v>#REF!</v>
      </c>
      <c r="EM124" t="e">
        <f>AND(Liste!#REF!,"AAAAAD9Vv44=")</f>
        <v>#REF!</v>
      </c>
      <c r="EN124" t="e">
        <f>AND(Liste!#REF!,"AAAAAD9Vv48=")</f>
        <v>#REF!</v>
      </c>
      <c r="EO124" t="e">
        <f>AND(Liste!#REF!,"AAAAAD9Vv5A=")</f>
        <v>#REF!</v>
      </c>
      <c r="EP124" t="e">
        <f>AND(Liste!#REF!,"AAAAAD9Vv5E=")</f>
        <v>#REF!</v>
      </c>
      <c r="EQ124" t="e">
        <f>AND(Liste!#REF!,"AAAAAD9Vv5I=")</f>
        <v>#REF!</v>
      </c>
      <c r="ER124" t="e">
        <f>AND(Liste!#REF!,"AAAAAD9Vv5M=")</f>
        <v>#REF!</v>
      </c>
      <c r="ES124" t="e">
        <f>AND(Liste!#REF!,"AAAAAD9Vv5Q=")</f>
        <v>#REF!</v>
      </c>
      <c r="ET124" t="e">
        <f>AND(Liste!#REF!,"AAAAAD9Vv5U=")</f>
        <v>#REF!</v>
      </c>
      <c r="EU124" t="e">
        <f>AND(Liste!#REF!,"AAAAAD9Vv5Y=")</f>
        <v>#REF!</v>
      </c>
      <c r="EV124" t="e">
        <f>AND(Liste!#REF!,"AAAAAD9Vv5c=")</f>
        <v>#REF!</v>
      </c>
      <c r="EW124" t="e">
        <f>AND(Liste!#REF!,"AAAAAD9Vv5g=")</f>
        <v>#REF!</v>
      </c>
      <c r="EX124" t="e">
        <f>AND(Liste!#REF!,"AAAAAD9Vv5k=")</f>
        <v>#REF!</v>
      </c>
      <c r="EY124" t="e">
        <f>AND(Liste!#REF!,"AAAAAD9Vv5o=")</f>
        <v>#REF!</v>
      </c>
      <c r="EZ124" t="e">
        <f>AND(Liste!#REF!,"AAAAAD9Vv5s=")</f>
        <v>#REF!</v>
      </c>
      <c r="FA124" t="e">
        <f>AND(Liste!#REF!,"AAAAAD9Vv5w=")</f>
        <v>#REF!</v>
      </c>
      <c r="FB124" t="e">
        <f>AND(Liste!#REF!,"AAAAAD9Vv50=")</f>
        <v>#REF!</v>
      </c>
      <c r="FC124" t="e">
        <f>AND(Liste!#REF!,"AAAAAD9Vv54=")</f>
        <v>#REF!</v>
      </c>
      <c r="FD124" t="e">
        <f>AND(Liste!#REF!,"AAAAAD9Vv58=")</f>
        <v>#REF!</v>
      </c>
      <c r="FE124" t="e">
        <f>AND(Liste!#REF!,"AAAAAD9Vv6A=")</f>
        <v>#REF!</v>
      </c>
      <c r="FF124" t="e">
        <f>AND(Liste!#REF!,"AAAAAD9Vv6E=")</f>
        <v>#REF!</v>
      </c>
      <c r="FG124" t="e">
        <f>AND(Liste!#REF!,"AAAAAD9Vv6I=")</f>
        <v>#REF!</v>
      </c>
      <c r="FH124" t="e">
        <f>IF(Liste!#REF!,"AAAAAD9Vv6M=",0)</f>
        <v>#REF!</v>
      </c>
      <c r="FI124" t="e">
        <f>AND(Liste!#REF!,"AAAAAD9Vv6Q=")</f>
        <v>#REF!</v>
      </c>
      <c r="FJ124" t="e">
        <f>AND(Liste!#REF!,"AAAAAD9Vv6U=")</f>
        <v>#REF!</v>
      </c>
      <c r="FK124" t="e">
        <f>AND(Liste!#REF!,"AAAAAD9Vv6Y=")</f>
        <v>#REF!</v>
      </c>
      <c r="FL124" t="e">
        <f>AND(Liste!#REF!,"AAAAAD9Vv6c=")</f>
        <v>#REF!</v>
      </c>
      <c r="FM124" t="e">
        <f>AND(Liste!#REF!,"AAAAAD9Vv6g=")</f>
        <v>#REF!</v>
      </c>
      <c r="FN124" t="e">
        <f>AND(Liste!#REF!,"AAAAAD9Vv6k=")</f>
        <v>#REF!</v>
      </c>
      <c r="FO124" t="e">
        <f>AND(Liste!#REF!,"AAAAAD9Vv6o=")</f>
        <v>#REF!</v>
      </c>
      <c r="FP124" t="e">
        <f>AND(Liste!#REF!,"AAAAAD9Vv6s=")</f>
        <v>#REF!</v>
      </c>
      <c r="FQ124" t="e">
        <f>AND(Liste!#REF!,"AAAAAD9Vv6w=")</f>
        <v>#REF!</v>
      </c>
      <c r="FR124" t="e">
        <f>AND(Liste!#REF!,"AAAAAD9Vv60=")</f>
        <v>#REF!</v>
      </c>
      <c r="FS124" t="e">
        <f>AND(Liste!#REF!,"AAAAAD9Vv64=")</f>
        <v>#REF!</v>
      </c>
      <c r="FT124" t="e">
        <f>AND(Liste!#REF!,"AAAAAD9Vv68=")</f>
        <v>#REF!</v>
      </c>
      <c r="FU124" t="e">
        <f>AND(Liste!#REF!,"AAAAAD9Vv7A=")</f>
        <v>#REF!</v>
      </c>
      <c r="FV124" t="e">
        <f>AND(Liste!#REF!,"AAAAAD9Vv7E=")</f>
        <v>#REF!</v>
      </c>
      <c r="FW124" t="e">
        <f>AND(Liste!#REF!,"AAAAAD9Vv7I=")</f>
        <v>#REF!</v>
      </c>
      <c r="FX124" t="e">
        <f>AND(Liste!#REF!,"AAAAAD9Vv7M=")</f>
        <v>#REF!</v>
      </c>
      <c r="FY124" t="e">
        <f>AND(Liste!#REF!,"AAAAAD9Vv7Q=")</f>
        <v>#REF!</v>
      </c>
      <c r="FZ124" t="e">
        <f>AND(Liste!#REF!,"AAAAAD9Vv7U=")</f>
        <v>#REF!</v>
      </c>
      <c r="GA124" t="e">
        <f>AND(Liste!#REF!,"AAAAAD9Vv7Y=")</f>
        <v>#REF!</v>
      </c>
      <c r="GB124" t="e">
        <f>AND(Liste!#REF!,"AAAAAD9Vv7c=")</f>
        <v>#REF!</v>
      </c>
      <c r="GC124" t="e">
        <f>AND(Liste!#REF!,"AAAAAD9Vv7g=")</f>
        <v>#REF!</v>
      </c>
      <c r="GD124" t="e">
        <f>AND(Liste!#REF!,"AAAAAD9Vv7k=")</f>
        <v>#REF!</v>
      </c>
      <c r="GE124" t="e">
        <f>AND(Liste!#REF!,"AAAAAD9Vv7o=")</f>
        <v>#REF!</v>
      </c>
      <c r="GF124" t="e">
        <f>AND(Liste!#REF!,"AAAAAD9Vv7s=")</f>
        <v>#REF!</v>
      </c>
      <c r="GG124" t="e">
        <f>AND(Liste!#REF!,"AAAAAD9Vv7w=")</f>
        <v>#REF!</v>
      </c>
      <c r="GH124" t="e">
        <f>AND(Liste!#REF!,"AAAAAD9Vv70=")</f>
        <v>#REF!</v>
      </c>
      <c r="GI124" t="e">
        <f>AND(Liste!#REF!,"AAAAAD9Vv74=")</f>
        <v>#REF!</v>
      </c>
      <c r="GJ124" t="e">
        <f>AND(Liste!#REF!,"AAAAAD9Vv78=")</f>
        <v>#REF!</v>
      </c>
      <c r="GK124" t="e">
        <f>AND(Liste!#REF!,"AAAAAD9Vv8A=")</f>
        <v>#REF!</v>
      </c>
      <c r="GL124" t="e">
        <f>AND(Liste!#REF!,"AAAAAD9Vv8E=")</f>
        <v>#REF!</v>
      </c>
      <c r="GM124" t="e">
        <f>IF(Liste!#REF!,"AAAAAD9Vv8I=",0)</f>
        <v>#REF!</v>
      </c>
      <c r="GN124" t="e">
        <f>AND(Liste!#REF!,"AAAAAD9Vv8M=")</f>
        <v>#REF!</v>
      </c>
      <c r="GO124" t="e">
        <f>AND(Liste!#REF!,"AAAAAD9Vv8Q=")</f>
        <v>#REF!</v>
      </c>
      <c r="GP124" t="e">
        <f>AND(Liste!#REF!,"AAAAAD9Vv8U=")</f>
        <v>#REF!</v>
      </c>
      <c r="GQ124" t="e">
        <f>AND(Liste!#REF!,"AAAAAD9Vv8Y=")</f>
        <v>#REF!</v>
      </c>
      <c r="GR124" t="e">
        <f>AND(Liste!#REF!,"AAAAAD9Vv8c=")</f>
        <v>#REF!</v>
      </c>
      <c r="GS124" t="e">
        <f>AND(Liste!#REF!,"AAAAAD9Vv8g=")</f>
        <v>#REF!</v>
      </c>
      <c r="GT124" t="e">
        <f>AND(Liste!#REF!,"AAAAAD9Vv8k=")</f>
        <v>#REF!</v>
      </c>
      <c r="GU124" t="e">
        <f>AND(Liste!#REF!,"AAAAAD9Vv8o=")</f>
        <v>#REF!</v>
      </c>
      <c r="GV124" t="e">
        <f>AND(Liste!#REF!,"AAAAAD9Vv8s=")</f>
        <v>#REF!</v>
      </c>
      <c r="GW124" t="e">
        <f>AND(Liste!#REF!,"AAAAAD9Vv8w=")</f>
        <v>#REF!</v>
      </c>
      <c r="GX124" t="e">
        <f>AND(Liste!#REF!,"AAAAAD9Vv80=")</f>
        <v>#REF!</v>
      </c>
      <c r="GY124" t="e">
        <f>AND(Liste!#REF!,"AAAAAD9Vv84=")</f>
        <v>#REF!</v>
      </c>
      <c r="GZ124" t="e">
        <f>AND(Liste!#REF!,"AAAAAD9Vv88=")</f>
        <v>#REF!</v>
      </c>
      <c r="HA124" t="e">
        <f>AND(Liste!#REF!,"AAAAAD9Vv9A=")</f>
        <v>#REF!</v>
      </c>
      <c r="HB124" t="e">
        <f>AND(Liste!#REF!,"AAAAAD9Vv9E=")</f>
        <v>#REF!</v>
      </c>
      <c r="HC124" t="e">
        <f>AND(Liste!#REF!,"AAAAAD9Vv9I=")</f>
        <v>#REF!</v>
      </c>
      <c r="HD124" t="e">
        <f>AND(Liste!#REF!,"AAAAAD9Vv9M=")</f>
        <v>#REF!</v>
      </c>
      <c r="HE124" t="e">
        <f>AND(Liste!#REF!,"AAAAAD9Vv9Q=")</f>
        <v>#REF!</v>
      </c>
      <c r="HF124" t="e">
        <f>AND(Liste!#REF!,"AAAAAD9Vv9U=")</f>
        <v>#REF!</v>
      </c>
      <c r="HG124" t="e">
        <f>AND(Liste!#REF!,"AAAAAD9Vv9Y=")</f>
        <v>#REF!</v>
      </c>
      <c r="HH124" t="e">
        <f>AND(Liste!#REF!,"AAAAAD9Vv9c=")</f>
        <v>#REF!</v>
      </c>
      <c r="HI124" t="e">
        <f>AND(Liste!#REF!,"AAAAAD9Vv9g=")</f>
        <v>#REF!</v>
      </c>
      <c r="HJ124" t="e">
        <f>AND(Liste!#REF!,"AAAAAD9Vv9k=")</f>
        <v>#REF!</v>
      </c>
      <c r="HK124" t="e">
        <f>AND(Liste!#REF!,"AAAAAD9Vv9o=")</f>
        <v>#REF!</v>
      </c>
      <c r="HL124" t="e">
        <f>AND(Liste!#REF!,"AAAAAD9Vv9s=")</f>
        <v>#REF!</v>
      </c>
      <c r="HM124" t="e">
        <f>AND(Liste!#REF!,"AAAAAD9Vv9w=")</f>
        <v>#REF!</v>
      </c>
      <c r="HN124" t="e">
        <f>AND(Liste!#REF!,"AAAAAD9Vv90=")</f>
        <v>#REF!</v>
      </c>
      <c r="HO124" t="e">
        <f>AND(Liste!#REF!,"AAAAAD9Vv94=")</f>
        <v>#REF!</v>
      </c>
      <c r="HP124" t="e">
        <f>AND(Liste!#REF!,"AAAAAD9Vv98=")</f>
        <v>#REF!</v>
      </c>
      <c r="HQ124" t="e">
        <f>AND(Liste!#REF!,"AAAAAD9Vv+A=")</f>
        <v>#REF!</v>
      </c>
      <c r="HR124" t="e">
        <f>IF(Liste!#REF!,"AAAAAD9Vv+E=",0)</f>
        <v>#REF!</v>
      </c>
      <c r="HS124" t="e">
        <f>AND(Liste!#REF!,"AAAAAD9Vv+I=")</f>
        <v>#REF!</v>
      </c>
      <c r="HT124" t="e">
        <f>AND(Liste!#REF!,"AAAAAD9Vv+M=")</f>
        <v>#REF!</v>
      </c>
      <c r="HU124" t="e">
        <f>AND(Liste!#REF!,"AAAAAD9Vv+Q=")</f>
        <v>#REF!</v>
      </c>
      <c r="HV124" t="e">
        <f>AND(Liste!#REF!,"AAAAAD9Vv+U=")</f>
        <v>#REF!</v>
      </c>
      <c r="HW124" t="e">
        <f>AND(Liste!#REF!,"AAAAAD9Vv+Y=")</f>
        <v>#REF!</v>
      </c>
      <c r="HX124" t="e">
        <f>AND(Liste!#REF!,"AAAAAD9Vv+c=")</f>
        <v>#REF!</v>
      </c>
      <c r="HY124" t="e">
        <f>AND(Liste!#REF!,"AAAAAD9Vv+g=")</f>
        <v>#REF!</v>
      </c>
      <c r="HZ124" t="e">
        <f>AND(Liste!#REF!,"AAAAAD9Vv+k=")</f>
        <v>#REF!</v>
      </c>
      <c r="IA124" t="e">
        <f>AND(Liste!#REF!,"AAAAAD9Vv+o=")</f>
        <v>#REF!</v>
      </c>
      <c r="IB124" t="e">
        <f>AND(Liste!#REF!,"AAAAAD9Vv+s=")</f>
        <v>#REF!</v>
      </c>
      <c r="IC124" t="e">
        <f>AND(Liste!#REF!,"AAAAAD9Vv+w=")</f>
        <v>#REF!</v>
      </c>
      <c r="ID124" t="e">
        <f>AND(Liste!#REF!,"AAAAAD9Vv+0=")</f>
        <v>#REF!</v>
      </c>
      <c r="IE124" t="e">
        <f>AND(Liste!#REF!,"AAAAAD9Vv+4=")</f>
        <v>#REF!</v>
      </c>
      <c r="IF124" t="e">
        <f>AND(Liste!#REF!,"AAAAAD9Vv+8=")</f>
        <v>#REF!</v>
      </c>
      <c r="IG124" t="e">
        <f>AND(Liste!#REF!,"AAAAAD9Vv/A=")</f>
        <v>#REF!</v>
      </c>
      <c r="IH124" t="e">
        <f>AND(Liste!#REF!,"AAAAAD9Vv/E=")</f>
        <v>#REF!</v>
      </c>
      <c r="II124" t="e">
        <f>AND(Liste!#REF!,"AAAAAD9Vv/I=")</f>
        <v>#REF!</v>
      </c>
      <c r="IJ124" t="e">
        <f>AND(Liste!#REF!,"AAAAAD9Vv/M=")</f>
        <v>#REF!</v>
      </c>
      <c r="IK124" t="e">
        <f>AND(Liste!#REF!,"AAAAAD9Vv/Q=")</f>
        <v>#REF!</v>
      </c>
      <c r="IL124" t="e">
        <f>AND(Liste!#REF!,"AAAAAD9Vv/U=")</f>
        <v>#REF!</v>
      </c>
      <c r="IM124" t="e">
        <f>AND(Liste!#REF!,"AAAAAD9Vv/Y=")</f>
        <v>#REF!</v>
      </c>
      <c r="IN124" t="e">
        <f>AND(Liste!#REF!,"AAAAAD9Vv/c=")</f>
        <v>#REF!</v>
      </c>
      <c r="IO124" t="e">
        <f>AND(Liste!#REF!,"AAAAAD9Vv/g=")</f>
        <v>#REF!</v>
      </c>
      <c r="IP124" t="e">
        <f>AND(Liste!#REF!,"AAAAAD9Vv/k=")</f>
        <v>#REF!</v>
      </c>
      <c r="IQ124" t="e">
        <f>AND(Liste!#REF!,"AAAAAD9Vv/o=")</f>
        <v>#REF!</v>
      </c>
      <c r="IR124" t="e">
        <f>AND(Liste!#REF!,"AAAAAD9Vv/s=")</f>
        <v>#REF!</v>
      </c>
      <c r="IS124" t="e">
        <f>AND(Liste!#REF!,"AAAAAD9Vv/w=")</f>
        <v>#REF!</v>
      </c>
      <c r="IT124" t="e">
        <f>AND(Liste!#REF!,"AAAAAD9Vv/0=")</f>
        <v>#REF!</v>
      </c>
      <c r="IU124" t="e">
        <f>AND(Liste!#REF!,"AAAAAD9Vv/4=")</f>
        <v>#REF!</v>
      </c>
      <c r="IV124" t="e">
        <f>AND(Liste!#REF!,"AAAAAD9Vv/8=")</f>
        <v>#REF!</v>
      </c>
    </row>
    <row r="125" spans="1:256" x14ac:dyDescent="0.2">
      <c r="A125" t="e">
        <f>IF(Liste!#REF!,"AAAAAC99PwA=",0)</f>
        <v>#REF!</v>
      </c>
      <c r="B125" t="e">
        <f>AND(Liste!#REF!,"AAAAAC99PwE=")</f>
        <v>#REF!</v>
      </c>
      <c r="C125" t="e">
        <f>AND(Liste!#REF!,"AAAAAC99PwI=")</f>
        <v>#REF!</v>
      </c>
      <c r="D125" t="e">
        <f>AND(Liste!#REF!,"AAAAAC99PwM=")</f>
        <v>#REF!</v>
      </c>
      <c r="E125" t="e">
        <f>AND(Liste!#REF!,"AAAAAC99PwQ=")</f>
        <v>#REF!</v>
      </c>
      <c r="F125" t="e">
        <f>AND(Liste!#REF!,"AAAAAC99PwU=")</f>
        <v>#REF!</v>
      </c>
      <c r="G125" t="e">
        <f>AND(Liste!#REF!,"AAAAAC99PwY=")</f>
        <v>#REF!</v>
      </c>
      <c r="H125" t="e">
        <f>AND(Liste!#REF!,"AAAAAC99Pwc=")</f>
        <v>#REF!</v>
      </c>
      <c r="I125" t="e">
        <f>AND(Liste!#REF!,"AAAAAC99Pwg=")</f>
        <v>#REF!</v>
      </c>
      <c r="J125" t="e">
        <f>AND(Liste!#REF!,"AAAAAC99Pwk=")</f>
        <v>#REF!</v>
      </c>
      <c r="K125" t="e">
        <f>AND(Liste!#REF!,"AAAAAC99Pwo=")</f>
        <v>#REF!</v>
      </c>
      <c r="L125" t="e">
        <f>AND(Liste!#REF!,"AAAAAC99Pws=")</f>
        <v>#REF!</v>
      </c>
      <c r="M125" t="e">
        <f>AND(Liste!#REF!,"AAAAAC99Pww=")</f>
        <v>#REF!</v>
      </c>
      <c r="N125" t="e">
        <f>AND(Liste!#REF!,"AAAAAC99Pw0=")</f>
        <v>#REF!</v>
      </c>
      <c r="O125" t="e">
        <f>AND(Liste!#REF!,"AAAAAC99Pw4=")</f>
        <v>#REF!</v>
      </c>
      <c r="P125" t="e">
        <f>AND(Liste!#REF!,"AAAAAC99Pw8=")</f>
        <v>#REF!</v>
      </c>
      <c r="Q125" t="e">
        <f>AND(Liste!#REF!,"AAAAAC99PxA=")</f>
        <v>#REF!</v>
      </c>
      <c r="R125" t="e">
        <f>AND(Liste!#REF!,"AAAAAC99PxE=")</f>
        <v>#REF!</v>
      </c>
      <c r="S125" t="e">
        <f>AND(Liste!#REF!,"AAAAAC99PxI=")</f>
        <v>#REF!</v>
      </c>
      <c r="T125" t="e">
        <f>AND(Liste!#REF!,"AAAAAC99PxM=")</f>
        <v>#REF!</v>
      </c>
      <c r="U125" t="e">
        <f>AND(Liste!#REF!,"AAAAAC99PxQ=")</f>
        <v>#REF!</v>
      </c>
      <c r="V125" t="e">
        <f>AND(Liste!#REF!,"AAAAAC99PxU=")</f>
        <v>#REF!</v>
      </c>
      <c r="W125" t="e">
        <f>AND(Liste!#REF!,"AAAAAC99PxY=")</f>
        <v>#REF!</v>
      </c>
      <c r="X125" t="e">
        <f>AND(Liste!#REF!,"AAAAAC99Pxc=")</f>
        <v>#REF!</v>
      </c>
      <c r="Y125" t="e">
        <f>AND(Liste!#REF!,"AAAAAC99Pxg=")</f>
        <v>#REF!</v>
      </c>
      <c r="Z125" t="e">
        <f>AND(Liste!#REF!,"AAAAAC99Pxk=")</f>
        <v>#REF!</v>
      </c>
      <c r="AA125" t="e">
        <f>AND(Liste!#REF!,"AAAAAC99Pxo=")</f>
        <v>#REF!</v>
      </c>
      <c r="AB125" t="e">
        <f>AND(Liste!#REF!,"AAAAAC99Pxs=")</f>
        <v>#REF!</v>
      </c>
      <c r="AC125" t="e">
        <f>AND(Liste!#REF!,"AAAAAC99Pxw=")</f>
        <v>#REF!</v>
      </c>
      <c r="AD125" t="e">
        <f>AND(Liste!#REF!,"AAAAAC99Px0=")</f>
        <v>#REF!</v>
      </c>
      <c r="AE125" t="e">
        <f>AND(Liste!#REF!,"AAAAAC99Px4=")</f>
        <v>#REF!</v>
      </c>
      <c r="AF125" t="e">
        <f>IF(Liste!#REF!,"AAAAAC99Px8=",0)</f>
        <v>#REF!</v>
      </c>
      <c r="AG125" t="e">
        <f>AND(Liste!#REF!,"AAAAAC99PyA=")</f>
        <v>#REF!</v>
      </c>
      <c r="AH125" t="e">
        <f>AND(Liste!#REF!,"AAAAAC99PyE=")</f>
        <v>#REF!</v>
      </c>
      <c r="AI125" t="e">
        <f>AND(Liste!#REF!,"AAAAAC99PyI=")</f>
        <v>#REF!</v>
      </c>
      <c r="AJ125" t="e">
        <f>AND(Liste!#REF!,"AAAAAC99PyM=")</f>
        <v>#REF!</v>
      </c>
      <c r="AK125" t="e">
        <f>AND(Liste!#REF!,"AAAAAC99PyQ=")</f>
        <v>#REF!</v>
      </c>
      <c r="AL125" t="e">
        <f>AND(Liste!#REF!,"AAAAAC99PyU=")</f>
        <v>#REF!</v>
      </c>
      <c r="AM125" t="e">
        <f>AND(Liste!#REF!,"AAAAAC99PyY=")</f>
        <v>#REF!</v>
      </c>
      <c r="AN125" t="e">
        <f>AND(Liste!#REF!,"AAAAAC99Pyc=")</f>
        <v>#REF!</v>
      </c>
      <c r="AO125" t="e">
        <f>AND(Liste!#REF!,"AAAAAC99Pyg=")</f>
        <v>#REF!</v>
      </c>
      <c r="AP125" t="e">
        <f>AND(Liste!#REF!,"AAAAAC99Pyk=")</f>
        <v>#REF!</v>
      </c>
      <c r="AQ125" t="e">
        <f>AND(Liste!#REF!,"AAAAAC99Pyo=")</f>
        <v>#REF!</v>
      </c>
      <c r="AR125" t="e">
        <f>AND(Liste!#REF!,"AAAAAC99Pys=")</f>
        <v>#REF!</v>
      </c>
      <c r="AS125" t="e">
        <f>AND(Liste!#REF!,"AAAAAC99Pyw=")</f>
        <v>#REF!</v>
      </c>
      <c r="AT125" t="e">
        <f>AND(Liste!#REF!,"AAAAAC99Py0=")</f>
        <v>#REF!</v>
      </c>
      <c r="AU125" t="e">
        <f>AND(Liste!#REF!,"AAAAAC99Py4=")</f>
        <v>#REF!</v>
      </c>
      <c r="AV125" t="e">
        <f>AND(Liste!#REF!,"AAAAAC99Py8=")</f>
        <v>#REF!</v>
      </c>
      <c r="AW125" t="e">
        <f>AND(Liste!#REF!,"AAAAAC99PzA=")</f>
        <v>#REF!</v>
      </c>
      <c r="AX125" t="e">
        <f>AND(Liste!#REF!,"AAAAAC99PzE=")</f>
        <v>#REF!</v>
      </c>
      <c r="AY125" t="e">
        <f>AND(Liste!#REF!,"AAAAAC99PzI=")</f>
        <v>#REF!</v>
      </c>
      <c r="AZ125" t="e">
        <f>AND(Liste!#REF!,"AAAAAC99PzM=")</f>
        <v>#REF!</v>
      </c>
      <c r="BA125" t="e">
        <f>AND(Liste!#REF!,"AAAAAC99PzQ=")</f>
        <v>#REF!</v>
      </c>
      <c r="BB125" t="e">
        <f>AND(Liste!#REF!,"AAAAAC99PzU=")</f>
        <v>#REF!</v>
      </c>
      <c r="BC125" t="e">
        <f>AND(Liste!#REF!,"AAAAAC99PzY=")</f>
        <v>#REF!</v>
      </c>
      <c r="BD125" t="e">
        <f>AND(Liste!#REF!,"AAAAAC99Pzc=")</f>
        <v>#REF!</v>
      </c>
      <c r="BE125" t="e">
        <f>AND(Liste!#REF!,"AAAAAC99Pzg=")</f>
        <v>#REF!</v>
      </c>
      <c r="BF125" t="e">
        <f>AND(Liste!#REF!,"AAAAAC99Pzk=")</f>
        <v>#REF!</v>
      </c>
      <c r="BG125" t="e">
        <f>AND(Liste!#REF!,"AAAAAC99Pzo=")</f>
        <v>#REF!</v>
      </c>
      <c r="BH125" t="e">
        <f>AND(Liste!#REF!,"AAAAAC99Pzs=")</f>
        <v>#REF!</v>
      </c>
      <c r="BI125" t="e">
        <f>AND(Liste!#REF!,"AAAAAC99Pzw=")</f>
        <v>#REF!</v>
      </c>
      <c r="BJ125" t="e">
        <f>AND(Liste!#REF!,"AAAAAC99Pz0=")</f>
        <v>#REF!</v>
      </c>
      <c r="BK125" t="e">
        <f>IF(Liste!#REF!,"AAAAAC99Pz4=",0)</f>
        <v>#REF!</v>
      </c>
      <c r="BL125" t="e">
        <f>AND(Liste!#REF!,"AAAAAC99Pz8=")</f>
        <v>#REF!</v>
      </c>
      <c r="BM125" t="e">
        <f>AND(Liste!#REF!,"AAAAAC99P0A=")</f>
        <v>#REF!</v>
      </c>
      <c r="BN125" t="e">
        <f>AND(Liste!#REF!,"AAAAAC99P0E=")</f>
        <v>#REF!</v>
      </c>
      <c r="BO125" t="e">
        <f>AND(Liste!#REF!,"AAAAAC99P0I=")</f>
        <v>#REF!</v>
      </c>
      <c r="BP125" t="e">
        <f>AND(Liste!#REF!,"AAAAAC99P0M=")</f>
        <v>#REF!</v>
      </c>
      <c r="BQ125" t="e">
        <f>AND(Liste!#REF!,"AAAAAC99P0Q=")</f>
        <v>#REF!</v>
      </c>
      <c r="BR125" t="e">
        <f>AND(Liste!#REF!,"AAAAAC99P0U=")</f>
        <v>#REF!</v>
      </c>
      <c r="BS125" t="e">
        <f>AND(Liste!#REF!,"AAAAAC99P0Y=")</f>
        <v>#REF!</v>
      </c>
      <c r="BT125" t="e">
        <f>AND(Liste!#REF!,"AAAAAC99P0c=")</f>
        <v>#REF!</v>
      </c>
      <c r="BU125" t="e">
        <f>AND(Liste!#REF!,"AAAAAC99P0g=")</f>
        <v>#REF!</v>
      </c>
      <c r="BV125" t="e">
        <f>AND(Liste!#REF!,"AAAAAC99P0k=")</f>
        <v>#REF!</v>
      </c>
      <c r="BW125" t="e">
        <f>AND(Liste!#REF!,"AAAAAC99P0o=")</f>
        <v>#REF!</v>
      </c>
      <c r="BX125" t="e">
        <f>AND(Liste!#REF!,"AAAAAC99P0s=")</f>
        <v>#REF!</v>
      </c>
      <c r="BY125" t="e">
        <f>AND(Liste!#REF!,"AAAAAC99P0w=")</f>
        <v>#REF!</v>
      </c>
      <c r="BZ125" t="e">
        <f>AND(Liste!#REF!,"AAAAAC99P00=")</f>
        <v>#REF!</v>
      </c>
      <c r="CA125" t="e">
        <f>AND(Liste!#REF!,"AAAAAC99P04=")</f>
        <v>#REF!</v>
      </c>
      <c r="CB125" t="e">
        <f>AND(Liste!#REF!,"AAAAAC99P08=")</f>
        <v>#REF!</v>
      </c>
      <c r="CC125" t="e">
        <f>AND(Liste!#REF!,"AAAAAC99P1A=")</f>
        <v>#REF!</v>
      </c>
      <c r="CD125" t="e">
        <f>AND(Liste!#REF!,"AAAAAC99P1E=")</f>
        <v>#REF!</v>
      </c>
      <c r="CE125" t="e">
        <f>AND(Liste!#REF!,"AAAAAC99P1I=")</f>
        <v>#REF!</v>
      </c>
      <c r="CF125" t="e">
        <f>AND(Liste!#REF!,"AAAAAC99P1M=")</f>
        <v>#REF!</v>
      </c>
      <c r="CG125" t="e">
        <f>AND(Liste!#REF!,"AAAAAC99P1Q=")</f>
        <v>#REF!</v>
      </c>
      <c r="CH125" t="e">
        <f>AND(Liste!#REF!,"AAAAAC99P1U=")</f>
        <v>#REF!</v>
      </c>
      <c r="CI125" t="e">
        <f>AND(Liste!#REF!,"AAAAAC99P1Y=")</f>
        <v>#REF!</v>
      </c>
      <c r="CJ125" t="e">
        <f>AND(Liste!#REF!,"AAAAAC99P1c=")</f>
        <v>#REF!</v>
      </c>
      <c r="CK125" t="e">
        <f>AND(Liste!#REF!,"AAAAAC99P1g=")</f>
        <v>#REF!</v>
      </c>
      <c r="CL125" t="e">
        <f>AND(Liste!#REF!,"AAAAAC99P1k=")</f>
        <v>#REF!</v>
      </c>
      <c r="CM125" t="e">
        <f>AND(Liste!#REF!,"AAAAAC99P1o=")</f>
        <v>#REF!</v>
      </c>
      <c r="CN125" t="e">
        <f>AND(Liste!#REF!,"AAAAAC99P1s=")</f>
        <v>#REF!</v>
      </c>
      <c r="CO125" t="e">
        <f>AND(Liste!#REF!,"AAAAAC99P1w=")</f>
        <v>#REF!</v>
      </c>
      <c r="CP125" t="e">
        <f>IF(Liste!#REF!,"AAAAAC99P10=",0)</f>
        <v>#REF!</v>
      </c>
      <c r="CQ125" t="e">
        <f>AND(Liste!#REF!,"AAAAAC99P14=")</f>
        <v>#REF!</v>
      </c>
      <c r="CR125" t="e">
        <f>AND(Liste!#REF!,"AAAAAC99P18=")</f>
        <v>#REF!</v>
      </c>
      <c r="CS125" t="e">
        <f>AND(Liste!#REF!,"AAAAAC99P2A=")</f>
        <v>#REF!</v>
      </c>
      <c r="CT125" t="e">
        <f>AND(Liste!#REF!,"AAAAAC99P2E=")</f>
        <v>#REF!</v>
      </c>
      <c r="CU125" t="e">
        <f>AND(Liste!#REF!,"AAAAAC99P2I=")</f>
        <v>#REF!</v>
      </c>
      <c r="CV125" t="e">
        <f>AND(Liste!#REF!,"AAAAAC99P2M=")</f>
        <v>#REF!</v>
      </c>
      <c r="CW125" t="e">
        <f>AND(Liste!#REF!,"AAAAAC99P2Q=")</f>
        <v>#REF!</v>
      </c>
      <c r="CX125" t="e">
        <f>AND(Liste!#REF!,"AAAAAC99P2U=")</f>
        <v>#REF!</v>
      </c>
      <c r="CY125" t="e">
        <f>AND(Liste!#REF!,"AAAAAC99P2Y=")</f>
        <v>#REF!</v>
      </c>
      <c r="CZ125" t="e">
        <f>AND(Liste!#REF!,"AAAAAC99P2c=")</f>
        <v>#REF!</v>
      </c>
      <c r="DA125" t="e">
        <f>AND(Liste!#REF!,"AAAAAC99P2g=")</f>
        <v>#REF!</v>
      </c>
      <c r="DB125" t="e">
        <f>AND(Liste!#REF!,"AAAAAC99P2k=")</f>
        <v>#REF!</v>
      </c>
      <c r="DC125" t="e">
        <f>AND(Liste!#REF!,"AAAAAC99P2o=")</f>
        <v>#REF!</v>
      </c>
      <c r="DD125" t="e">
        <f>AND(Liste!#REF!,"AAAAAC99P2s=")</f>
        <v>#REF!</v>
      </c>
      <c r="DE125" t="e">
        <f>AND(Liste!#REF!,"AAAAAC99P2w=")</f>
        <v>#REF!</v>
      </c>
      <c r="DF125" t="e">
        <f>AND(Liste!#REF!,"AAAAAC99P20=")</f>
        <v>#REF!</v>
      </c>
      <c r="DG125" t="e">
        <f>AND(Liste!#REF!,"AAAAAC99P24=")</f>
        <v>#REF!</v>
      </c>
      <c r="DH125" t="e">
        <f>AND(Liste!#REF!,"AAAAAC99P28=")</f>
        <v>#REF!</v>
      </c>
      <c r="DI125" t="e">
        <f>AND(Liste!#REF!,"AAAAAC99P3A=")</f>
        <v>#REF!</v>
      </c>
      <c r="DJ125" t="e">
        <f>AND(Liste!#REF!,"AAAAAC99P3E=")</f>
        <v>#REF!</v>
      </c>
      <c r="DK125" t="e">
        <f>AND(Liste!#REF!,"AAAAAC99P3I=")</f>
        <v>#REF!</v>
      </c>
      <c r="DL125" t="e">
        <f>AND(Liste!#REF!,"AAAAAC99P3M=")</f>
        <v>#REF!</v>
      </c>
      <c r="DM125" t="e">
        <f>AND(Liste!#REF!,"AAAAAC99P3Q=")</f>
        <v>#REF!</v>
      </c>
      <c r="DN125" t="e">
        <f>AND(Liste!#REF!,"AAAAAC99P3U=")</f>
        <v>#REF!</v>
      </c>
      <c r="DO125" t="e">
        <f>AND(Liste!#REF!,"AAAAAC99P3Y=")</f>
        <v>#REF!</v>
      </c>
      <c r="DP125" t="e">
        <f>AND(Liste!#REF!,"AAAAAC99P3c=")</f>
        <v>#REF!</v>
      </c>
      <c r="DQ125" t="e">
        <f>AND(Liste!#REF!,"AAAAAC99P3g=")</f>
        <v>#REF!</v>
      </c>
      <c r="DR125" t="e">
        <f>AND(Liste!#REF!,"AAAAAC99P3k=")</f>
        <v>#REF!</v>
      </c>
      <c r="DS125" t="e">
        <f>AND(Liste!#REF!,"AAAAAC99P3o=")</f>
        <v>#REF!</v>
      </c>
      <c r="DT125" t="e">
        <f>AND(Liste!#REF!,"AAAAAC99P3s=")</f>
        <v>#REF!</v>
      </c>
      <c r="DU125" t="e">
        <f>IF(Liste!#REF!,"AAAAAC99P3w=",0)</f>
        <v>#REF!</v>
      </c>
      <c r="DV125" t="e">
        <f>AND(Liste!#REF!,"AAAAAC99P30=")</f>
        <v>#REF!</v>
      </c>
      <c r="DW125" t="e">
        <f>AND(Liste!#REF!,"AAAAAC99P34=")</f>
        <v>#REF!</v>
      </c>
      <c r="DX125" t="e">
        <f>AND(Liste!#REF!,"AAAAAC99P38=")</f>
        <v>#REF!</v>
      </c>
      <c r="DY125" t="e">
        <f>AND(Liste!#REF!,"AAAAAC99P4A=")</f>
        <v>#REF!</v>
      </c>
      <c r="DZ125" t="e">
        <f>AND(Liste!#REF!,"AAAAAC99P4E=")</f>
        <v>#REF!</v>
      </c>
      <c r="EA125" t="e">
        <f>AND(Liste!#REF!,"AAAAAC99P4I=")</f>
        <v>#REF!</v>
      </c>
      <c r="EB125" t="e">
        <f>AND(Liste!#REF!,"AAAAAC99P4M=")</f>
        <v>#REF!</v>
      </c>
      <c r="EC125" t="e">
        <f>AND(Liste!#REF!,"AAAAAC99P4Q=")</f>
        <v>#REF!</v>
      </c>
      <c r="ED125" t="e">
        <f>AND(Liste!#REF!,"AAAAAC99P4U=")</f>
        <v>#REF!</v>
      </c>
      <c r="EE125" t="e">
        <f>AND(Liste!#REF!,"AAAAAC99P4Y=")</f>
        <v>#REF!</v>
      </c>
      <c r="EF125" t="e">
        <f>AND(Liste!#REF!,"AAAAAC99P4c=")</f>
        <v>#REF!</v>
      </c>
      <c r="EG125" t="e">
        <f>AND(Liste!#REF!,"AAAAAC99P4g=")</f>
        <v>#REF!</v>
      </c>
      <c r="EH125" t="e">
        <f>AND(Liste!#REF!,"AAAAAC99P4k=")</f>
        <v>#REF!</v>
      </c>
      <c r="EI125" t="e">
        <f>AND(Liste!#REF!,"AAAAAC99P4o=")</f>
        <v>#REF!</v>
      </c>
      <c r="EJ125" t="e">
        <f>AND(Liste!#REF!,"AAAAAC99P4s=")</f>
        <v>#REF!</v>
      </c>
      <c r="EK125" t="e">
        <f>AND(Liste!#REF!,"AAAAAC99P4w=")</f>
        <v>#REF!</v>
      </c>
      <c r="EL125" t="e">
        <f>AND(Liste!#REF!,"AAAAAC99P40=")</f>
        <v>#REF!</v>
      </c>
      <c r="EM125" t="e">
        <f>AND(Liste!#REF!,"AAAAAC99P44=")</f>
        <v>#REF!</v>
      </c>
      <c r="EN125" t="e">
        <f>AND(Liste!#REF!,"AAAAAC99P48=")</f>
        <v>#REF!</v>
      </c>
      <c r="EO125" t="e">
        <f>AND(Liste!#REF!,"AAAAAC99P5A=")</f>
        <v>#REF!</v>
      </c>
      <c r="EP125" t="e">
        <f>AND(Liste!#REF!,"AAAAAC99P5E=")</f>
        <v>#REF!</v>
      </c>
      <c r="EQ125" t="e">
        <f>AND(Liste!#REF!,"AAAAAC99P5I=")</f>
        <v>#REF!</v>
      </c>
      <c r="ER125" t="e">
        <f>AND(Liste!#REF!,"AAAAAC99P5M=")</f>
        <v>#REF!</v>
      </c>
      <c r="ES125" t="e">
        <f>AND(Liste!#REF!,"AAAAAC99P5Q=")</f>
        <v>#REF!</v>
      </c>
      <c r="ET125" t="e">
        <f>AND(Liste!#REF!,"AAAAAC99P5U=")</f>
        <v>#REF!</v>
      </c>
      <c r="EU125" t="e">
        <f>AND(Liste!#REF!,"AAAAAC99P5Y=")</f>
        <v>#REF!</v>
      </c>
      <c r="EV125" t="e">
        <f>AND(Liste!#REF!,"AAAAAC99P5c=")</f>
        <v>#REF!</v>
      </c>
      <c r="EW125" t="e">
        <f>AND(Liste!#REF!,"AAAAAC99P5g=")</f>
        <v>#REF!</v>
      </c>
      <c r="EX125" t="e">
        <f>AND(Liste!#REF!,"AAAAAC99P5k=")</f>
        <v>#REF!</v>
      </c>
      <c r="EY125" t="e">
        <f>AND(Liste!#REF!,"AAAAAC99P5o=")</f>
        <v>#REF!</v>
      </c>
      <c r="EZ125" t="e">
        <f>IF(Liste!#REF!,"AAAAAC99P5s=",0)</f>
        <v>#REF!</v>
      </c>
      <c r="FA125" t="e">
        <f>AND(Liste!#REF!,"AAAAAC99P5w=")</f>
        <v>#REF!</v>
      </c>
      <c r="FB125" t="e">
        <f>AND(Liste!#REF!,"AAAAAC99P50=")</f>
        <v>#REF!</v>
      </c>
      <c r="FC125" t="e">
        <f>AND(Liste!#REF!,"AAAAAC99P54=")</f>
        <v>#REF!</v>
      </c>
      <c r="FD125" t="e">
        <f>AND(Liste!#REF!,"AAAAAC99P58=")</f>
        <v>#REF!</v>
      </c>
      <c r="FE125" t="e">
        <f>AND(Liste!#REF!,"AAAAAC99P6A=")</f>
        <v>#REF!</v>
      </c>
      <c r="FF125" t="e">
        <f>AND(Liste!#REF!,"AAAAAC99P6E=")</f>
        <v>#REF!</v>
      </c>
      <c r="FG125" t="e">
        <f>AND(Liste!#REF!,"AAAAAC99P6I=")</f>
        <v>#REF!</v>
      </c>
      <c r="FH125" t="e">
        <f>AND(Liste!#REF!,"AAAAAC99P6M=")</f>
        <v>#REF!</v>
      </c>
      <c r="FI125" t="e">
        <f>AND(Liste!#REF!,"AAAAAC99P6Q=")</f>
        <v>#REF!</v>
      </c>
      <c r="FJ125" t="e">
        <f>AND(Liste!#REF!,"AAAAAC99P6U=")</f>
        <v>#REF!</v>
      </c>
      <c r="FK125" t="e">
        <f>AND(Liste!#REF!,"AAAAAC99P6Y=")</f>
        <v>#REF!</v>
      </c>
      <c r="FL125" t="e">
        <f>AND(Liste!#REF!,"AAAAAC99P6c=")</f>
        <v>#REF!</v>
      </c>
      <c r="FM125" t="e">
        <f>AND(Liste!#REF!,"AAAAAC99P6g=")</f>
        <v>#REF!</v>
      </c>
      <c r="FN125" t="e">
        <f>AND(Liste!#REF!,"AAAAAC99P6k=")</f>
        <v>#REF!</v>
      </c>
      <c r="FO125" t="e">
        <f>AND(Liste!#REF!,"AAAAAC99P6o=")</f>
        <v>#REF!</v>
      </c>
      <c r="FP125" t="e">
        <f>AND(Liste!#REF!,"AAAAAC99P6s=")</f>
        <v>#REF!</v>
      </c>
      <c r="FQ125" t="e">
        <f>AND(Liste!#REF!,"AAAAAC99P6w=")</f>
        <v>#REF!</v>
      </c>
      <c r="FR125" t="e">
        <f>AND(Liste!#REF!,"AAAAAC99P60=")</f>
        <v>#REF!</v>
      </c>
      <c r="FS125" t="e">
        <f>AND(Liste!#REF!,"AAAAAC99P64=")</f>
        <v>#REF!</v>
      </c>
      <c r="FT125" t="e">
        <f>AND(Liste!#REF!,"AAAAAC99P68=")</f>
        <v>#REF!</v>
      </c>
      <c r="FU125" t="e">
        <f>AND(Liste!#REF!,"AAAAAC99P7A=")</f>
        <v>#REF!</v>
      </c>
      <c r="FV125" t="e">
        <f>AND(Liste!#REF!,"AAAAAC99P7E=")</f>
        <v>#REF!</v>
      </c>
      <c r="FW125" t="e">
        <f>AND(Liste!#REF!,"AAAAAC99P7I=")</f>
        <v>#REF!</v>
      </c>
      <c r="FX125" t="e">
        <f>AND(Liste!#REF!,"AAAAAC99P7M=")</f>
        <v>#REF!</v>
      </c>
      <c r="FY125" t="e">
        <f>AND(Liste!#REF!,"AAAAAC99P7Q=")</f>
        <v>#REF!</v>
      </c>
      <c r="FZ125" t="e">
        <f>AND(Liste!#REF!,"AAAAAC99P7U=")</f>
        <v>#REF!</v>
      </c>
      <c r="GA125" t="e">
        <f>AND(Liste!#REF!,"AAAAAC99P7Y=")</f>
        <v>#REF!</v>
      </c>
      <c r="GB125" t="e">
        <f>AND(Liste!#REF!,"AAAAAC99P7c=")</f>
        <v>#REF!</v>
      </c>
      <c r="GC125" t="e">
        <f>AND(Liste!#REF!,"AAAAAC99P7g=")</f>
        <v>#REF!</v>
      </c>
      <c r="GD125" t="e">
        <f>AND(Liste!#REF!,"AAAAAC99P7k=")</f>
        <v>#REF!</v>
      </c>
      <c r="GE125" t="e">
        <f>IF(Liste!#REF!,"AAAAAC99P7o=",0)</f>
        <v>#REF!</v>
      </c>
      <c r="GF125" t="e">
        <f>AND(Liste!#REF!,"AAAAAC99P7s=")</f>
        <v>#REF!</v>
      </c>
      <c r="GG125" t="e">
        <f>AND(Liste!#REF!,"AAAAAC99P7w=")</f>
        <v>#REF!</v>
      </c>
      <c r="GH125" t="e">
        <f>AND(Liste!#REF!,"AAAAAC99P70=")</f>
        <v>#REF!</v>
      </c>
      <c r="GI125" t="e">
        <f>AND(Liste!#REF!,"AAAAAC99P74=")</f>
        <v>#REF!</v>
      </c>
      <c r="GJ125" t="e">
        <f>AND(Liste!#REF!,"AAAAAC99P78=")</f>
        <v>#REF!</v>
      </c>
      <c r="GK125" t="e">
        <f>AND(Liste!#REF!,"AAAAAC99P8A=")</f>
        <v>#REF!</v>
      </c>
      <c r="GL125" t="e">
        <f>AND(Liste!#REF!,"AAAAAC99P8E=")</f>
        <v>#REF!</v>
      </c>
      <c r="GM125" t="e">
        <f>AND(Liste!#REF!,"AAAAAC99P8I=")</f>
        <v>#REF!</v>
      </c>
      <c r="GN125" t="e">
        <f>AND(Liste!#REF!,"AAAAAC99P8M=")</f>
        <v>#REF!</v>
      </c>
      <c r="GO125" t="e">
        <f>AND(Liste!#REF!,"AAAAAC99P8Q=")</f>
        <v>#REF!</v>
      </c>
      <c r="GP125" t="e">
        <f>AND(Liste!#REF!,"AAAAAC99P8U=")</f>
        <v>#REF!</v>
      </c>
      <c r="GQ125" t="e">
        <f>AND(Liste!#REF!,"AAAAAC99P8Y=")</f>
        <v>#REF!</v>
      </c>
      <c r="GR125" t="e">
        <f>AND(Liste!#REF!,"AAAAAC99P8c=")</f>
        <v>#REF!</v>
      </c>
      <c r="GS125" t="e">
        <f>AND(Liste!#REF!,"AAAAAC99P8g=")</f>
        <v>#REF!</v>
      </c>
      <c r="GT125" t="e">
        <f>AND(Liste!#REF!,"AAAAAC99P8k=")</f>
        <v>#REF!</v>
      </c>
      <c r="GU125" t="e">
        <f>AND(Liste!#REF!,"AAAAAC99P8o=")</f>
        <v>#REF!</v>
      </c>
      <c r="GV125" t="e">
        <f>AND(Liste!#REF!,"AAAAAC99P8s=")</f>
        <v>#REF!</v>
      </c>
      <c r="GW125" t="e">
        <f>AND(Liste!#REF!,"AAAAAC99P8w=")</f>
        <v>#REF!</v>
      </c>
      <c r="GX125" t="e">
        <f>AND(Liste!#REF!,"AAAAAC99P80=")</f>
        <v>#REF!</v>
      </c>
      <c r="GY125" t="e">
        <f>AND(Liste!#REF!,"AAAAAC99P84=")</f>
        <v>#REF!</v>
      </c>
      <c r="GZ125" t="e">
        <f>AND(Liste!#REF!,"AAAAAC99P88=")</f>
        <v>#REF!</v>
      </c>
      <c r="HA125" t="e">
        <f>AND(Liste!#REF!,"AAAAAC99P9A=")</f>
        <v>#REF!</v>
      </c>
      <c r="HB125" t="e">
        <f>AND(Liste!#REF!,"AAAAAC99P9E=")</f>
        <v>#REF!</v>
      </c>
      <c r="HC125" t="e">
        <f>AND(Liste!#REF!,"AAAAAC99P9I=")</f>
        <v>#REF!</v>
      </c>
      <c r="HD125" t="e">
        <f>AND(Liste!#REF!,"AAAAAC99P9M=")</f>
        <v>#REF!</v>
      </c>
      <c r="HE125" t="e">
        <f>AND(Liste!#REF!,"AAAAAC99P9Q=")</f>
        <v>#REF!</v>
      </c>
      <c r="HF125" t="e">
        <f>AND(Liste!#REF!,"AAAAAC99P9U=")</f>
        <v>#REF!</v>
      </c>
      <c r="HG125" t="e">
        <f>AND(Liste!#REF!,"AAAAAC99P9Y=")</f>
        <v>#REF!</v>
      </c>
      <c r="HH125" t="e">
        <f>AND(Liste!#REF!,"AAAAAC99P9c=")</f>
        <v>#REF!</v>
      </c>
      <c r="HI125" t="e">
        <f>AND(Liste!#REF!,"AAAAAC99P9g=")</f>
        <v>#REF!</v>
      </c>
      <c r="HJ125" t="e">
        <f>IF(Liste!#REF!,"AAAAAC99P9k=",0)</f>
        <v>#REF!</v>
      </c>
      <c r="HK125" t="e">
        <f>AND(Liste!#REF!,"AAAAAC99P9o=")</f>
        <v>#REF!</v>
      </c>
      <c r="HL125" t="e">
        <f>AND(Liste!#REF!,"AAAAAC99P9s=")</f>
        <v>#REF!</v>
      </c>
      <c r="HM125" t="e">
        <f>AND(Liste!#REF!,"AAAAAC99P9w=")</f>
        <v>#REF!</v>
      </c>
      <c r="HN125" t="e">
        <f>AND(Liste!#REF!,"AAAAAC99P90=")</f>
        <v>#REF!</v>
      </c>
      <c r="HO125" t="e">
        <f>AND(Liste!#REF!,"AAAAAC99P94=")</f>
        <v>#REF!</v>
      </c>
      <c r="HP125" t="e">
        <f>AND(Liste!#REF!,"AAAAAC99P98=")</f>
        <v>#REF!</v>
      </c>
      <c r="HQ125" t="e">
        <f>AND(Liste!#REF!,"AAAAAC99P+A=")</f>
        <v>#REF!</v>
      </c>
      <c r="HR125" t="e">
        <f>AND(Liste!#REF!,"AAAAAC99P+E=")</f>
        <v>#REF!</v>
      </c>
      <c r="HS125" t="e">
        <f>AND(Liste!#REF!,"AAAAAC99P+I=")</f>
        <v>#REF!</v>
      </c>
      <c r="HT125" t="e">
        <f>AND(Liste!#REF!,"AAAAAC99P+M=")</f>
        <v>#REF!</v>
      </c>
      <c r="HU125" t="e">
        <f>AND(Liste!#REF!,"AAAAAC99P+Q=")</f>
        <v>#REF!</v>
      </c>
      <c r="HV125" t="e">
        <f>AND(Liste!#REF!,"AAAAAC99P+U=")</f>
        <v>#REF!</v>
      </c>
      <c r="HW125" t="e">
        <f>AND(Liste!#REF!,"AAAAAC99P+Y=")</f>
        <v>#REF!</v>
      </c>
      <c r="HX125" t="e">
        <f>AND(Liste!#REF!,"AAAAAC99P+c=")</f>
        <v>#REF!</v>
      </c>
      <c r="HY125" t="e">
        <f>AND(Liste!#REF!,"AAAAAC99P+g=")</f>
        <v>#REF!</v>
      </c>
      <c r="HZ125" t="e">
        <f>AND(Liste!#REF!,"AAAAAC99P+k=")</f>
        <v>#REF!</v>
      </c>
      <c r="IA125" t="e">
        <f>AND(Liste!#REF!,"AAAAAC99P+o=")</f>
        <v>#REF!</v>
      </c>
      <c r="IB125" t="e">
        <f>AND(Liste!#REF!,"AAAAAC99P+s=")</f>
        <v>#REF!</v>
      </c>
      <c r="IC125" t="e">
        <f>AND(Liste!#REF!,"AAAAAC99P+w=")</f>
        <v>#REF!</v>
      </c>
      <c r="ID125" t="e">
        <f>AND(Liste!#REF!,"AAAAAC99P+0=")</f>
        <v>#REF!</v>
      </c>
      <c r="IE125" t="e">
        <f>AND(Liste!#REF!,"AAAAAC99P+4=")</f>
        <v>#REF!</v>
      </c>
      <c r="IF125" t="e">
        <f>AND(Liste!#REF!,"AAAAAC99P+8=")</f>
        <v>#REF!</v>
      </c>
      <c r="IG125" t="e">
        <f>AND(Liste!#REF!,"AAAAAC99P/A=")</f>
        <v>#REF!</v>
      </c>
      <c r="IH125" t="e">
        <f>AND(Liste!#REF!,"AAAAAC99P/E=")</f>
        <v>#REF!</v>
      </c>
      <c r="II125" t="e">
        <f>AND(Liste!#REF!,"AAAAAC99P/I=")</f>
        <v>#REF!</v>
      </c>
      <c r="IJ125" t="e">
        <f>AND(Liste!#REF!,"AAAAAC99P/M=")</f>
        <v>#REF!</v>
      </c>
      <c r="IK125" t="e">
        <f>AND(Liste!#REF!,"AAAAAC99P/Q=")</f>
        <v>#REF!</v>
      </c>
      <c r="IL125" t="e">
        <f>AND(Liste!#REF!,"AAAAAC99P/U=")</f>
        <v>#REF!</v>
      </c>
      <c r="IM125" t="e">
        <f>AND(Liste!#REF!,"AAAAAC99P/Y=")</f>
        <v>#REF!</v>
      </c>
      <c r="IN125" t="e">
        <f>AND(Liste!#REF!,"AAAAAC99P/c=")</f>
        <v>#REF!</v>
      </c>
      <c r="IO125" t="e">
        <f>IF(Liste!#REF!,"AAAAAC99P/g=",0)</f>
        <v>#REF!</v>
      </c>
      <c r="IP125" t="e">
        <f>AND(Liste!#REF!,"AAAAAC99P/k=")</f>
        <v>#REF!</v>
      </c>
      <c r="IQ125" t="e">
        <f>AND(Liste!#REF!,"AAAAAC99P/o=")</f>
        <v>#REF!</v>
      </c>
      <c r="IR125" t="e">
        <f>AND(Liste!#REF!,"AAAAAC99P/s=")</f>
        <v>#REF!</v>
      </c>
      <c r="IS125" t="e">
        <f>AND(Liste!#REF!,"AAAAAC99P/w=")</f>
        <v>#REF!</v>
      </c>
      <c r="IT125" t="e">
        <f>AND(Liste!#REF!,"AAAAAC99P/0=")</f>
        <v>#REF!</v>
      </c>
      <c r="IU125" t="e">
        <f>AND(Liste!#REF!,"AAAAAC99P/4=")</f>
        <v>#REF!</v>
      </c>
      <c r="IV125" t="e">
        <f>AND(Liste!#REF!,"AAAAAC99P/8=")</f>
        <v>#REF!</v>
      </c>
    </row>
    <row r="126" spans="1:256" x14ac:dyDescent="0.2">
      <c r="A126" t="e">
        <f>AND(Liste!#REF!,"AAAAAHXK8wA=")</f>
        <v>#REF!</v>
      </c>
      <c r="B126" t="e">
        <f>AND(Liste!#REF!,"AAAAAHXK8wE=")</f>
        <v>#REF!</v>
      </c>
      <c r="C126" t="e">
        <f>AND(Liste!#REF!,"AAAAAHXK8wI=")</f>
        <v>#REF!</v>
      </c>
      <c r="D126" t="e">
        <f>AND(Liste!#REF!,"AAAAAHXK8wM=")</f>
        <v>#REF!</v>
      </c>
      <c r="E126" t="e">
        <f>AND(Liste!#REF!,"AAAAAHXK8wQ=")</f>
        <v>#REF!</v>
      </c>
      <c r="F126" t="e">
        <f>AND(Liste!#REF!,"AAAAAHXK8wU=")</f>
        <v>#REF!</v>
      </c>
      <c r="G126" t="e">
        <f>AND(Liste!#REF!,"AAAAAHXK8wY=")</f>
        <v>#REF!</v>
      </c>
      <c r="H126" t="e">
        <f>AND(Liste!#REF!,"AAAAAHXK8wc=")</f>
        <v>#REF!</v>
      </c>
      <c r="I126" t="e">
        <f>AND(Liste!#REF!,"AAAAAHXK8wg=")</f>
        <v>#REF!</v>
      </c>
      <c r="J126" t="e">
        <f>AND(Liste!#REF!,"AAAAAHXK8wk=")</f>
        <v>#REF!</v>
      </c>
      <c r="K126" t="e">
        <f>AND(Liste!#REF!,"AAAAAHXK8wo=")</f>
        <v>#REF!</v>
      </c>
      <c r="L126" t="e">
        <f>AND(Liste!#REF!,"AAAAAHXK8ws=")</f>
        <v>#REF!</v>
      </c>
      <c r="M126" t="e">
        <f>AND(Liste!#REF!,"AAAAAHXK8ww=")</f>
        <v>#REF!</v>
      </c>
      <c r="N126" t="e">
        <f>AND(Liste!#REF!,"AAAAAHXK8w0=")</f>
        <v>#REF!</v>
      </c>
      <c r="O126" t="e">
        <f>AND(Liste!#REF!,"AAAAAHXK8w4=")</f>
        <v>#REF!</v>
      </c>
      <c r="P126" t="e">
        <f>AND(Liste!#REF!,"AAAAAHXK8w8=")</f>
        <v>#REF!</v>
      </c>
      <c r="Q126" t="e">
        <f>AND(Liste!#REF!,"AAAAAHXK8xA=")</f>
        <v>#REF!</v>
      </c>
      <c r="R126" t="e">
        <f>AND(Liste!#REF!,"AAAAAHXK8xE=")</f>
        <v>#REF!</v>
      </c>
      <c r="S126" t="e">
        <f>AND(Liste!#REF!,"AAAAAHXK8xI=")</f>
        <v>#REF!</v>
      </c>
      <c r="T126" t="e">
        <f>AND(Liste!#REF!,"AAAAAHXK8xM=")</f>
        <v>#REF!</v>
      </c>
      <c r="U126" t="e">
        <f>AND(Liste!#REF!,"AAAAAHXK8xQ=")</f>
        <v>#REF!</v>
      </c>
      <c r="V126" t="e">
        <f>AND(Liste!#REF!,"AAAAAHXK8xU=")</f>
        <v>#REF!</v>
      </c>
      <c r="W126" t="e">
        <f>AND(Liste!#REF!,"AAAAAHXK8xY=")</f>
        <v>#REF!</v>
      </c>
      <c r="X126" t="e">
        <f>IF(Liste!#REF!,"AAAAAHXK8xc=",0)</f>
        <v>#REF!</v>
      </c>
      <c r="Y126" t="e">
        <f>AND(Liste!#REF!,"AAAAAHXK8xg=")</f>
        <v>#REF!</v>
      </c>
      <c r="Z126" t="e">
        <f>AND(Liste!#REF!,"AAAAAHXK8xk=")</f>
        <v>#REF!</v>
      </c>
      <c r="AA126" t="e">
        <f>AND(Liste!#REF!,"AAAAAHXK8xo=")</f>
        <v>#REF!</v>
      </c>
      <c r="AB126" t="e">
        <f>AND(Liste!#REF!,"AAAAAHXK8xs=")</f>
        <v>#REF!</v>
      </c>
      <c r="AC126" t="e">
        <f>AND(Liste!#REF!,"AAAAAHXK8xw=")</f>
        <v>#REF!</v>
      </c>
      <c r="AD126" t="e">
        <f>AND(Liste!#REF!,"AAAAAHXK8x0=")</f>
        <v>#REF!</v>
      </c>
      <c r="AE126" t="e">
        <f>AND(Liste!#REF!,"AAAAAHXK8x4=")</f>
        <v>#REF!</v>
      </c>
      <c r="AF126" t="e">
        <f>AND(Liste!#REF!,"AAAAAHXK8x8=")</f>
        <v>#REF!</v>
      </c>
      <c r="AG126" t="e">
        <f>AND(Liste!#REF!,"AAAAAHXK8yA=")</f>
        <v>#REF!</v>
      </c>
      <c r="AH126" t="e">
        <f>AND(Liste!#REF!,"AAAAAHXK8yE=")</f>
        <v>#REF!</v>
      </c>
      <c r="AI126" t="e">
        <f>AND(Liste!#REF!,"AAAAAHXK8yI=")</f>
        <v>#REF!</v>
      </c>
      <c r="AJ126" t="e">
        <f>AND(Liste!#REF!,"AAAAAHXK8yM=")</f>
        <v>#REF!</v>
      </c>
      <c r="AK126" t="e">
        <f>AND(Liste!#REF!,"AAAAAHXK8yQ=")</f>
        <v>#REF!</v>
      </c>
      <c r="AL126" t="e">
        <f>AND(Liste!#REF!,"AAAAAHXK8yU=")</f>
        <v>#REF!</v>
      </c>
      <c r="AM126" t="e">
        <f>AND(Liste!#REF!,"AAAAAHXK8yY=")</f>
        <v>#REF!</v>
      </c>
      <c r="AN126" t="e">
        <f>AND(Liste!#REF!,"AAAAAHXK8yc=")</f>
        <v>#REF!</v>
      </c>
      <c r="AO126" t="e">
        <f>AND(Liste!#REF!,"AAAAAHXK8yg=")</f>
        <v>#REF!</v>
      </c>
      <c r="AP126" t="e">
        <f>AND(Liste!#REF!,"AAAAAHXK8yk=")</f>
        <v>#REF!</v>
      </c>
      <c r="AQ126" t="e">
        <f>AND(Liste!#REF!,"AAAAAHXK8yo=")</f>
        <v>#REF!</v>
      </c>
      <c r="AR126" t="e">
        <f>AND(Liste!#REF!,"AAAAAHXK8ys=")</f>
        <v>#REF!</v>
      </c>
      <c r="AS126" t="e">
        <f>AND(Liste!#REF!,"AAAAAHXK8yw=")</f>
        <v>#REF!</v>
      </c>
      <c r="AT126" t="e">
        <f>AND(Liste!#REF!,"AAAAAHXK8y0=")</f>
        <v>#REF!</v>
      </c>
      <c r="AU126" t="e">
        <f>AND(Liste!#REF!,"AAAAAHXK8y4=")</f>
        <v>#REF!</v>
      </c>
      <c r="AV126" t="e">
        <f>AND(Liste!#REF!,"AAAAAHXK8y8=")</f>
        <v>#REF!</v>
      </c>
      <c r="AW126" t="e">
        <f>AND(Liste!#REF!,"AAAAAHXK8zA=")</f>
        <v>#REF!</v>
      </c>
      <c r="AX126" t="e">
        <f>AND(Liste!#REF!,"AAAAAHXK8zE=")</f>
        <v>#REF!</v>
      </c>
      <c r="AY126" t="e">
        <f>AND(Liste!#REF!,"AAAAAHXK8zI=")</f>
        <v>#REF!</v>
      </c>
      <c r="AZ126" t="e">
        <f>AND(Liste!#REF!,"AAAAAHXK8zM=")</f>
        <v>#REF!</v>
      </c>
      <c r="BA126" t="e">
        <f>AND(Liste!#REF!,"AAAAAHXK8zQ=")</f>
        <v>#REF!</v>
      </c>
      <c r="BB126" t="e">
        <f>AND(Liste!#REF!,"AAAAAHXK8zU=")</f>
        <v>#REF!</v>
      </c>
      <c r="BC126" t="e">
        <f>IF(Liste!#REF!,"AAAAAHXK8zY=",0)</f>
        <v>#REF!</v>
      </c>
      <c r="BD126" t="e">
        <f>AND(Liste!#REF!,"AAAAAHXK8zc=")</f>
        <v>#REF!</v>
      </c>
      <c r="BE126" t="e">
        <f>AND(Liste!#REF!,"AAAAAHXK8zg=")</f>
        <v>#REF!</v>
      </c>
      <c r="BF126" t="e">
        <f>AND(Liste!#REF!,"AAAAAHXK8zk=")</f>
        <v>#REF!</v>
      </c>
      <c r="BG126" t="e">
        <f>AND(Liste!#REF!,"AAAAAHXK8zo=")</f>
        <v>#REF!</v>
      </c>
      <c r="BH126" t="e">
        <f>AND(Liste!#REF!,"AAAAAHXK8zs=")</f>
        <v>#REF!</v>
      </c>
      <c r="BI126" t="e">
        <f>AND(Liste!#REF!,"AAAAAHXK8zw=")</f>
        <v>#REF!</v>
      </c>
      <c r="BJ126" t="e">
        <f>AND(Liste!#REF!,"AAAAAHXK8z0=")</f>
        <v>#REF!</v>
      </c>
      <c r="BK126" t="e">
        <f>AND(Liste!#REF!,"AAAAAHXK8z4=")</f>
        <v>#REF!</v>
      </c>
      <c r="BL126" t="e">
        <f>AND(Liste!#REF!,"AAAAAHXK8z8=")</f>
        <v>#REF!</v>
      </c>
      <c r="BM126" t="e">
        <f>AND(Liste!#REF!,"AAAAAHXK80A=")</f>
        <v>#REF!</v>
      </c>
      <c r="BN126" t="e">
        <f>AND(Liste!#REF!,"AAAAAHXK80E=")</f>
        <v>#REF!</v>
      </c>
      <c r="BO126" t="e">
        <f>AND(Liste!#REF!,"AAAAAHXK80I=")</f>
        <v>#REF!</v>
      </c>
      <c r="BP126" t="e">
        <f>AND(Liste!#REF!,"AAAAAHXK80M=")</f>
        <v>#REF!</v>
      </c>
      <c r="BQ126" t="e">
        <f>AND(Liste!#REF!,"AAAAAHXK80Q=")</f>
        <v>#REF!</v>
      </c>
      <c r="BR126" t="e">
        <f>AND(Liste!#REF!,"AAAAAHXK80U=")</f>
        <v>#REF!</v>
      </c>
      <c r="BS126" t="e">
        <f>AND(Liste!#REF!,"AAAAAHXK80Y=")</f>
        <v>#REF!</v>
      </c>
      <c r="BT126" t="e">
        <f>AND(Liste!#REF!,"AAAAAHXK80c=")</f>
        <v>#REF!</v>
      </c>
      <c r="BU126" t="e">
        <f>AND(Liste!#REF!,"AAAAAHXK80g=")</f>
        <v>#REF!</v>
      </c>
      <c r="BV126" t="e">
        <f>AND(Liste!#REF!,"AAAAAHXK80k=")</f>
        <v>#REF!</v>
      </c>
      <c r="BW126" t="e">
        <f>AND(Liste!#REF!,"AAAAAHXK80o=")</f>
        <v>#REF!</v>
      </c>
      <c r="BX126" t="e">
        <f>AND(Liste!#REF!,"AAAAAHXK80s=")</f>
        <v>#REF!</v>
      </c>
      <c r="BY126" t="e">
        <f>AND(Liste!#REF!,"AAAAAHXK80w=")</f>
        <v>#REF!</v>
      </c>
      <c r="BZ126" t="e">
        <f>AND(Liste!#REF!,"AAAAAHXK800=")</f>
        <v>#REF!</v>
      </c>
      <c r="CA126" t="e">
        <f>AND(Liste!#REF!,"AAAAAHXK804=")</f>
        <v>#REF!</v>
      </c>
      <c r="CB126" t="e">
        <f>AND(Liste!#REF!,"AAAAAHXK808=")</f>
        <v>#REF!</v>
      </c>
      <c r="CC126" t="e">
        <f>AND(Liste!#REF!,"AAAAAHXK81A=")</f>
        <v>#REF!</v>
      </c>
      <c r="CD126" t="e">
        <f>AND(Liste!#REF!,"AAAAAHXK81E=")</f>
        <v>#REF!</v>
      </c>
      <c r="CE126" t="e">
        <f>AND(Liste!#REF!,"AAAAAHXK81I=")</f>
        <v>#REF!</v>
      </c>
      <c r="CF126" t="e">
        <f>AND(Liste!#REF!,"AAAAAHXK81M=")</f>
        <v>#REF!</v>
      </c>
      <c r="CG126" t="e">
        <f>AND(Liste!#REF!,"AAAAAHXK81Q=")</f>
        <v>#REF!</v>
      </c>
      <c r="CH126" t="e">
        <f>IF(Liste!#REF!,"AAAAAHXK81U=",0)</f>
        <v>#REF!</v>
      </c>
      <c r="CI126" t="e">
        <f>AND(Liste!#REF!,"AAAAAHXK81Y=")</f>
        <v>#REF!</v>
      </c>
      <c r="CJ126" t="e">
        <f>AND(Liste!#REF!,"AAAAAHXK81c=")</f>
        <v>#REF!</v>
      </c>
      <c r="CK126" t="e">
        <f>AND(Liste!#REF!,"AAAAAHXK81g=")</f>
        <v>#REF!</v>
      </c>
      <c r="CL126" t="e">
        <f>AND(Liste!#REF!,"AAAAAHXK81k=")</f>
        <v>#REF!</v>
      </c>
      <c r="CM126" t="e">
        <f>AND(Liste!#REF!,"AAAAAHXK81o=")</f>
        <v>#REF!</v>
      </c>
      <c r="CN126" t="e">
        <f>AND(Liste!#REF!,"AAAAAHXK81s=")</f>
        <v>#REF!</v>
      </c>
      <c r="CO126" t="e">
        <f>AND(Liste!#REF!,"AAAAAHXK81w=")</f>
        <v>#REF!</v>
      </c>
      <c r="CP126" t="e">
        <f>AND(Liste!#REF!,"AAAAAHXK810=")</f>
        <v>#REF!</v>
      </c>
      <c r="CQ126" t="e">
        <f>AND(Liste!#REF!,"AAAAAHXK814=")</f>
        <v>#REF!</v>
      </c>
      <c r="CR126" t="e">
        <f>AND(Liste!#REF!,"AAAAAHXK818=")</f>
        <v>#REF!</v>
      </c>
      <c r="CS126" t="e">
        <f>AND(Liste!#REF!,"AAAAAHXK82A=")</f>
        <v>#REF!</v>
      </c>
      <c r="CT126" t="e">
        <f>AND(Liste!#REF!,"AAAAAHXK82E=")</f>
        <v>#REF!</v>
      </c>
      <c r="CU126" t="e">
        <f>AND(Liste!#REF!,"AAAAAHXK82I=")</f>
        <v>#REF!</v>
      </c>
      <c r="CV126" t="e">
        <f>AND(Liste!#REF!,"AAAAAHXK82M=")</f>
        <v>#REF!</v>
      </c>
      <c r="CW126" t="e">
        <f>AND(Liste!#REF!,"AAAAAHXK82Q=")</f>
        <v>#REF!</v>
      </c>
      <c r="CX126" t="e">
        <f>AND(Liste!#REF!,"AAAAAHXK82U=")</f>
        <v>#REF!</v>
      </c>
      <c r="CY126" t="e">
        <f>AND(Liste!#REF!,"AAAAAHXK82Y=")</f>
        <v>#REF!</v>
      </c>
      <c r="CZ126" t="e">
        <f>AND(Liste!#REF!,"AAAAAHXK82c=")</f>
        <v>#REF!</v>
      </c>
      <c r="DA126" t="e">
        <f>AND(Liste!#REF!,"AAAAAHXK82g=")</f>
        <v>#REF!</v>
      </c>
      <c r="DB126" t="e">
        <f>AND(Liste!#REF!,"AAAAAHXK82k=")</f>
        <v>#REF!</v>
      </c>
      <c r="DC126" t="e">
        <f>AND(Liste!#REF!,"AAAAAHXK82o=")</f>
        <v>#REF!</v>
      </c>
      <c r="DD126" t="e">
        <f>AND(Liste!#REF!,"AAAAAHXK82s=")</f>
        <v>#REF!</v>
      </c>
      <c r="DE126" t="e">
        <f>AND(Liste!#REF!,"AAAAAHXK82w=")</f>
        <v>#REF!</v>
      </c>
      <c r="DF126" t="e">
        <f>AND(Liste!#REF!,"AAAAAHXK820=")</f>
        <v>#REF!</v>
      </c>
      <c r="DG126" t="e">
        <f>AND(Liste!#REF!,"AAAAAHXK824=")</f>
        <v>#REF!</v>
      </c>
      <c r="DH126" t="e">
        <f>AND(Liste!#REF!,"AAAAAHXK828=")</f>
        <v>#REF!</v>
      </c>
      <c r="DI126" t="e">
        <f>AND(Liste!#REF!,"AAAAAHXK83A=")</f>
        <v>#REF!</v>
      </c>
      <c r="DJ126" t="e">
        <f>AND(Liste!#REF!,"AAAAAHXK83E=")</f>
        <v>#REF!</v>
      </c>
      <c r="DK126" t="e">
        <f>AND(Liste!#REF!,"AAAAAHXK83I=")</f>
        <v>#REF!</v>
      </c>
      <c r="DL126" t="e">
        <f>AND(Liste!#REF!,"AAAAAHXK83M=")</f>
        <v>#REF!</v>
      </c>
      <c r="DM126" t="e">
        <f>IF(Liste!#REF!,"AAAAAHXK83Q=",0)</f>
        <v>#REF!</v>
      </c>
      <c r="DN126" t="e">
        <f>AND(Liste!#REF!,"AAAAAHXK83U=")</f>
        <v>#REF!</v>
      </c>
      <c r="DO126" t="e">
        <f>AND(Liste!#REF!,"AAAAAHXK83Y=")</f>
        <v>#REF!</v>
      </c>
      <c r="DP126" t="e">
        <f>AND(Liste!#REF!,"AAAAAHXK83c=")</f>
        <v>#REF!</v>
      </c>
      <c r="DQ126" t="e">
        <f>AND(Liste!#REF!,"AAAAAHXK83g=")</f>
        <v>#REF!</v>
      </c>
      <c r="DR126" t="e">
        <f>AND(Liste!#REF!,"AAAAAHXK83k=")</f>
        <v>#REF!</v>
      </c>
      <c r="DS126" t="e">
        <f>AND(Liste!#REF!,"AAAAAHXK83o=")</f>
        <v>#REF!</v>
      </c>
      <c r="DT126" t="e">
        <f>AND(Liste!#REF!,"AAAAAHXK83s=")</f>
        <v>#REF!</v>
      </c>
      <c r="DU126" t="e">
        <f>AND(Liste!#REF!,"AAAAAHXK83w=")</f>
        <v>#REF!</v>
      </c>
      <c r="DV126" t="e">
        <f>AND(Liste!#REF!,"AAAAAHXK830=")</f>
        <v>#REF!</v>
      </c>
      <c r="DW126" t="e">
        <f>AND(Liste!#REF!,"AAAAAHXK834=")</f>
        <v>#REF!</v>
      </c>
      <c r="DX126" t="e">
        <f>AND(Liste!#REF!,"AAAAAHXK838=")</f>
        <v>#REF!</v>
      </c>
      <c r="DY126" t="e">
        <f>AND(Liste!#REF!,"AAAAAHXK84A=")</f>
        <v>#REF!</v>
      </c>
      <c r="DZ126" t="e">
        <f>AND(Liste!#REF!,"AAAAAHXK84E=")</f>
        <v>#REF!</v>
      </c>
      <c r="EA126" t="e">
        <f>AND(Liste!#REF!,"AAAAAHXK84I=")</f>
        <v>#REF!</v>
      </c>
      <c r="EB126" t="e">
        <f>AND(Liste!#REF!,"AAAAAHXK84M=")</f>
        <v>#REF!</v>
      </c>
      <c r="EC126" t="e">
        <f>AND(Liste!#REF!,"AAAAAHXK84Q=")</f>
        <v>#REF!</v>
      </c>
      <c r="ED126" t="e">
        <f>AND(Liste!#REF!,"AAAAAHXK84U=")</f>
        <v>#REF!</v>
      </c>
      <c r="EE126" t="e">
        <f>AND(Liste!#REF!,"AAAAAHXK84Y=")</f>
        <v>#REF!</v>
      </c>
      <c r="EF126" t="e">
        <f>AND(Liste!#REF!,"AAAAAHXK84c=")</f>
        <v>#REF!</v>
      </c>
      <c r="EG126" t="e">
        <f>AND(Liste!#REF!,"AAAAAHXK84g=")</f>
        <v>#REF!</v>
      </c>
      <c r="EH126" t="e">
        <f>AND(Liste!#REF!,"AAAAAHXK84k=")</f>
        <v>#REF!</v>
      </c>
      <c r="EI126" t="e">
        <f>AND(Liste!#REF!,"AAAAAHXK84o=")</f>
        <v>#REF!</v>
      </c>
      <c r="EJ126" t="e">
        <f>AND(Liste!#REF!,"AAAAAHXK84s=")</f>
        <v>#REF!</v>
      </c>
      <c r="EK126" t="e">
        <f>AND(Liste!#REF!,"AAAAAHXK84w=")</f>
        <v>#REF!</v>
      </c>
      <c r="EL126" t="e">
        <f>AND(Liste!#REF!,"AAAAAHXK840=")</f>
        <v>#REF!</v>
      </c>
      <c r="EM126" t="e">
        <f>AND(Liste!#REF!,"AAAAAHXK844=")</f>
        <v>#REF!</v>
      </c>
      <c r="EN126" t="e">
        <f>AND(Liste!#REF!,"AAAAAHXK848=")</f>
        <v>#REF!</v>
      </c>
      <c r="EO126" t="e">
        <f>AND(Liste!#REF!,"AAAAAHXK85A=")</f>
        <v>#REF!</v>
      </c>
      <c r="EP126" t="e">
        <f>AND(Liste!#REF!,"AAAAAHXK85E=")</f>
        <v>#REF!</v>
      </c>
      <c r="EQ126" t="e">
        <f>AND(Liste!#REF!,"AAAAAHXK85I=")</f>
        <v>#REF!</v>
      </c>
      <c r="ER126" t="e">
        <f>IF(Liste!#REF!,"AAAAAHXK85M=",0)</f>
        <v>#REF!</v>
      </c>
      <c r="ES126" t="e">
        <f>AND(Liste!#REF!,"AAAAAHXK85Q=")</f>
        <v>#REF!</v>
      </c>
      <c r="ET126" t="e">
        <f>AND(Liste!#REF!,"AAAAAHXK85U=")</f>
        <v>#REF!</v>
      </c>
      <c r="EU126" t="e">
        <f>AND(Liste!#REF!,"AAAAAHXK85Y=")</f>
        <v>#REF!</v>
      </c>
      <c r="EV126" t="e">
        <f>AND(Liste!#REF!,"AAAAAHXK85c=")</f>
        <v>#REF!</v>
      </c>
      <c r="EW126" t="e">
        <f>AND(Liste!#REF!,"AAAAAHXK85g=")</f>
        <v>#REF!</v>
      </c>
      <c r="EX126" t="e">
        <f>AND(Liste!#REF!,"AAAAAHXK85k=")</f>
        <v>#REF!</v>
      </c>
      <c r="EY126" t="e">
        <f>AND(Liste!#REF!,"AAAAAHXK85o=")</f>
        <v>#REF!</v>
      </c>
      <c r="EZ126" t="e">
        <f>AND(Liste!#REF!,"AAAAAHXK85s=")</f>
        <v>#REF!</v>
      </c>
      <c r="FA126" t="e">
        <f>AND(Liste!#REF!,"AAAAAHXK85w=")</f>
        <v>#REF!</v>
      </c>
      <c r="FB126" t="e">
        <f>AND(Liste!#REF!,"AAAAAHXK850=")</f>
        <v>#REF!</v>
      </c>
      <c r="FC126" t="e">
        <f>AND(Liste!#REF!,"AAAAAHXK854=")</f>
        <v>#REF!</v>
      </c>
      <c r="FD126" t="e">
        <f>AND(Liste!#REF!,"AAAAAHXK858=")</f>
        <v>#REF!</v>
      </c>
      <c r="FE126" t="e">
        <f>AND(Liste!#REF!,"AAAAAHXK86A=")</f>
        <v>#REF!</v>
      </c>
      <c r="FF126" t="e">
        <f>AND(Liste!#REF!,"AAAAAHXK86E=")</f>
        <v>#REF!</v>
      </c>
      <c r="FG126" t="e">
        <f>AND(Liste!#REF!,"AAAAAHXK86I=")</f>
        <v>#REF!</v>
      </c>
      <c r="FH126" t="e">
        <f>AND(Liste!#REF!,"AAAAAHXK86M=")</f>
        <v>#REF!</v>
      </c>
      <c r="FI126" t="e">
        <f>AND(Liste!#REF!,"AAAAAHXK86Q=")</f>
        <v>#REF!</v>
      </c>
      <c r="FJ126" t="e">
        <f>AND(Liste!#REF!,"AAAAAHXK86U=")</f>
        <v>#REF!</v>
      </c>
      <c r="FK126" t="e">
        <f>AND(Liste!#REF!,"AAAAAHXK86Y=")</f>
        <v>#REF!</v>
      </c>
      <c r="FL126" t="e">
        <f>AND(Liste!#REF!,"AAAAAHXK86c=")</f>
        <v>#REF!</v>
      </c>
      <c r="FM126" t="e">
        <f>AND(Liste!#REF!,"AAAAAHXK86g=")</f>
        <v>#REF!</v>
      </c>
      <c r="FN126" t="e">
        <f>AND(Liste!#REF!,"AAAAAHXK86k=")</f>
        <v>#REF!</v>
      </c>
      <c r="FO126" t="e">
        <f>AND(Liste!#REF!,"AAAAAHXK86o=")</f>
        <v>#REF!</v>
      </c>
      <c r="FP126" t="e">
        <f>AND(Liste!#REF!,"AAAAAHXK86s=")</f>
        <v>#REF!</v>
      </c>
      <c r="FQ126" t="e">
        <f>AND(Liste!#REF!,"AAAAAHXK86w=")</f>
        <v>#REF!</v>
      </c>
      <c r="FR126" t="e">
        <f>AND(Liste!#REF!,"AAAAAHXK860=")</f>
        <v>#REF!</v>
      </c>
      <c r="FS126" t="e">
        <f>AND(Liste!#REF!,"AAAAAHXK864=")</f>
        <v>#REF!</v>
      </c>
      <c r="FT126" t="e">
        <f>AND(Liste!#REF!,"AAAAAHXK868=")</f>
        <v>#REF!</v>
      </c>
      <c r="FU126" t="e">
        <f>AND(Liste!#REF!,"AAAAAHXK87A=")</f>
        <v>#REF!</v>
      </c>
      <c r="FV126" t="e">
        <f>AND(Liste!#REF!,"AAAAAHXK87E=")</f>
        <v>#REF!</v>
      </c>
      <c r="FW126" t="e">
        <f>IF(Liste!#REF!,"AAAAAHXK87I=",0)</f>
        <v>#REF!</v>
      </c>
      <c r="FX126" t="e">
        <f>AND(Liste!#REF!,"AAAAAHXK87M=")</f>
        <v>#REF!</v>
      </c>
      <c r="FY126" t="e">
        <f>AND(Liste!#REF!,"AAAAAHXK87Q=")</f>
        <v>#REF!</v>
      </c>
      <c r="FZ126" t="e">
        <f>AND(Liste!#REF!,"AAAAAHXK87U=")</f>
        <v>#REF!</v>
      </c>
      <c r="GA126" t="e">
        <f>AND(Liste!#REF!,"AAAAAHXK87Y=")</f>
        <v>#REF!</v>
      </c>
      <c r="GB126" t="e">
        <f>AND(Liste!#REF!,"AAAAAHXK87c=")</f>
        <v>#REF!</v>
      </c>
      <c r="GC126" t="e">
        <f>AND(Liste!#REF!,"AAAAAHXK87g=")</f>
        <v>#REF!</v>
      </c>
      <c r="GD126" t="e">
        <f>AND(Liste!#REF!,"AAAAAHXK87k=")</f>
        <v>#REF!</v>
      </c>
      <c r="GE126" t="e">
        <f>AND(Liste!#REF!,"AAAAAHXK87o=")</f>
        <v>#REF!</v>
      </c>
      <c r="GF126" t="e">
        <f>AND(Liste!#REF!,"AAAAAHXK87s=")</f>
        <v>#REF!</v>
      </c>
      <c r="GG126" t="e">
        <f>AND(Liste!#REF!,"AAAAAHXK87w=")</f>
        <v>#REF!</v>
      </c>
      <c r="GH126" t="e">
        <f>AND(Liste!#REF!,"AAAAAHXK870=")</f>
        <v>#REF!</v>
      </c>
      <c r="GI126" t="e">
        <f>AND(Liste!#REF!,"AAAAAHXK874=")</f>
        <v>#REF!</v>
      </c>
      <c r="GJ126" t="e">
        <f>AND(Liste!#REF!,"AAAAAHXK878=")</f>
        <v>#REF!</v>
      </c>
      <c r="GK126" t="e">
        <f>AND(Liste!#REF!,"AAAAAHXK88A=")</f>
        <v>#REF!</v>
      </c>
      <c r="GL126" t="e">
        <f>AND(Liste!#REF!,"AAAAAHXK88E=")</f>
        <v>#REF!</v>
      </c>
      <c r="GM126" t="e">
        <f>AND(Liste!#REF!,"AAAAAHXK88I=")</f>
        <v>#REF!</v>
      </c>
      <c r="GN126" t="e">
        <f>AND(Liste!#REF!,"AAAAAHXK88M=")</f>
        <v>#REF!</v>
      </c>
      <c r="GO126" t="e">
        <f>AND(Liste!#REF!,"AAAAAHXK88Q=")</f>
        <v>#REF!</v>
      </c>
      <c r="GP126" t="e">
        <f>AND(Liste!#REF!,"AAAAAHXK88U=")</f>
        <v>#REF!</v>
      </c>
      <c r="GQ126" t="e">
        <f>AND(Liste!#REF!,"AAAAAHXK88Y=")</f>
        <v>#REF!</v>
      </c>
      <c r="GR126" t="e">
        <f>AND(Liste!#REF!,"AAAAAHXK88c=")</f>
        <v>#REF!</v>
      </c>
      <c r="GS126" t="e">
        <f>AND(Liste!#REF!,"AAAAAHXK88g=")</f>
        <v>#REF!</v>
      </c>
      <c r="GT126" t="e">
        <f>AND(Liste!#REF!,"AAAAAHXK88k=")</f>
        <v>#REF!</v>
      </c>
      <c r="GU126" t="e">
        <f>AND(Liste!#REF!,"AAAAAHXK88o=")</f>
        <v>#REF!</v>
      </c>
      <c r="GV126" t="e">
        <f>AND(Liste!#REF!,"AAAAAHXK88s=")</f>
        <v>#REF!</v>
      </c>
      <c r="GW126" t="e">
        <f>AND(Liste!#REF!,"AAAAAHXK88w=")</f>
        <v>#REF!</v>
      </c>
      <c r="GX126" t="e">
        <f>AND(Liste!#REF!,"AAAAAHXK880=")</f>
        <v>#REF!</v>
      </c>
      <c r="GY126" t="e">
        <f>AND(Liste!#REF!,"AAAAAHXK884=")</f>
        <v>#REF!</v>
      </c>
      <c r="GZ126" t="e">
        <f>AND(Liste!#REF!,"AAAAAHXK888=")</f>
        <v>#REF!</v>
      </c>
      <c r="HA126" t="e">
        <f>AND(Liste!#REF!,"AAAAAHXK89A=")</f>
        <v>#REF!</v>
      </c>
      <c r="HB126" t="e">
        <f>IF(Liste!#REF!,"AAAAAHXK89E=",0)</f>
        <v>#REF!</v>
      </c>
      <c r="HC126" t="e">
        <f>AND(Liste!#REF!,"AAAAAHXK89I=")</f>
        <v>#REF!</v>
      </c>
      <c r="HD126" t="e">
        <f>AND(Liste!#REF!,"AAAAAHXK89M=")</f>
        <v>#REF!</v>
      </c>
      <c r="HE126" t="e">
        <f>AND(Liste!#REF!,"AAAAAHXK89Q=")</f>
        <v>#REF!</v>
      </c>
      <c r="HF126" t="e">
        <f>AND(Liste!#REF!,"AAAAAHXK89U=")</f>
        <v>#REF!</v>
      </c>
      <c r="HG126" t="e">
        <f>AND(Liste!#REF!,"AAAAAHXK89Y=")</f>
        <v>#REF!</v>
      </c>
      <c r="HH126" t="e">
        <f>AND(Liste!#REF!,"AAAAAHXK89c=")</f>
        <v>#REF!</v>
      </c>
      <c r="HI126" t="e">
        <f>AND(Liste!#REF!,"AAAAAHXK89g=")</f>
        <v>#REF!</v>
      </c>
      <c r="HJ126" t="e">
        <f>AND(Liste!#REF!,"AAAAAHXK89k=")</f>
        <v>#REF!</v>
      </c>
      <c r="HK126" t="e">
        <f>AND(Liste!#REF!,"AAAAAHXK89o=")</f>
        <v>#REF!</v>
      </c>
      <c r="HL126" t="e">
        <f>AND(Liste!#REF!,"AAAAAHXK89s=")</f>
        <v>#REF!</v>
      </c>
      <c r="HM126" t="e">
        <f>AND(Liste!#REF!,"AAAAAHXK89w=")</f>
        <v>#REF!</v>
      </c>
      <c r="HN126" t="e">
        <f>AND(Liste!#REF!,"AAAAAHXK890=")</f>
        <v>#REF!</v>
      </c>
      <c r="HO126" t="e">
        <f>AND(Liste!#REF!,"AAAAAHXK894=")</f>
        <v>#REF!</v>
      </c>
      <c r="HP126" t="e">
        <f>AND(Liste!#REF!,"AAAAAHXK898=")</f>
        <v>#REF!</v>
      </c>
      <c r="HQ126" t="e">
        <f>AND(Liste!#REF!,"AAAAAHXK8+A=")</f>
        <v>#REF!</v>
      </c>
      <c r="HR126" t="e">
        <f>AND(Liste!#REF!,"AAAAAHXK8+E=")</f>
        <v>#REF!</v>
      </c>
      <c r="HS126" t="e">
        <f>AND(Liste!#REF!,"AAAAAHXK8+I=")</f>
        <v>#REF!</v>
      </c>
      <c r="HT126" t="e">
        <f>AND(Liste!#REF!,"AAAAAHXK8+M=")</f>
        <v>#REF!</v>
      </c>
      <c r="HU126" t="e">
        <f>AND(Liste!#REF!,"AAAAAHXK8+Q=")</f>
        <v>#REF!</v>
      </c>
      <c r="HV126" t="e">
        <f>AND(Liste!#REF!,"AAAAAHXK8+U=")</f>
        <v>#REF!</v>
      </c>
      <c r="HW126" t="e">
        <f>AND(Liste!#REF!,"AAAAAHXK8+Y=")</f>
        <v>#REF!</v>
      </c>
      <c r="HX126" t="e">
        <f>AND(Liste!#REF!,"AAAAAHXK8+c=")</f>
        <v>#REF!</v>
      </c>
      <c r="HY126" t="e">
        <f>AND(Liste!#REF!,"AAAAAHXK8+g=")</f>
        <v>#REF!</v>
      </c>
      <c r="HZ126" t="e">
        <f>AND(Liste!#REF!,"AAAAAHXK8+k=")</f>
        <v>#REF!</v>
      </c>
      <c r="IA126" t="e">
        <f>AND(Liste!#REF!,"AAAAAHXK8+o=")</f>
        <v>#REF!</v>
      </c>
      <c r="IB126" t="e">
        <f>AND(Liste!#REF!,"AAAAAHXK8+s=")</f>
        <v>#REF!</v>
      </c>
      <c r="IC126" t="e">
        <f>AND(Liste!#REF!,"AAAAAHXK8+w=")</f>
        <v>#REF!</v>
      </c>
      <c r="ID126" t="e">
        <f>AND(Liste!#REF!,"AAAAAHXK8+0=")</f>
        <v>#REF!</v>
      </c>
      <c r="IE126" t="e">
        <f>AND(Liste!#REF!,"AAAAAHXK8+4=")</f>
        <v>#REF!</v>
      </c>
      <c r="IF126" t="e">
        <f>AND(Liste!#REF!,"AAAAAHXK8+8=")</f>
        <v>#REF!</v>
      </c>
      <c r="IG126" t="e">
        <f>IF(Liste!#REF!,"AAAAAHXK8/A=",0)</f>
        <v>#REF!</v>
      </c>
      <c r="IH126" t="e">
        <f>AND(Liste!#REF!,"AAAAAHXK8/E=")</f>
        <v>#REF!</v>
      </c>
      <c r="II126" t="e">
        <f>AND(Liste!#REF!,"AAAAAHXK8/I=")</f>
        <v>#REF!</v>
      </c>
      <c r="IJ126" t="e">
        <f>AND(Liste!#REF!,"AAAAAHXK8/M=")</f>
        <v>#REF!</v>
      </c>
      <c r="IK126" t="e">
        <f>AND(Liste!#REF!,"AAAAAHXK8/Q=")</f>
        <v>#REF!</v>
      </c>
      <c r="IL126" t="e">
        <f>AND(Liste!#REF!,"AAAAAHXK8/U=")</f>
        <v>#REF!</v>
      </c>
      <c r="IM126" t="e">
        <f>AND(Liste!#REF!,"AAAAAHXK8/Y=")</f>
        <v>#REF!</v>
      </c>
      <c r="IN126" t="e">
        <f>AND(Liste!#REF!,"AAAAAHXK8/c=")</f>
        <v>#REF!</v>
      </c>
      <c r="IO126" t="e">
        <f>AND(Liste!#REF!,"AAAAAHXK8/g=")</f>
        <v>#REF!</v>
      </c>
      <c r="IP126" t="e">
        <f>AND(Liste!#REF!,"AAAAAHXK8/k=")</f>
        <v>#REF!</v>
      </c>
      <c r="IQ126" t="e">
        <f>AND(Liste!#REF!,"AAAAAHXK8/o=")</f>
        <v>#REF!</v>
      </c>
      <c r="IR126" t="e">
        <f>AND(Liste!#REF!,"AAAAAHXK8/s=")</f>
        <v>#REF!</v>
      </c>
      <c r="IS126" t="e">
        <f>AND(Liste!#REF!,"AAAAAHXK8/w=")</f>
        <v>#REF!</v>
      </c>
      <c r="IT126" t="e">
        <f>AND(Liste!#REF!,"AAAAAHXK8/0=")</f>
        <v>#REF!</v>
      </c>
      <c r="IU126" t="e">
        <f>AND(Liste!#REF!,"AAAAAHXK8/4=")</f>
        <v>#REF!</v>
      </c>
      <c r="IV126" t="e">
        <f>AND(Liste!#REF!,"AAAAAHXK8/8=")</f>
        <v>#REF!</v>
      </c>
    </row>
    <row r="127" spans="1:256" x14ac:dyDescent="0.2">
      <c r="A127" t="e">
        <f>AND(Liste!#REF!,"AAAAAHkd3QA=")</f>
        <v>#REF!</v>
      </c>
      <c r="B127" t="e">
        <f>AND(Liste!#REF!,"AAAAAHkd3QE=")</f>
        <v>#REF!</v>
      </c>
      <c r="C127" t="e">
        <f>AND(Liste!#REF!,"AAAAAHkd3QI=")</f>
        <v>#REF!</v>
      </c>
      <c r="D127" t="e">
        <f>AND(Liste!#REF!,"AAAAAHkd3QM=")</f>
        <v>#REF!</v>
      </c>
      <c r="E127" t="e">
        <f>AND(Liste!#REF!,"AAAAAHkd3QQ=")</f>
        <v>#REF!</v>
      </c>
      <c r="F127" t="e">
        <f>AND(Liste!#REF!,"AAAAAHkd3QU=")</f>
        <v>#REF!</v>
      </c>
      <c r="G127" t="e">
        <f>AND(Liste!#REF!,"AAAAAHkd3QY=")</f>
        <v>#REF!</v>
      </c>
      <c r="H127" t="e">
        <f>AND(Liste!#REF!,"AAAAAHkd3Qc=")</f>
        <v>#REF!</v>
      </c>
      <c r="I127" t="e">
        <f>AND(Liste!#REF!,"AAAAAHkd3Qg=")</f>
        <v>#REF!</v>
      </c>
      <c r="J127" t="e">
        <f>AND(Liste!#REF!,"AAAAAHkd3Qk=")</f>
        <v>#REF!</v>
      </c>
      <c r="K127" t="e">
        <f>AND(Liste!#REF!,"AAAAAHkd3Qo=")</f>
        <v>#REF!</v>
      </c>
      <c r="L127" t="e">
        <f>AND(Liste!#REF!,"AAAAAHkd3Qs=")</f>
        <v>#REF!</v>
      </c>
      <c r="M127" t="e">
        <f>AND(Liste!#REF!,"AAAAAHkd3Qw=")</f>
        <v>#REF!</v>
      </c>
      <c r="N127" t="e">
        <f>AND(Liste!#REF!,"AAAAAHkd3Q0=")</f>
        <v>#REF!</v>
      </c>
      <c r="O127" t="e">
        <f>AND(Liste!#REF!,"AAAAAHkd3Q4=")</f>
        <v>#REF!</v>
      </c>
      <c r="P127" t="e">
        <f>IF(Liste!#REF!,"AAAAAHkd3Q8=",0)</f>
        <v>#REF!</v>
      </c>
      <c r="Q127" t="e">
        <f>AND(Liste!#REF!,"AAAAAHkd3RA=")</f>
        <v>#REF!</v>
      </c>
      <c r="R127" t="e">
        <f>AND(Liste!#REF!,"AAAAAHkd3RE=")</f>
        <v>#REF!</v>
      </c>
      <c r="S127" t="e">
        <f>AND(Liste!#REF!,"AAAAAHkd3RI=")</f>
        <v>#REF!</v>
      </c>
      <c r="T127" t="e">
        <f>AND(Liste!#REF!,"AAAAAHkd3RM=")</f>
        <v>#REF!</v>
      </c>
      <c r="U127" t="e">
        <f>AND(Liste!#REF!,"AAAAAHkd3RQ=")</f>
        <v>#REF!</v>
      </c>
      <c r="V127" t="e">
        <f>AND(Liste!#REF!,"AAAAAHkd3RU=")</f>
        <v>#REF!</v>
      </c>
      <c r="W127" t="e">
        <f>AND(Liste!#REF!,"AAAAAHkd3RY=")</f>
        <v>#REF!</v>
      </c>
      <c r="X127" t="e">
        <f>AND(Liste!#REF!,"AAAAAHkd3Rc=")</f>
        <v>#REF!</v>
      </c>
      <c r="Y127" t="e">
        <f>AND(Liste!#REF!,"AAAAAHkd3Rg=")</f>
        <v>#REF!</v>
      </c>
      <c r="Z127" t="e">
        <f>AND(Liste!#REF!,"AAAAAHkd3Rk=")</f>
        <v>#REF!</v>
      </c>
      <c r="AA127" t="e">
        <f>AND(Liste!#REF!,"AAAAAHkd3Ro=")</f>
        <v>#REF!</v>
      </c>
      <c r="AB127" t="e">
        <f>AND(Liste!#REF!,"AAAAAHkd3Rs=")</f>
        <v>#REF!</v>
      </c>
      <c r="AC127" t="e">
        <f>AND(Liste!#REF!,"AAAAAHkd3Rw=")</f>
        <v>#REF!</v>
      </c>
      <c r="AD127" t="e">
        <f>AND(Liste!#REF!,"AAAAAHkd3R0=")</f>
        <v>#REF!</v>
      </c>
      <c r="AE127" t="e">
        <f>AND(Liste!#REF!,"AAAAAHkd3R4=")</f>
        <v>#REF!</v>
      </c>
      <c r="AF127" t="e">
        <f>AND(Liste!#REF!,"AAAAAHkd3R8=")</f>
        <v>#REF!</v>
      </c>
      <c r="AG127" t="e">
        <f>AND(Liste!#REF!,"AAAAAHkd3SA=")</f>
        <v>#REF!</v>
      </c>
      <c r="AH127" t="e">
        <f>AND(Liste!#REF!,"AAAAAHkd3SE=")</f>
        <v>#REF!</v>
      </c>
      <c r="AI127" t="e">
        <f>AND(Liste!#REF!,"AAAAAHkd3SI=")</f>
        <v>#REF!</v>
      </c>
      <c r="AJ127" t="e">
        <f>AND(Liste!#REF!,"AAAAAHkd3SM=")</f>
        <v>#REF!</v>
      </c>
      <c r="AK127" t="e">
        <f>AND(Liste!#REF!,"AAAAAHkd3SQ=")</f>
        <v>#REF!</v>
      </c>
      <c r="AL127" t="e">
        <f>AND(Liste!#REF!,"AAAAAHkd3SU=")</f>
        <v>#REF!</v>
      </c>
      <c r="AM127" t="e">
        <f>AND(Liste!#REF!,"AAAAAHkd3SY=")</f>
        <v>#REF!</v>
      </c>
      <c r="AN127" t="e">
        <f>AND(Liste!#REF!,"AAAAAHkd3Sc=")</f>
        <v>#REF!</v>
      </c>
      <c r="AO127" t="e">
        <f>AND(Liste!#REF!,"AAAAAHkd3Sg=")</f>
        <v>#REF!</v>
      </c>
      <c r="AP127" t="e">
        <f>AND(Liste!#REF!,"AAAAAHkd3Sk=")</f>
        <v>#REF!</v>
      </c>
      <c r="AQ127" t="e">
        <f>AND(Liste!#REF!,"AAAAAHkd3So=")</f>
        <v>#REF!</v>
      </c>
      <c r="AR127" t="e">
        <f>AND(Liste!#REF!,"AAAAAHkd3Ss=")</f>
        <v>#REF!</v>
      </c>
      <c r="AS127" t="e">
        <f>AND(Liste!#REF!,"AAAAAHkd3Sw=")</f>
        <v>#REF!</v>
      </c>
      <c r="AT127" t="e">
        <f>AND(Liste!#REF!,"AAAAAHkd3S0=")</f>
        <v>#REF!</v>
      </c>
      <c r="AU127" t="e">
        <f>IF(Liste!#REF!,"AAAAAHkd3S4=",0)</f>
        <v>#REF!</v>
      </c>
      <c r="AV127" t="e">
        <f>AND(Liste!#REF!,"AAAAAHkd3S8=")</f>
        <v>#REF!</v>
      </c>
      <c r="AW127" t="e">
        <f>AND(Liste!#REF!,"AAAAAHkd3TA=")</f>
        <v>#REF!</v>
      </c>
      <c r="AX127" t="e">
        <f>AND(Liste!#REF!,"AAAAAHkd3TE=")</f>
        <v>#REF!</v>
      </c>
      <c r="AY127" t="e">
        <f>AND(Liste!#REF!,"AAAAAHkd3TI=")</f>
        <v>#REF!</v>
      </c>
      <c r="AZ127" t="e">
        <f>AND(Liste!#REF!,"AAAAAHkd3TM=")</f>
        <v>#REF!</v>
      </c>
      <c r="BA127" t="e">
        <f>AND(Liste!#REF!,"AAAAAHkd3TQ=")</f>
        <v>#REF!</v>
      </c>
      <c r="BB127" t="e">
        <f>AND(Liste!#REF!,"AAAAAHkd3TU=")</f>
        <v>#REF!</v>
      </c>
      <c r="BC127" t="e">
        <f>AND(Liste!#REF!,"AAAAAHkd3TY=")</f>
        <v>#REF!</v>
      </c>
      <c r="BD127" t="e">
        <f>AND(Liste!#REF!,"AAAAAHkd3Tc=")</f>
        <v>#REF!</v>
      </c>
      <c r="BE127" t="e">
        <f>AND(Liste!#REF!,"AAAAAHkd3Tg=")</f>
        <v>#REF!</v>
      </c>
      <c r="BF127" t="e">
        <f>AND(Liste!#REF!,"AAAAAHkd3Tk=")</f>
        <v>#REF!</v>
      </c>
      <c r="BG127" t="e">
        <f>AND(Liste!#REF!,"AAAAAHkd3To=")</f>
        <v>#REF!</v>
      </c>
      <c r="BH127" t="e">
        <f>AND(Liste!#REF!,"AAAAAHkd3Ts=")</f>
        <v>#REF!</v>
      </c>
      <c r="BI127" t="e">
        <f>AND(Liste!#REF!,"AAAAAHkd3Tw=")</f>
        <v>#REF!</v>
      </c>
      <c r="BJ127" t="e">
        <f>AND(Liste!#REF!,"AAAAAHkd3T0=")</f>
        <v>#REF!</v>
      </c>
      <c r="BK127" t="e">
        <f>AND(Liste!#REF!,"AAAAAHkd3T4=")</f>
        <v>#REF!</v>
      </c>
      <c r="BL127" t="e">
        <f>AND(Liste!#REF!,"AAAAAHkd3T8=")</f>
        <v>#REF!</v>
      </c>
      <c r="BM127" t="e">
        <f>AND(Liste!#REF!,"AAAAAHkd3UA=")</f>
        <v>#REF!</v>
      </c>
      <c r="BN127" t="e">
        <f>AND(Liste!#REF!,"AAAAAHkd3UE=")</f>
        <v>#REF!</v>
      </c>
      <c r="BO127" t="e">
        <f>AND(Liste!#REF!,"AAAAAHkd3UI=")</f>
        <v>#REF!</v>
      </c>
      <c r="BP127" t="e">
        <f>AND(Liste!#REF!,"AAAAAHkd3UM=")</f>
        <v>#REF!</v>
      </c>
      <c r="BQ127" t="e">
        <f>AND(Liste!#REF!,"AAAAAHkd3UQ=")</f>
        <v>#REF!</v>
      </c>
      <c r="BR127" t="e">
        <f>AND(Liste!#REF!,"AAAAAHkd3UU=")</f>
        <v>#REF!</v>
      </c>
      <c r="BS127" t="e">
        <f>AND(Liste!#REF!,"AAAAAHkd3UY=")</f>
        <v>#REF!</v>
      </c>
      <c r="BT127" t="e">
        <f>AND(Liste!#REF!,"AAAAAHkd3Uc=")</f>
        <v>#REF!</v>
      </c>
      <c r="BU127" t="e">
        <f>AND(Liste!#REF!,"AAAAAHkd3Ug=")</f>
        <v>#REF!</v>
      </c>
      <c r="BV127" t="e">
        <f>AND(Liste!#REF!,"AAAAAHkd3Uk=")</f>
        <v>#REF!</v>
      </c>
      <c r="BW127" t="e">
        <f>AND(Liste!#REF!,"AAAAAHkd3Uo=")</f>
        <v>#REF!</v>
      </c>
      <c r="BX127" t="e">
        <f>AND(Liste!#REF!,"AAAAAHkd3Us=")</f>
        <v>#REF!</v>
      </c>
      <c r="BY127" t="e">
        <f>AND(Liste!#REF!,"AAAAAHkd3Uw=")</f>
        <v>#REF!</v>
      </c>
      <c r="BZ127" t="e">
        <f>IF(Liste!#REF!,"AAAAAHkd3U0=",0)</f>
        <v>#REF!</v>
      </c>
      <c r="CA127" t="e">
        <f>AND(Liste!#REF!,"AAAAAHkd3U4=")</f>
        <v>#REF!</v>
      </c>
      <c r="CB127" t="e">
        <f>AND(Liste!#REF!,"AAAAAHkd3U8=")</f>
        <v>#REF!</v>
      </c>
      <c r="CC127" t="e">
        <f>AND(Liste!#REF!,"AAAAAHkd3VA=")</f>
        <v>#REF!</v>
      </c>
      <c r="CD127" t="e">
        <f>AND(Liste!#REF!,"AAAAAHkd3VE=")</f>
        <v>#REF!</v>
      </c>
      <c r="CE127" t="e">
        <f>AND(Liste!#REF!,"AAAAAHkd3VI=")</f>
        <v>#REF!</v>
      </c>
      <c r="CF127" t="e">
        <f>AND(Liste!#REF!,"AAAAAHkd3VM=")</f>
        <v>#REF!</v>
      </c>
      <c r="CG127" t="e">
        <f>AND(Liste!#REF!,"AAAAAHkd3VQ=")</f>
        <v>#REF!</v>
      </c>
      <c r="CH127" t="e">
        <f>AND(Liste!#REF!,"AAAAAHkd3VU=")</f>
        <v>#REF!</v>
      </c>
      <c r="CI127" t="e">
        <f>AND(Liste!#REF!,"AAAAAHkd3VY=")</f>
        <v>#REF!</v>
      </c>
      <c r="CJ127" t="e">
        <f>AND(Liste!#REF!,"AAAAAHkd3Vc=")</f>
        <v>#REF!</v>
      </c>
      <c r="CK127" t="e">
        <f>AND(Liste!#REF!,"AAAAAHkd3Vg=")</f>
        <v>#REF!</v>
      </c>
      <c r="CL127" t="e">
        <f>AND(Liste!#REF!,"AAAAAHkd3Vk=")</f>
        <v>#REF!</v>
      </c>
      <c r="CM127" t="e">
        <f>AND(Liste!#REF!,"AAAAAHkd3Vo=")</f>
        <v>#REF!</v>
      </c>
      <c r="CN127" t="e">
        <f>AND(Liste!#REF!,"AAAAAHkd3Vs=")</f>
        <v>#REF!</v>
      </c>
      <c r="CO127" t="e">
        <f>AND(Liste!#REF!,"AAAAAHkd3Vw=")</f>
        <v>#REF!</v>
      </c>
      <c r="CP127" t="e">
        <f>AND(Liste!#REF!,"AAAAAHkd3V0=")</f>
        <v>#REF!</v>
      </c>
      <c r="CQ127" t="e">
        <f>AND(Liste!#REF!,"AAAAAHkd3V4=")</f>
        <v>#REF!</v>
      </c>
      <c r="CR127" t="e">
        <f>AND(Liste!#REF!,"AAAAAHkd3V8=")</f>
        <v>#REF!</v>
      </c>
      <c r="CS127" t="e">
        <f>AND(Liste!#REF!,"AAAAAHkd3WA=")</f>
        <v>#REF!</v>
      </c>
      <c r="CT127" t="e">
        <f>AND(Liste!#REF!,"AAAAAHkd3WE=")</f>
        <v>#REF!</v>
      </c>
      <c r="CU127" t="e">
        <f>AND(Liste!#REF!,"AAAAAHkd3WI=")</f>
        <v>#REF!</v>
      </c>
      <c r="CV127" t="e">
        <f>AND(Liste!#REF!,"AAAAAHkd3WM=")</f>
        <v>#REF!</v>
      </c>
      <c r="CW127" t="e">
        <f>AND(Liste!#REF!,"AAAAAHkd3WQ=")</f>
        <v>#REF!</v>
      </c>
      <c r="CX127" t="e">
        <f>AND(Liste!#REF!,"AAAAAHkd3WU=")</f>
        <v>#REF!</v>
      </c>
      <c r="CY127" t="e">
        <f>AND(Liste!#REF!,"AAAAAHkd3WY=")</f>
        <v>#REF!</v>
      </c>
      <c r="CZ127" t="e">
        <f>AND(Liste!#REF!,"AAAAAHkd3Wc=")</f>
        <v>#REF!</v>
      </c>
      <c r="DA127" t="e">
        <f>AND(Liste!#REF!,"AAAAAHkd3Wg=")</f>
        <v>#REF!</v>
      </c>
      <c r="DB127" t="e">
        <f>AND(Liste!#REF!,"AAAAAHkd3Wk=")</f>
        <v>#REF!</v>
      </c>
      <c r="DC127" t="e">
        <f>AND(Liste!#REF!,"AAAAAHkd3Wo=")</f>
        <v>#REF!</v>
      </c>
      <c r="DD127" t="e">
        <f>AND(Liste!#REF!,"AAAAAHkd3Ws=")</f>
        <v>#REF!</v>
      </c>
      <c r="DE127" t="e">
        <f>IF(Liste!#REF!,"AAAAAHkd3Ww=",0)</f>
        <v>#REF!</v>
      </c>
      <c r="DF127" t="e">
        <f>AND(Liste!#REF!,"AAAAAHkd3W0=")</f>
        <v>#REF!</v>
      </c>
      <c r="DG127" t="e">
        <f>AND(Liste!#REF!,"AAAAAHkd3W4=")</f>
        <v>#REF!</v>
      </c>
      <c r="DH127" t="e">
        <f>AND(Liste!#REF!,"AAAAAHkd3W8=")</f>
        <v>#REF!</v>
      </c>
      <c r="DI127" t="e">
        <f>AND(Liste!#REF!,"AAAAAHkd3XA=")</f>
        <v>#REF!</v>
      </c>
      <c r="DJ127" t="e">
        <f>AND(Liste!#REF!,"AAAAAHkd3XE=")</f>
        <v>#REF!</v>
      </c>
      <c r="DK127" t="e">
        <f>AND(Liste!#REF!,"AAAAAHkd3XI=")</f>
        <v>#REF!</v>
      </c>
      <c r="DL127" t="e">
        <f>AND(Liste!#REF!,"AAAAAHkd3XM=")</f>
        <v>#REF!</v>
      </c>
      <c r="DM127" t="e">
        <f>AND(Liste!#REF!,"AAAAAHkd3XQ=")</f>
        <v>#REF!</v>
      </c>
      <c r="DN127" t="e">
        <f>AND(Liste!#REF!,"AAAAAHkd3XU=")</f>
        <v>#REF!</v>
      </c>
      <c r="DO127" t="e">
        <f>AND(Liste!#REF!,"AAAAAHkd3XY=")</f>
        <v>#REF!</v>
      </c>
      <c r="DP127" t="e">
        <f>AND(Liste!#REF!,"AAAAAHkd3Xc=")</f>
        <v>#REF!</v>
      </c>
      <c r="DQ127" t="e">
        <f>AND(Liste!#REF!,"AAAAAHkd3Xg=")</f>
        <v>#REF!</v>
      </c>
      <c r="DR127" t="e">
        <f>AND(Liste!#REF!,"AAAAAHkd3Xk=")</f>
        <v>#REF!</v>
      </c>
      <c r="DS127" t="e">
        <f>AND(Liste!#REF!,"AAAAAHkd3Xo=")</f>
        <v>#REF!</v>
      </c>
      <c r="DT127" t="e">
        <f>AND(Liste!#REF!,"AAAAAHkd3Xs=")</f>
        <v>#REF!</v>
      </c>
      <c r="DU127" t="e">
        <f>AND(Liste!#REF!,"AAAAAHkd3Xw=")</f>
        <v>#REF!</v>
      </c>
      <c r="DV127" t="e">
        <f>AND(Liste!#REF!,"AAAAAHkd3X0=")</f>
        <v>#REF!</v>
      </c>
      <c r="DW127" t="e">
        <f>AND(Liste!#REF!,"AAAAAHkd3X4=")</f>
        <v>#REF!</v>
      </c>
      <c r="DX127" t="e">
        <f>AND(Liste!#REF!,"AAAAAHkd3X8=")</f>
        <v>#REF!</v>
      </c>
      <c r="DY127" t="e">
        <f>AND(Liste!#REF!,"AAAAAHkd3YA=")</f>
        <v>#REF!</v>
      </c>
      <c r="DZ127" t="e">
        <f>AND(Liste!#REF!,"AAAAAHkd3YE=")</f>
        <v>#REF!</v>
      </c>
      <c r="EA127" t="e">
        <f>AND(Liste!#REF!,"AAAAAHkd3YI=")</f>
        <v>#REF!</v>
      </c>
      <c r="EB127" t="e">
        <f>AND(Liste!#REF!,"AAAAAHkd3YM=")</f>
        <v>#REF!</v>
      </c>
      <c r="EC127" t="e">
        <f>AND(Liste!#REF!,"AAAAAHkd3YQ=")</f>
        <v>#REF!</v>
      </c>
      <c r="ED127" t="e">
        <f>AND(Liste!#REF!,"AAAAAHkd3YU=")</f>
        <v>#REF!</v>
      </c>
      <c r="EE127" t="e">
        <f>AND(Liste!#REF!,"AAAAAHkd3YY=")</f>
        <v>#REF!</v>
      </c>
      <c r="EF127" t="e">
        <f>AND(Liste!#REF!,"AAAAAHkd3Yc=")</f>
        <v>#REF!</v>
      </c>
      <c r="EG127" t="e">
        <f>AND(Liste!#REF!,"AAAAAHkd3Yg=")</f>
        <v>#REF!</v>
      </c>
      <c r="EH127" t="e">
        <f>AND(Liste!#REF!,"AAAAAHkd3Yk=")</f>
        <v>#REF!</v>
      </c>
      <c r="EI127" t="e">
        <f>AND(Liste!#REF!,"AAAAAHkd3Yo=")</f>
        <v>#REF!</v>
      </c>
      <c r="EJ127" t="e">
        <f>IF(Liste!#REF!,"AAAAAHkd3Ys=",0)</f>
        <v>#REF!</v>
      </c>
      <c r="EK127" t="e">
        <f>AND(Liste!#REF!,"AAAAAHkd3Yw=")</f>
        <v>#REF!</v>
      </c>
      <c r="EL127" t="e">
        <f>AND(Liste!#REF!,"AAAAAHkd3Y0=")</f>
        <v>#REF!</v>
      </c>
      <c r="EM127" t="e">
        <f>AND(Liste!#REF!,"AAAAAHkd3Y4=")</f>
        <v>#REF!</v>
      </c>
      <c r="EN127" t="e">
        <f>AND(Liste!#REF!,"AAAAAHkd3Y8=")</f>
        <v>#REF!</v>
      </c>
      <c r="EO127" t="e">
        <f>AND(Liste!#REF!,"AAAAAHkd3ZA=")</f>
        <v>#REF!</v>
      </c>
      <c r="EP127" t="e">
        <f>AND(Liste!#REF!,"AAAAAHkd3ZE=")</f>
        <v>#REF!</v>
      </c>
      <c r="EQ127" t="e">
        <f>AND(Liste!#REF!,"AAAAAHkd3ZI=")</f>
        <v>#REF!</v>
      </c>
      <c r="ER127" t="e">
        <f>AND(Liste!#REF!,"AAAAAHkd3ZM=")</f>
        <v>#REF!</v>
      </c>
      <c r="ES127" t="e">
        <f>AND(Liste!#REF!,"AAAAAHkd3ZQ=")</f>
        <v>#REF!</v>
      </c>
      <c r="ET127" t="e">
        <f>AND(Liste!#REF!,"AAAAAHkd3ZU=")</f>
        <v>#REF!</v>
      </c>
      <c r="EU127" t="e">
        <f>AND(Liste!#REF!,"AAAAAHkd3ZY=")</f>
        <v>#REF!</v>
      </c>
      <c r="EV127" t="e">
        <f>AND(Liste!#REF!,"AAAAAHkd3Zc=")</f>
        <v>#REF!</v>
      </c>
      <c r="EW127" t="e">
        <f>AND(Liste!#REF!,"AAAAAHkd3Zg=")</f>
        <v>#REF!</v>
      </c>
      <c r="EX127" t="e">
        <f>AND(Liste!#REF!,"AAAAAHkd3Zk=")</f>
        <v>#REF!</v>
      </c>
      <c r="EY127" t="e">
        <f>AND(Liste!#REF!,"AAAAAHkd3Zo=")</f>
        <v>#REF!</v>
      </c>
      <c r="EZ127" t="e">
        <f>AND(Liste!#REF!,"AAAAAHkd3Zs=")</f>
        <v>#REF!</v>
      </c>
      <c r="FA127" t="e">
        <f>AND(Liste!#REF!,"AAAAAHkd3Zw=")</f>
        <v>#REF!</v>
      </c>
      <c r="FB127" t="e">
        <f>AND(Liste!#REF!,"AAAAAHkd3Z0=")</f>
        <v>#REF!</v>
      </c>
      <c r="FC127" t="e">
        <f>AND(Liste!#REF!,"AAAAAHkd3Z4=")</f>
        <v>#REF!</v>
      </c>
      <c r="FD127" t="e">
        <f>AND(Liste!#REF!,"AAAAAHkd3Z8=")</f>
        <v>#REF!</v>
      </c>
      <c r="FE127" t="e">
        <f>AND(Liste!#REF!,"AAAAAHkd3aA=")</f>
        <v>#REF!</v>
      </c>
      <c r="FF127" t="e">
        <f>AND(Liste!#REF!,"AAAAAHkd3aE=")</f>
        <v>#REF!</v>
      </c>
      <c r="FG127" t="e">
        <f>AND(Liste!#REF!,"AAAAAHkd3aI=")</f>
        <v>#REF!</v>
      </c>
      <c r="FH127" t="e">
        <f>AND(Liste!#REF!,"AAAAAHkd3aM=")</f>
        <v>#REF!</v>
      </c>
      <c r="FI127" t="e">
        <f>AND(Liste!#REF!,"AAAAAHkd3aQ=")</f>
        <v>#REF!</v>
      </c>
      <c r="FJ127" t="e">
        <f>AND(Liste!#REF!,"AAAAAHkd3aU=")</f>
        <v>#REF!</v>
      </c>
      <c r="FK127" t="e">
        <f>AND(Liste!#REF!,"AAAAAHkd3aY=")</f>
        <v>#REF!</v>
      </c>
      <c r="FL127" t="e">
        <f>AND(Liste!#REF!,"AAAAAHkd3ac=")</f>
        <v>#REF!</v>
      </c>
      <c r="FM127" t="e">
        <f>AND(Liste!#REF!,"AAAAAHkd3ag=")</f>
        <v>#REF!</v>
      </c>
      <c r="FN127" t="e">
        <f>AND(Liste!#REF!,"AAAAAHkd3ak=")</f>
        <v>#REF!</v>
      </c>
      <c r="FO127" t="e">
        <f>IF(Liste!#REF!,"AAAAAHkd3ao=",0)</f>
        <v>#REF!</v>
      </c>
      <c r="FP127" t="e">
        <f>AND(Liste!#REF!,"AAAAAHkd3as=")</f>
        <v>#REF!</v>
      </c>
      <c r="FQ127" t="e">
        <f>AND(Liste!#REF!,"AAAAAHkd3aw=")</f>
        <v>#REF!</v>
      </c>
      <c r="FR127" t="e">
        <f>AND(Liste!#REF!,"AAAAAHkd3a0=")</f>
        <v>#REF!</v>
      </c>
      <c r="FS127" t="e">
        <f>AND(Liste!#REF!,"AAAAAHkd3a4=")</f>
        <v>#REF!</v>
      </c>
      <c r="FT127" t="e">
        <f>AND(Liste!#REF!,"AAAAAHkd3a8=")</f>
        <v>#REF!</v>
      </c>
      <c r="FU127" t="e">
        <f>AND(Liste!#REF!,"AAAAAHkd3bA=")</f>
        <v>#REF!</v>
      </c>
      <c r="FV127" t="e">
        <f>AND(Liste!#REF!,"AAAAAHkd3bE=")</f>
        <v>#REF!</v>
      </c>
      <c r="FW127" t="e">
        <f>AND(Liste!#REF!,"AAAAAHkd3bI=")</f>
        <v>#REF!</v>
      </c>
      <c r="FX127" t="e">
        <f>AND(Liste!#REF!,"AAAAAHkd3bM=")</f>
        <v>#REF!</v>
      </c>
      <c r="FY127" t="e">
        <f>AND(Liste!#REF!,"AAAAAHkd3bQ=")</f>
        <v>#REF!</v>
      </c>
      <c r="FZ127" t="e">
        <f>AND(Liste!#REF!,"AAAAAHkd3bU=")</f>
        <v>#REF!</v>
      </c>
      <c r="GA127" t="e">
        <f>AND(Liste!#REF!,"AAAAAHkd3bY=")</f>
        <v>#REF!</v>
      </c>
      <c r="GB127" t="e">
        <f>AND(Liste!#REF!,"AAAAAHkd3bc=")</f>
        <v>#REF!</v>
      </c>
      <c r="GC127" t="e">
        <f>AND(Liste!#REF!,"AAAAAHkd3bg=")</f>
        <v>#REF!</v>
      </c>
      <c r="GD127" t="e">
        <f>AND(Liste!#REF!,"AAAAAHkd3bk=")</f>
        <v>#REF!</v>
      </c>
      <c r="GE127" t="e">
        <f>AND(Liste!#REF!,"AAAAAHkd3bo=")</f>
        <v>#REF!</v>
      </c>
      <c r="GF127" t="e">
        <f>AND(Liste!#REF!,"AAAAAHkd3bs=")</f>
        <v>#REF!</v>
      </c>
      <c r="GG127" t="e">
        <f>AND(Liste!#REF!,"AAAAAHkd3bw=")</f>
        <v>#REF!</v>
      </c>
      <c r="GH127" t="e">
        <f>AND(Liste!#REF!,"AAAAAHkd3b0=")</f>
        <v>#REF!</v>
      </c>
      <c r="GI127" t="e">
        <f>AND(Liste!#REF!,"AAAAAHkd3b4=")</f>
        <v>#REF!</v>
      </c>
      <c r="GJ127" t="e">
        <f>AND(Liste!#REF!,"AAAAAHkd3b8=")</f>
        <v>#REF!</v>
      </c>
      <c r="GK127" t="e">
        <f>AND(Liste!#REF!,"AAAAAHkd3cA=")</f>
        <v>#REF!</v>
      </c>
      <c r="GL127" t="e">
        <f>AND(Liste!#REF!,"AAAAAHkd3cE=")</f>
        <v>#REF!</v>
      </c>
      <c r="GM127" t="e">
        <f>AND(Liste!#REF!,"AAAAAHkd3cI=")</f>
        <v>#REF!</v>
      </c>
      <c r="GN127" t="e">
        <f>AND(Liste!#REF!,"AAAAAHkd3cM=")</f>
        <v>#REF!</v>
      </c>
      <c r="GO127" t="e">
        <f>AND(Liste!#REF!,"AAAAAHkd3cQ=")</f>
        <v>#REF!</v>
      </c>
      <c r="GP127" t="e">
        <f>AND(Liste!#REF!,"AAAAAHkd3cU=")</f>
        <v>#REF!</v>
      </c>
      <c r="GQ127" t="e">
        <f>AND(Liste!#REF!,"AAAAAHkd3cY=")</f>
        <v>#REF!</v>
      </c>
      <c r="GR127" t="e">
        <f>AND(Liste!#REF!,"AAAAAHkd3cc=")</f>
        <v>#REF!</v>
      </c>
      <c r="GS127" t="e">
        <f>AND(Liste!#REF!,"AAAAAHkd3cg=")</f>
        <v>#REF!</v>
      </c>
      <c r="GT127" t="e">
        <f>IF(Liste!#REF!,"AAAAAHkd3ck=",0)</f>
        <v>#REF!</v>
      </c>
      <c r="GU127" t="e">
        <f>AND(Liste!#REF!,"AAAAAHkd3co=")</f>
        <v>#REF!</v>
      </c>
      <c r="GV127" t="e">
        <f>AND(Liste!#REF!,"AAAAAHkd3cs=")</f>
        <v>#REF!</v>
      </c>
      <c r="GW127" t="e">
        <f>AND(Liste!#REF!,"AAAAAHkd3cw=")</f>
        <v>#REF!</v>
      </c>
      <c r="GX127" t="e">
        <f>AND(Liste!#REF!,"AAAAAHkd3c0=")</f>
        <v>#REF!</v>
      </c>
      <c r="GY127" t="e">
        <f>AND(Liste!#REF!,"AAAAAHkd3c4=")</f>
        <v>#REF!</v>
      </c>
      <c r="GZ127" t="e">
        <f>AND(Liste!#REF!,"AAAAAHkd3c8=")</f>
        <v>#REF!</v>
      </c>
      <c r="HA127" t="e">
        <f>AND(Liste!#REF!,"AAAAAHkd3dA=")</f>
        <v>#REF!</v>
      </c>
      <c r="HB127" t="e">
        <f>AND(Liste!#REF!,"AAAAAHkd3dE=")</f>
        <v>#REF!</v>
      </c>
      <c r="HC127" t="e">
        <f>AND(Liste!#REF!,"AAAAAHkd3dI=")</f>
        <v>#REF!</v>
      </c>
      <c r="HD127" t="e">
        <f>AND(Liste!#REF!,"AAAAAHkd3dM=")</f>
        <v>#REF!</v>
      </c>
      <c r="HE127" t="e">
        <f>AND(Liste!#REF!,"AAAAAHkd3dQ=")</f>
        <v>#REF!</v>
      </c>
      <c r="HF127" t="e">
        <f>AND(Liste!#REF!,"AAAAAHkd3dU=")</f>
        <v>#REF!</v>
      </c>
      <c r="HG127" t="e">
        <f>AND(Liste!#REF!,"AAAAAHkd3dY=")</f>
        <v>#REF!</v>
      </c>
      <c r="HH127" t="e">
        <f>AND(Liste!#REF!,"AAAAAHkd3dc=")</f>
        <v>#REF!</v>
      </c>
      <c r="HI127" t="e">
        <f>AND(Liste!#REF!,"AAAAAHkd3dg=")</f>
        <v>#REF!</v>
      </c>
      <c r="HJ127" t="e">
        <f>AND(Liste!#REF!,"AAAAAHkd3dk=")</f>
        <v>#REF!</v>
      </c>
      <c r="HK127" t="e">
        <f>AND(Liste!#REF!,"AAAAAHkd3do=")</f>
        <v>#REF!</v>
      </c>
      <c r="HL127" t="e">
        <f>AND(Liste!#REF!,"AAAAAHkd3ds=")</f>
        <v>#REF!</v>
      </c>
      <c r="HM127" t="e">
        <f>AND(Liste!#REF!,"AAAAAHkd3dw=")</f>
        <v>#REF!</v>
      </c>
      <c r="HN127" t="e">
        <f>AND(Liste!#REF!,"AAAAAHkd3d0=")</f>
        <v>#REF!</v>
      </c>
      <c r="HO127" t="e">
        <f>AND(Liste!#REF!,"AAAAAHkd3d4=")</f>
        <v>#REF!</v>
      </c>
      <c r="HP127" t="e">
        <f>AND(Liste!#REF!,"AAAAAHkd3d8=")</f>
        <v>#REF!</v>
      </c>
      <c r="HQ127" t="e">
        <f>AND(Liste!#REF!,"AAAAAHkd3eA=")</f>
        <v>#REF!</v>
      </c>
      <c r="HR127" t="e">
        <f>AND(Liste!#REF!,"AAAAAHkd3eE=")</f>
        <v>#REF!</v>
      </c>
      <c r="HS127" t="e">
        <f>AND(Liste!#REF!,"AAAAAHkd3eI=")</f>
        <v>#REF!</v>
      </c>
      <c r="HT127" t="e">
        <f>AND(Liste!#REF!,"AAAAAHkd3eM=")</f>
        <v>#REF!</v>
      </c>
      <c r="HU127" t="e">
        <f>AND(Liste!#REF!,"AAAAAHkd3eQ=")</f>
        <v>#REF!</v>
      </c>
      <c r="HV127" t="e">
        <f>AND(Liste!#REF!,"AAAAAHkd3eU=")</f>
        <v>#REF!</v>
      </c>
      <c r="HW127" t="e">
        <f>AND(Liste!#REF!,"AAAAAHkd3eY=")</f>
        <v>#REF!</v>
      </c>
      <c r="HX127" t="e">
        <f>AND(Liste!#REF!,"AAAAAHkd3ec=")</f>
        <v>#REF!</v>
      </c>
      <c r="HY127" t="e">
        <f>IF(Liste!#REF!,"AAAAAHkd3eg=",0)</f>
        <v>#REF!</v>
      </c>
      <c r="HZ127" t="e">
        <f>AND(Liste!#REF!,"AAAAAHkd3ek=")</f>
        <v>#REF!</v>
      </c>
      <c r="IA127" t="e">
        <f>AND(Liste!#REF!,"AAAAAHkd3eo=")</f>
        <v>#REF!</v>
      </c>
      <c r="IB127" t="e">
        <f>AND(Liste!#REF!,"AAAAAHkd3es=")</f>
        <v>#REF!</v>
      </c>
      <c r="IC127" t="e">
        <f>AND(Liste!#REF!,"AAAAAHkd3ew=")</f>
        <v>#REF!</v>
      </c>
      <c r="ID127" t="e">
        <f>AND(Liste!#REF!,"AAAAAHkd3e0=")</f>
        <v>#REF!</v>
      </c>
      <c r="IE127" t="e">
        <f>AND(Liste!#REF!,"AAAAAHkd3e4=")</f>
        <v>#REF!</v>
      </c>
      <c r="IF127" t="e">
        <f>AND(Liste!#REF!,"AAAAAHkd3e8=")</f>
        <v>#REF!</v>
      </c>
      <c r="IG127" t="e">
        <f>AND(Liste!#REF!,"AAAAAHkd3fA=")</f>
        <v>#REF!</v>
      </c>
      <c r="IH127" t="e">
        <f>AND(Liste!#REF!,"AAAAAHkd3fE=")</f>
        <v>#REF!</v>
      </c>
      <c r="II127" t="e">
        <f>AND(Liste!#REF!,"AAAAAHkd3fI=")</f>
        <v>#REF!</v>
      </c>
      <c r="IJ127" t="e">
        <f>AND(Liste!#REF!,"AAAAAHkd3fM=")</f>
        <v>#REF!</v>
      </c>
      <c r="IK127" t="e">
        <f>AND(Liste!#REF!,"AAAAAHkd3fQ=")</f>
        <v>#REF!</v>
      </c>
      <c r="IL127" t="e">
        <f>AND(Liste!#REF!,"AAAAAHkd3fU=")</f>
        <v>#REF!</v>
      </c>
      <c r="IM127" t="e">
        <f>AND(Liste!#REF!,"AAAAAHkd3fY=")</f>
        <v>#REF!</v>
      </c>
      <c r="IN127" t="e">
        <f>AND(Liste!#REF!,"AAAAAHkd3fc=")</f>
        <v>#REF!</v>
      </c>
      <c r="IO127" t="e">
        <f>AND(Liste!#REF!,"AAAAAHkd3fg=")</f>
        <v>#REF!</v>
      </c>
      <c r="IP127" t="e">
        <f>AND(Liste!#REF!,"AAAAAHkd3fk=")</f>
        <v>#REF!</v>
      </c>
      <c r="IQ127" t="e">
        <f>AND(Liste!#REF!,"AAAAAHkd3fo=")</f>
        <v>#REF!</v>
      </c>
      <c r="IR127" t="e">
        <f>AND(Liste!#REF!,"AAAAAHkd3fs=")</f>
        <v>#REF!</v>
      </c>
      <c r="IS127" t="e">
        <f>AND(Liste!#REF!,"AAAAAHkd3fw=")</f>
        <v>#REF!</v>
      </c>
      <c r="IT127" t="e">
        <f>AND(Liste!#REF!,"AAAAAHkd3f0=")</f>
        <v>#REF!</v>
      </c>
      <c r="IU127" t="e">
        <f>AND(Liste!#REF!,"AAAAAHkd3f4=")</f>
        <v>#REF!</v>
      </c>
      <c r="IV127" t="e">
        <f>AND(Liste!#REF!,"AAAAAHkd3f8=")</f>
        <v>#REF!</v>
      </c>
    </row>
    <row r="128" spans="1:256" x14ac:dyDescent="0.2">
      <c r="A128" t="e">
        <f>AND(Liste!#REF!,"AAAAAE7n7wA=")</f>
        <v>#REF!</v>
      </c>
      <c r="B128" t="e">
        <f>AND(Liste!#REF!,"AAAAAE7n7wE=")</f>
        <v>#REF!</v>
      </c>
      <c r="C128" t="e">
        <f>AND(Liste!#REF!,"AAAAAE7n7wI=")</f>
        <v>#REF!</v>
      </c>
      <c r="D128" t="e">
        <f>AND(Liste!#REF!,"AAAAAE7n7wM=")</f>
        <v>#REF!</v>
      </c>
      <c r="E128" t="e">
        <f>AND(Liste!#REF!,"AAAAAE7n7wQ=")</f>
        <v>#REF!</v>
      </c>
      <c r="F128" t="e">
        <f>AND(Liste!#REF!,"AAAAAE7n7wU=")</f>
        <v>#REF!</v>
      </c>
      <c r="G128" t="e">
        <f>AND(Liste!#REF!,"AAAAAE7n7wY=")</f>
        <v>#REF!</v>
      </c>
      <c r="H128" t="e">
        <f>IF(Liste!#REF!,"AAAAAE7n7wc=",0)</f>
        <v>#REF!</v>
      </c>
      <c r="I128" t="e">
        <f>AND(Liste!#REF!,"AAAAAE7n7wg=")</f>
        <v>#REF!</v>
      </c>
      <c r="J128" t="e">
        <f>AND(Liste!#REF!,"AAAAAE7n7wk=")</f>
        <v>#REF!</v>
      </c>
      <c r="K128" t="e">
        <f>AND(Liste!#REF!,"AAAAAE7n7wo=")</f>
        <v>#REF!</v>
      </c>
      <c r="L128" t="e">
        <f>AND(Liste!#REF!,"AAAAAE7n7ws=")</f>
        <v>#REF!</v>
      </c>
      <c r="M128" t="e">
        <f>AND(Liste!#REF!,"AAAAAE7n7ww=")</f>
        <v>#REF!</v>
      </c>
      <c r="N128" t="e">
        <f>AND(Liste!#REF!,"AAAAAE7n7w0=")</f>
        <v>#REF!</v>
      </c>
      <c r="O128" t="e">
        <f>AND(Liste!#REF!,"AAAAAE7n7w4=")</f>
        <v>#REF!</v>
      </c>
      <c r="P128" t="e">
        <f>AND(Liste!#REF!,"AAAAAE7n7w8=")</f>
        <v>#REF!</v>
      </c>
      <c r="Q128" t="e">
        <f>AND(Liste!#REF!,"AAAAAE7n7xA=")</f>
        <v>#REF!</v>
      </c>
      <c r="R128" t="e">
        <f>AND(Liste!#REF!,"AAAAAE7n7xE=")</f>
        <v>#REF!</v>
      </c>
      <c r="S128" t="e">
        <f>AND(Liste!#REF!,"AAAAAE7n7xI=")</f>
        <v>#REF!</v>
      </c>
      <c r="T128" t="e">
        <f>AND(Liste!#REF!,"AAAAAE7n7xM=")</f>
        <v>#REF!</v>
      </c>
      <c r="U128" t="e">
        <f>AND(Liste!#REF!,"AAAAAE7n7xQ=")</f>
        <v>#REF!</v>
      </c>
      <c r="V128" t="e">
        <f>AND(Liste!#REF!,"AAAAAE7n7xU=")</f>
        <v>#REF!</v>
      </c>
      <c r="W128" t="e">
        <f>AND(Liste!#REF!,"AAAAAE7n7xY=")</f>
        <v>#REF!</v>
      </c>
      <c r="X128" t="e">
        <f>AND(Liste!#REF!,"AAAAAE7n7xc=")</f>
        <v>#REF!</v>
      </c>
      <c r="Y128" t="e">
        <f>AND(Liste!#REF!,"AAAAAE7n7xg=")</f>
        <v>#REF!</v>
      </c>
      <c r="Z128" t="e">
        <f>AND(Liste!#REF!,"AAAAAE7n7xk=")</f>
        <v>#REF!</v>
      </c>
      <c r="AA128" t="e">
        <f>AND(Liste!#REF!,"AAAAAE7n7xo=")</f>
        <v>#REF!</v>
      </c>
      <c r="AB128" t="e">
        <f>AND(Liste!#REF!,"AAAAAE7n7xs=")</f>
        <v>#REF!</v>
      </c>
      <c r="AC128" t="e">
        <f>AND(Liste!#REF!,"AAAAAE7n7xw=")</f>
        <v>#REF!</v>
      </c>
      <c r="AD128" t="e">
        <f>AND(Liste!#REF!,"AAAAAE7n7x0=")</f>
        <v>#REF!</v>
      </c>
      <c r="AE128" t="e">
        <f>AND(Liste!#REF!,"AAAAAE7n7x4=")</f>
        <v>#REF!</v>
      </c>
      <c r="AF128" t="e">
        <f>AND(Liste!#REF!,"AAAAAE7n7x8=")</f>
        <v>#REF!</v>
      </c>
      <c r="AG128" t="e">
        <f>AND(Liste!#REF!,"AAAAAE7n7yA=")</f>
        <v>#REF!</v>
      </c>
      <c r="AH128" t="e">
        <f>AND(Liste!#REF!,"AAAAAE7n7yE=")</f>
        <v>#REF!</v>
      </c>
      <c r="AI128" t="e">
        <f>AND(Liste!#REF!,"AAAAAE7n7yI=")</f>
        <v>#REF!</v>
      </c>
      <c r="AJ128" t="e">
        <f>AND(Liste!#REF!,"AAAAAE7n7yM=")</f>
        <v>#REF!</v>
      </c>
      <c r="AK128" t="e">
        <f>AND(Liste!#REF!,"AAAAAE7n7yQ=")</f>
        <v>#REF!</v>
      </c>
      <c r="AL128" t="e">
        <f>AND(Liste!#REF!,"AAAAAE7n7yU=")</f>
        <v>#REF!</v>
      </c>
      <c r="AM128" t="e">
        <f>IF(Liste!#REF!,"AAAAAE7n7yY=",0)</f>
        <v>#REF!</v>
      </c>
      <c r="AN128" t="e">
        <f>AND(Liste!#REF!,"AAAAAE7n7yc=")</f>
        <v>#REF!</v>
      </c>
      <c r="AO128" t="e">
        <f>AND(Liste!#REF!,"AAAAAE7n7yg=")</f>
        <v>#REF!</v>
      </c>
      <c r="AP128" t="e">
        <f>AND(Liste!#REF!,"AAAAAE7n7yk=")</f>
        <v>#REF!</v>
      </c>
      <c r="AQ128" t="e">
        <f>AND(Liste!#REF!,"AAAAAE7n7yo=")</f>
        <v>#REF!</v>
      </c>
      <c r="AR128" t="e">
        <f>AND(Liste!#REF!,"AAAAAE7n7ys=")</f>
        <v>#REF!</v>
      </c>
      <c r="AS128" t="e">
        <f>AND(Liste!#REF!,"AAAAAE7n7yw=")</f>
        <v>#REF!</v>
      </c>
      <c r="AT128" t="e">
        <f>AND(Liste!#REF!,"AAAAAE7n7y0=")</f>
        <v>#REF!</v>
      </c>
      <c r="AU128" t="e">
        <f>AND(Liste!#REF!,"AAAAAE7n7y4=")</f>
        <v>#REF!</v>
      </c>
      <c r="AV128" t="e">
        <f>AND(Liste!#REF!,"AAAAAE7n7y8=")</f>
        <v>#REF!</v>
      </c>
      <c r="AW128" t="e">
        <f>AND(Liste!#REF!,"AAAAAE7n7zA=")</f>
        <v>#REF!</v>
      </c>
      <c r="AX128" t="e">
        <f>AND(Liste!#REF!,"AAAAAE7n7zE=")</f>
        <v>#REF!</v>
      </c>
      <c r="AY128" t="e">
        <f>AND(Liste!#REF!,"AAAAAE7n7zI=")</f>
        <v>#REF!</v>
      </c>
      <c r="AZ128" t="e">
        <f>AND(Liste!#REF!,"AAAAAE7n7zM=")</f>
        <v>#REF!</v>
      </c>
      <c r="BA128" t="e">
        <f>AND(Liste!#REF!,"AAAAAE7n7zQ=")</f>
        <v>#REF!</v>
      </c>
      <c r="BB128" t="e">
        <f>AND(Liste!#REF!,"AAAAAE7n7zU=")</f>
        <v>#REF!</v>
      </c>
      <c r="BC128" t="e">
        <f>AND(Liste!#REF!,"AAAAAE7n7zY=")</f>
        <v>#REF!</v>
      </c>
      <c r="BD128" t="e">
        <f>AND(Liste!#REF!,"AAAAAE7n7zc=")</f>
        <v>#REF!</v>
      </c>
      <c r="BE128" t="e">
        <f>AND(Liste!#REF!,"AAAAAE7n7zg=")</f>
        <v>#REF!</v>
      </c>
      <c r="BF128" t="e">
        <f>AND(Liste!#REF!,"AAAAAE7n7zk=")</f>
        <v>#REF!</v>
      </c>
      <c r="BG128" t="e">
        <f>AND(Liste!#REF!,"AAAAAE7n7zo=")</f>
        <v>#REF!</v>
      </c>
      <c r="BH128" t="e">
        <f>AND(Liste!#REF!,"AAAAAE7n7zs=")</f>
        <v>#REF!</v>
      </c>
      <c r="BI128" t="e">
        <f>AND(Liste!#REF!,"AAAAAE7n7zw=")</f>
        <v>#REF!</v>
      </c>
      <c r="BJ128" t="e">
        <f>AND(Liste!#REF!,"AAAAAE7n7z0=")</f>
        <v>#REF!</v>
      </c>
      <c r="BK128" t="e">
        <f>AND(Liste!#REF!,"AAAAAE7n7z4=")</f>
        <v>#REF!</v>
      </c>
      <c r="BL128" t="e">
        <f>AND(Liste!#REF!,"AAAAAE7n7z8=")</f>
        <v>#REF!</v>
      </c>
      <c r="BM128" t="e">
        <f>AND(Liste!#REF!,"AAAAAE7n70A=")</f>
        <v>#REF!</v>
      </c>
      <c r="BN128" t="e">
        <f>AND(Liste!#REF!,"AAAAAE7n70E=")</f>
        <v>#REF!</v>
      </c>
      <c r="BO128" t="e">
        <f>AND(Liste!#REF!,"AAAAAE7n70I=")</f>
        <v>#REF!</v>
      </c>
      <c r="BP128" t="e">
        <f>AND(Liste!#REF!,"AAAAAE7n70M=")</f>
        <v>#REF!</v>
      </c>
      <c r="BQ128" t="e">
        <f>AND(Liste!#REF!,"AAAAAE7n70Q=")</f>
        <v>#REF!</v>
      </c>
      <c r="BR128" t="e">
        <f>IF(Liste!#REF!,"AAAAAE7n70U=",0)</f>
        <v>#REF!</v>
      </c>
      <c r="BS128" t="e">
        <f>AND(Liste!#REF!,"AAAAAE7n70Y=")</f>
        <v>#REF!</v>
      </c>
      <c r="BT128" t="e">
        <f>AND(Liste!#REF!,"AAAAAE7n70c=")</f>
        <v>#REF!</v>
      </c>
      <c r="BU128" t="e">
        <f>AND(Liste!#REF!,"AAAAAE7n70g=")</f>
        <v>#REF!</v>
      </c>
      <c r="BV128" t="e">
        <f>AND(Liste!#REF!,"AAAAAE7n70k=")</f>
        <v>#REF!</v>
      </c>
      <c r="BW128" t="e">
        <f>AND(Liste!#REF!,"AAAAAE7n70o=")</f>
        <v>#REF!</v>
      </c>
      <c r="BX128" t="e">
        <f>AND(Liste!#REF!,"AAAAAE7n70s=")</f>
        <v>#REF!</v>
      </c>
      <c r="BY128" t="e">
        <f>AND(Liste!#REF!,"AAAAAE7n70w=")</f>
        <v>#REF!</v>
      </c>
      <c r="BZ128" t="e">
        <f>AND(Liste!#REF!,"AAAAAE7n700=")</f>
        <v>#REF!</v>
      </c>
      <c r="CA128" t="e">
        <f>AND(Liste!#REF!,"AAAAAE7n704=")</f>
        <v>#REF!</v>
      </c>
      <c r="CB128" t="e">
        <f>AND(Liste!#REF!,"AAAAAE7n708=")</f>
        <v>#REF!</v>
      </c>
      <c r="CC128" t="e">
        <f>AND(Liste!#REF!,"AAAAAE7n71A=")</f>
        <v>#REF!</v>
      </c>
      <c r="CD128" t="e">
        <f>AND(Liste!#REF!,"AAAAAE7n71E=")</f>
        <v>#REF!</v>
      </c>
      <c r="CE128" t="e">
        <f>AND(Liste!#REF!,"AAAAAE7n71I=")</f>
        <v>#REF!</v>
      </c>
      <c r="CF128" t="e">
        <f>AND(Liste!#REF!,"AAAAAE7n71M=")</f>
        <v>#REF!</v>
      </c>
      <c r="CG128" t="e">
        <f>AND(Liste!#REF!,"AAAAAE7n71Q=")</f>
        <v>#REF!</v>
      </c>
      <c r="CH128" t="e">
        <f>AND(Liste!#REF!,"AAAAAE7n71U=")</f>
        <v>#REF!</v>
      </c>
      <c r="CI128" t="e">
        <f>AND(Liste!#REF!,"AAAAAE7n71Y=")</f>
        <v>#REF!</v>
      </c>
      <c r="CJ128" t="e">
        <f>AND(Liste!#REF!,"AAAAAE7n71c=")</f>
        <v>#REF!</v>
      </c>
      <c r="CK128" t="e">
        <f>AND(Liste!#REF!,"AAAAAE7n71g=")</f>
        <v>#REF!</v>
      </c>
      <c r="CL128" t="e">
        <f>AND(Liste!#REF!,"AAAAAE7n71k=")</f>
        <v>#REF!</v>
      </c>
      <c r="CM128" t="e">
        <f>AND(Liste!#REF!,"AAAAAE7n71o=")</f>
        <v>#REF!</v>
      </c>
      <c r="CN128" t="e">
        <f>AND(Liste!#REF!,"AAAAAE7n71s=")</f>
        <v>#REF!</v>
      </c>
      <c r="CO128" t="e">
        <f>AND(Liste!#REF!,"AAAAAE7n71w=")</f>
        <v>#REF!</v>
      </c>
      <c r="CP128" t="e">
        <f>AND(Liste!#REF!,"AAAAAE7n710=")</f>
        <v>#REF!</v>
      </c>
      <c r="CQ128" t="e">
        <f>AND(Liste!#REF!,"AAAAAE7n714=")</f>
        <v>#REF!</v>
      </c>
      <c r="CR128" t="e">
        <f>AND(Liste!#REF!,"AAAAAE7n718=")</f>
        <v>#REF!</v>
      </c>
      <c r="CS128" t="e">
        <f>AND(Liste!#REF!,"AAAAAE7n72A=")</f>
        <v>#REF!</v>
      </c>
      <c r="CT128" t="e">
        <f>AND(Liste!#REF!,"AAAAAE7n72E=")</f>
        <v>#REF!</v>
      </c>
      <c r="CU128" t="e">
        <f>AND(Liste!#REF!,"AAAAAE7n72I=")</f>
        <v>#REF!</v>
      </c>
      <c r="CV128" t="e">
        <f>AND(Liste!#REF!,"AAAAAE7n72M=")</f>
        <v>#REF!</v>
      </c>
      <c r="CW128" t="e">
        <f>IF(Liste!#REF!,"AAAAAE7n72Q=",0)</f>
        <v>#REF!</v>
      </c>
      <c r="CX128" t="e">
        <f>AND(Liste!#REF!,"AAAAAE7n72U=")</f>
        <v>#REF!</v>
      </c>
      <c r="CY128" t="e">
        <f>AND(Liste!#REF!,"AAAAAE7n72Y=")</f>
        <v>#REF!</v>
      </c>
      <c r="CZ128" t="e">
        <f>AND(Liste!#REF!,"AAAAAE7n72c=")</f>
        <v>#REF!</v>
      </c>
      <c r="DA128" t="e">
        <f>AND(Liste!#REF!,"AAAAAE7n72g=")</f>
        <v>#REF!</v>
      </c>
      <c r="DB128" t="e">
        <f>AND(Liste!#REF!,"AAAAAE7n72k=")</f>
        <v>#REF!</v>
      </c>
      <c r="DC128" t="e">
        <f>AND(Liste!#REF!,"AAAAAE7n72o=")</f>
        <v>#REF!</v>
      </c>
      <c r="DD128" t="e">
        <f>AND(Liste!#REF!,"AAAAAE7n72s=")</f>
        <v>#REF!</v>
      </c>
      <c r="DE128" t="e">
        <f>AND(Liste!#REF!,"AAAAAE7n72w=")</f>
        <v>#REF!</v>
      </c>
      <c r="DF128" t="e">
        <f>AND(Liste!#REF!,"AAAAAE7n720=")</f>
        <v>#REF!</v>
      </c>
      <c r="DG128" t="e">
        <f>AND(Liste!#REF!,"AAAAAE7n724=")</f>
        <v>#REF!</v>
      </c>
      <c r="DH128" t="e">
        <f>AND(Liste!#REF!,"AAAAAE7n728=")</f>
        <v>#REF!</v>
      </c>
      <c r="DI128" t="e">
        <f>AND(Liste!#REF!,"AAAAAE7n73A=")</f>
        <v>#REF!</v>
      </c>
      <c r="DJ128" t="e">
        <f>AND(Liste!#REF!,"AAAAAE7n73E=")</f>
        <v>#REF!</v>
      </c>
      <c r="DK128" t="e">
        <f>AND(Liste!#REF!,"AAAAAE7n73I=")</f>
        <v>#REF!</v>
      </c>
      <c r="DL128" t="e">
        <f>AND(Liste!#REF!,"AAAAAE7n73M=")</f>
        <v>#REF!</v>
      </c>
      <c r="DM128" t="e">
        <f>AND(Liste!#REF!,"AAAAAE7n73Q=")</f>
        <v>#REF!</v>
      </c>
      <c r="DN128" t="e">
        <f>AND(Liste!#REF!,"AAAAAE7n73U=")</f>
        <v>#REF!</v>
      </c>
      <c r="DO128" t="e">
        <f>AND(Liste!#REF!,"AAAAAE7n73Y=")</f>
        <v>#REF!</v>
      </c>
      <c r="DP128" t="e">
        <f>AND(Liste!#REF!,"AAAAAE7n73c=")</f>
        <v>#REF!</v>
      </c>
      <c r="DQ128" t="e">
        <f>AND(Liste!#REF!,"AAAAAE7n73g=")</f>
        <v>#REF!</v>
      </c>
      <c r="DR128" t="e">
        <f>AND(Liste!#REF!,"AAAAAE7n73k=")</f>
        <v>#REF!</v>
      </c>
      <c r="DS128" t="e">
        <f>AND(Liste!#REF!,"AAAAAE7n73o=")</f>
        <v>#REF!</v>
      </c>
      <c r="DT128" t="e">
        <f>AND(Liste!#REF!,"AAAAAE7n73s=")</f>
        <v>#REF!</v>
      </c>
      <c r="DU128" t="e">
        <f>AND(Liste!#REF!,"AAAAAE7n73w=")</f>
        <v>#REF!</v>
      </c>
      <c r="DV128" t="e">
        <f>AND(Liste!#REF!,"AAAAAE7n730=")</f>
        <v>#REF!</v>
      </c>
      <c r="DW128" t="e">
        <f>AND(Liste!#REF!,"AAAAAE7n734=")</f>
        <v>#REF!</v>
      </c>
      <c r="DX128" t="e">
        <f>AND(Liste!#REF!,"AAAAAE7n738=")</f>
        <v>#REF!</v>
      </c>
      <c r="DY128" t="e">
        <f>AND(Liste!#REF!,"AAAAAE7n74A=")</f>
        <v>#REF!</v>
      </c>
      <c r="DZ128" t="e">
        <f>AND(Liste!#REF!,"AAAAAE7n74E=")</f>
        <v>#REF!</v>
      </c>
      <c r="EA128" t="e">
        <f>AND(Liste!#REF!,"AAAAAE7n74I=")</f>
        <v>#REF!</v>
      </c>
      <c r="EB128" t="e">
        <f>IF(Liste!#REF!,"AAAAAE7n74M=",0)</f>
        <v>#REF!</v>
      </c>
      <c r="EC128" t="e">
        <f>AND(Liste!#REF!,"AAAAAE7n74Q=")</f>
        <v>#REF!</v>
      </c>
      <c r="ED128" t="e">
        <f>AND(Liste!#REF!,"AAAAAE7n74U=")</f>
        <v>#REF!</v>
      </c>
      <c r="EE128" t="e">
        <f>AND(Liste!#REF!,"AAAAAE7n74Y=")</f>
        <v>#REF!</v>
      </c>
      <c r="EF128" t="e">
        <f>AND(Liste!#REF!,"AAAAAE7n74c=")</f>
        <v>#REF!</v>
      </c>
      <c r="EG128" t="e">
        <f>AND(Liste!#REF!,"AAAAAE7n74g=")</f>
        <v>#REF!</v>
      </c>
      <c r="EH128" t="e">
        <f>AND(Liste!#REF!,"AAAAAE7n74k=")</f>
        <v>#REF!</v>
      </c>
      <c r="EI128" t="e">
        <f>AND(Liste!#REF!,"AAAAAE7n74o=")</f>
        <v>#REF!</v>
      </c>
      <c r="EJ128" t="e">
        <f>AND(Liste!#REF!,"AAAAAE7n74s=")</f>
        <v>#REF!</v>
      </c>
      <c r="EK128" t="e">
        <f>AND(Liste!#REF!,"AAAAAE7n74w=")</f>
        <v>#REF!</v>
      </c>
      <c r="EL128" t="e">
        <f>AND(Liste!#REF!,"AAAAAE7n740=")</f>
        <v>#REF!</v>
      </c>
      <c r="EM128" t="e">
        <f>AND(Liste!#REF!,"AAAAAE7n744=")</f>
        <v>#REF!</v>
      </c>
      <c r="EN128" t="e">
        <f>AND(Liste!#REF!,"AAAAAE7n748=")</f>
        <v>#REF!</v>
      </c>
      <c r="EO128" t="e">
        <f>AND(Liste!#REF!,"AAAAAE7n75A=")</f>
        <v>#REF!</v>
      </c>
      <c r="EP128" t="e">
        <f>AND(Liste!#REF!,"AAAAAE7n75E=")</f>
        <v>#REF!</v>
      </c>
      <c r="EQ128" t="e">
        <f>AND(Liste!#REF!,"AAAAAE7n75I=")</f>
        <v>#REF!</v>
      </c>
      <c r="ER128" t="e">
        <f>AND(Liste!#REF!,"AAAAAE7n75M=")</f>
        <v>#REF!</v>
      </c>
      <c r="ES128" t="e">
        <f>AND(Liste!#REF!,"AAAAAE7n75Q=")</f>
        <v>#REF!</v>
      </c>
      <c r="ET128" t="e">
        <f>AND(Liste!#REF!,"AAAAAE7n75U=")</f>
        <v>#REF!</v>
      </c>
      <c r="EU128" t="e">
        <f>AND(Liste!#REF!,"AAAAAE7n75Y=")</f>
        <v>#REF!</v>
      </c>
      <c r="EV128" t="e">
        <f>AND(Liste!#REF!,"AAAAAE7n75c=")</f>
        <v>#REF!</v>
      </c>
      <c r="EW128" t="e">
        <f>AND(Liste!#REF!,"AAAAAE7n75g=")</f>
        <v>#REF!</v>
      </c>
      <c r="EX128" t="e">
        <f>AND(Liste!#REF!,"AAAAAE7n75k=")</f>
        <v>#REF!</v>
      </c>
      <c r="EY128" t="e">
        <f>AND(Liste!#REF!,"AAAAAE7n75o=")</f>
        <v>#REF!</v>
      </c>
      <c r="EZ128" t="e">
        <f>AND(Liste!#REF!,"AAAAAE7n75s=")</f>
        <v>#REF!</v>
      </c>
      <c r="FA128" t="e">
        <f>AND(Liste!#REF!,"AAAAAE7n75w=")</f>
        <v>#REF!</v>
      </c>
      <c r="FB128" t="e">
        <f>AND(Liste!#REF!,"AAAAAE7n750=")</f>
        <v>#REF!</v>
      </c>
      <c r="FC128" t="e">
        <f>AND(Liste!#REF!,"AAAAAE7n754=")</f>
        <v>#REF!</v>
      </c>
      <c r="FD128" t="e">
        <f>AND(Liste!#REF!,"AAAAAE7n758=")</f>
        <v>#REF!</v>
      </c>
      <c r="FE128" t="e">
        <f>AND(Liste!#REF!,"AAAAAE7n76A=")</f>
        <v>#REF!</v>
      </c>
      <c r="FF128" t="e">
        <f>AND(Liste!#REF!,"AAAAAE7n76E=")</f>
        <v>#REF!</v>
      </c>
      <c r="FG128" t="e">
        <f>IF(Liste!#REF!,"AAAAAE7n76I=",0)</f>
        <v>#REF!</v>
      </c>
      <c r="FH128" t="e">
        <f>AND(Liste!#REF!,"AAAAAE7n76M=")</f>
        <v>#REF!</v>
      </c>
      <c r="FI128" t="e">
        <f>AND(Liste!#REF!,"AAAAAE7n76Q=")</f>
        <v>#REF!</v>
      </c>
      <c r="FJ128" t="e">
        <f>AND(Liste!#REF!,"AAAAAE7n76U=")</f>
        <v>#REF!</v>
      </c>
      <c r="FK128" t="e">
        <f>AND(Liste!#REF!,"AAAAAE7n76Y=")</f>
        <v>#REF!</v>
      </c>
      <c r="FL128" t="e">
        <f>AND(Liste!#REF!,"AAAAAE7n76c=")</f>
        <v>#REF!</v>
      </c>
      <c r="FM128" t="e">
        <f>AND(Liste!#REF!,"AAAAAE7n76g=")</f>
        <v>#REF!</v>
      </c>
      <c r="FN128" t="e">
        <f>AND(Liste!#REF!,"AAAAAE7n76k=")</f>
        <v>#REF!</v>
      </c>
      <c r="FO128" t="e">
        <f>AND(Liste!#REF!,"AAAAAE7n76o=")</f>
        <v>#REF!</v>
      </c>
      <c r="FP128" t="e">
        <f>AND(Liste!#REF!,"AAAAAE7n76s=")</f>
        <v>#REF!</v>
      </c>
      <c r="FQ128" t="e">
        <f>AND(Liste!#REF!,"AAAAAE7n76w=")</f>
        <v>#REF!</v>
      </c>
      <c r="FR128" t="e">
        <f>AND(Liste!#REF!,"AAAAAE7n760=")</f>
        <v>#REF!</v>
      </c>
      <c r="FS128" t="e">
        <f>AND(Liste!#REF!,"AAAAAE7n764=")</f>
        <v>#REF!</v>
      </c>
      <c r="FT128" t="e">
        <f>AND(Liste!#REF!,"AAAAAE7n768=")</f>
        <v>#REF!</v>
      </c>
      <c r="FU128" t="e">
        <f>AND(Liste!#REF!,"AAAAAE7n77A=")</f>
        <v>#REF!</v>
      </c>
      <c r="FV128" t="e">
        <f>AND(Liste!#REF!,"AAAAAE7n77E=")</f>
        <v>#REF!</v>
      </c>
      <c r="FW128" t="e">
        <f>AND(Liste!#REF!,"AAAAAE7n77I=")</f>
        <v>#REF!</v>
      </c>
      <c r="FX128" t="e">
        <f>AND(Liste!#REF!,"AAAAAE7n77M=")</f>
        <v>#REF!</v>
      </c>
      <c r="FY128" t="e">
        <f>AND(Liste!#REF!,"AAAAAE7n77Q=")</f>
        <v>#REF!</v>
      </c>
      <c r="FZ128" t="e">
        <f>AND(Liste!#REF!,"AAAAAE7n77U=")</f>
        <v>#REF!</v>
      </c>
      <c r="GA128" t="e">
        <f>AND(Liste!#REF!,"AAAAAE7n77Y=")</f>
        <v>#REF!</v>
      </c>
      <c r="GB128" t="e">
        <f>AND(Liste!#REF!,"AAAAAE7n77c=")</f>
        <v>#REF!</v>
      </c>
      <c r="GC128" t="e">
        <f>AND(Liste!#REF!,"AAAAAE7n77g=")</f>
        <v>#REF!</v>
      </c>
      <c r="GD128" t="e">
        <f>AND(Liste!#REF!,"AAAAAE7n77k=")</f>
        <v>#REF!</v>
      </c>
      <c r="GE128" t="e">
        <f>AND(Liste!#REF!,"AAAAAE7n77o=")</f>
        <v>#REF!</v>
      </c>
      <c r="GF128" t="e">
        <f>AND(Liste!#REF!,"AAAAAE7n77s=")</f>
        <v>#REF!</v>
      </c>
      <c r="GG128" t="e">
        <f>AND(Liste!#REF!,"AAAAAE7n77w=")</f>
        <v>#REF!</v>
      </c>
      <c r="GH128" t="e">
        <f>AND(Liste!#REF!,"AAAAAE7n770=")</f>
        <v>#REF!</v>
      </c>
      <c r="GI128" t="e">
        <f>AND(Liste!#REF!,"AAAAAE7n774=")</f>
        <v>#REF!</v>
      </c>
      <c r="GJ128" t="e">
        <f>AND(Liste!#REF!,"AAAAAE7n778=")</f>
        <v>#REF!</v>
      </c>
      <c r="GK128" t="e">
        <f>AND(Liste!#REF!,"AAAAAE7n78A=")</f>
        <v>#REF!</v>
      </c>
      <c r="GL128" t="e">
        <f>IF(Liste!#REF!,"AAAAAE7n78E=",0)</f>
        <v>#REF!</v>
      </c>
      <c r="GM128" t="e">
        <f>AND(Liste!#REF!,"AAAAAE7n78I=")</f>
        <v>#REF!</v>
      </c>
      <c r="GN128" t="e">
        <f>AND(Liste!#REF!,"AAAAAE7n78M=")</f>
        <v>#REF!</v>
      </c>
      <c r="GO128" t="e">
        <f>AND(Liste!#REF!,"AAAAAE7n78Q=")</f>
        <v>#REF!</v>
      </c>
      <c r="GP128" t="e">
        <f>AND(Liste!#REF!,"AAAAAE7n78U=")</f>
        <v>#REF!</v>
      </c>
      <c r="GQ128" t="e">
        <f>AND(Liste!#REF!,"AAAAAE7n78Y=")</f>
        <v>#REF!</v>
      </c>
      <c r="GR128" t="e">
        <f>AND(Liste!#REF!,"AAAAAE7n78c=")</f>
        <v>#REF!</v>
      </c>
      <c r="GS128" t="e">
        <f>AND(Liste!#REF!,"AAAAAE7n78g=")</f>
        <v>#REF!</v>
      </c>
      <c r="GT128" t="e">
        <f>AND(Liste!#REF!,"AAAAAE7n78k=")</f>
        <v>#REF!</v>
      </c>
      <c r="GU128" t="e">
        <f>AND(Liste!#REF!,"AAAAAE7n78o=")</f>
        <v>#REF!</v>
      </c>
      <c r="GV128" t="e">
        <f>AND(Liste!#REF!,"AAAAAE7n78s=")</f>
        <v>#REF!</v>
      </c>
      <c r="GW128" t="e">
        <f>AND(Liste!#REF!,"AAAAAE7n78w=")</f>
        <v>#REF!</v>
      </c>
      <c r="GX128" t="e">
        <f>AND(Liste!#REF!,"AAAAAE7n780=")</f>
        <v>#REF!</v>
      </c>
      <c r="GY128" t="e">
        <f>AND(Liste!#REF!,"AAAAAE7n784=")</f>
        <v>#REF!</v>
      </c>
      <c r="GZ128" t="e">
        <f>AND(Liste!#REF!,"AAAAAE7n788=")</f>
        <v>#REF!</v>
      </c>
      <c r="HA128" t="e">
        <f>AND(Liste!#REF!,"AAAAAE7n79A=")</f>
        <v>#REF!</v>
      </c>
      <c r="HB128" t="e">
        <f>AND(Liste!#REF!,"AAAAAE7n79E=")</f>
        <v>#REF!</v>
      </c>
      <c r="HC128" t="e">
        <f>AND(Liste!#REF!,"AAAAAE7n79I=")</f>
        <v>#REF!</v>
      </c>
      <c r="HD128" t="e">
        <f>AND(Liste!#REF!,"AAAAAE7n79M=")</f>
        <v>#REF!</v>
      </c>
      <c r="HE128" t="e">
        <f>AND(Liste!#REF!,"AAAAAE7n79Q=")</f>
        <v>#REF!</v>
      </c>
      <c r="HF128" t="e">
        <f>AND(Liste!#REF!,"AAAAAE7n79U=")</f>
        <v>#REF!</v>
      </c>
      <c r="HG128" t="e">
        <f>AND(Liste!#REF!,"AAAAAE7n79Y=")</f>
        <v>#REF!</v>
      </c>
      <c r="HH128" t="e">
        <f>AND(Liste!#REF!,"AAAAAE7n79c=")</f>
        <v>#REF!</v>
      </c>
      <c r="HI128" t="e">
        <f>AND(Liste!#REF!,"AAAAAE7n79g=")</f>
        <v>#REF!</v>
      </c>
      <c r="HJ128" t="e">
        <f>AND(Liste!#REF!,"AAAAAE7n79k=")</f>
        <v>#REF!</v>
      </c>
      <c r="HK128" t="e">
        <f>AND(Liste!#REF!,"AAAAAE7n79o=")</f>
        <v>#REF!</v>
      </c>
      <c r="HL128" t="e">
        <f>AND(Liste!#REF!,"AAAAAE7n79s=")</f>
        <v>#REF!</v>
      </c>
      <c r="HM128" t="e">
        <f>AND(Liste!#REF!,"AAAAAE7n79w=")</f>
        <v>#REF!</v>
      </c>
      <c r="HN128" t="e">
        <f>AND(Liste!#REF!,"AAAAAE7n790=")</f>
        <v>#REF!</v>
      </c>
      <c r="HO128" t="e">
        <f>AND(Liste!#REF!,"AAAAAE7n794=")</f>
        <v>#REF!</v>
      </c>
      <c r="HP128" t="e">
        <f>AND(Liste!#REF!,"AAAAAE7n798=")</f>
        <v>#REF!</v>
      </c>
      <c r="HQ128" t="e">
        <f>IF(Liste!#REF!,"AAAAAE7n7+A=",0)</f>
        <v>#REF!</v>
      </c>
      <c r="HR128" t="e">
        <f>AND(Liste!#REF!,"AAAAAE7n7+E=")</f>
        <v>#REF!</v>
      </c>
      <c r="HS128" t="e">
        <f>AND(Liste!#REF!,"AAAAAE7n7+I=")</f>
        <v>#REF!</v>
      </c>
      <c r="HT128" t="e">
        <f>AND(Liste!#REF!,"AAAAAE7n7+M=")</f>
        <v>#REF!</v>
      </c>
      <c r="HU128" t="e">
        <f>AND(Liste!#REF!,"AAAAAE7n7+Q=")</f>
        <v>#REF!</v>
      </c>
      <c r="HV128" t="e">
        <f>AND(Liste!#REF!,"AAAAAE7n7+U=")</f>
        <v>#REF!</v>
      </c>
      <c r="HW128" t="e">
        <f>AND(Liste!#REF!,"AAAAAE7n7+Y=")</f>
        <v>#REF!</v>
      </c>
      <c r="HX128" t="e">
        <f>AND(Liste!#REF!,"AAAAAE7n7+c=")</f>
        <v>#REF!</v>
      </c>
      <c r="HY128" t="e">
        <f>AND(Liste!#REF!,"AAAAAE7n7+g=")</f>
        <v>#REF!</v>
      </c>
      <c r="HZ128" t="e">
        <f>AND(Liste!#REF!,"AAAAAE7n7+k=")</f>
        <v>#REF!</v>
      </c>
      <c r="IA128" t="e">
        <f>AND(Liste!#REF!,"AAAAAE7n7+o=")</f>
        <v>#REF!</v>
      </c>
      <c r="IB128" t="e">
        <f>AND(Liste!#REF!,"AAAAAE7n7+s=")</f>
        <v>#REF!</v>
      </c>
      <c r="IC128" t="e">
        <f>AND(Liste!#REF!,"AAAAAE7n7+w=")</f>
        <v>#REF!</v>
      </c>
      <c r="ID128" t="e">
        <f>AND(Liste!#REF!,"AAAAAE7n7+0=")</f>
        <v>#REF!</v>
      </c>
      <c r="IE128" t="e">
        <f>AND(Liste!#REF!,"AAAAAE7n7+4=")</f>
        <v>#REF!</v>
      </c>
      <c r="IF128" t="e">
        <f>AND(Liste!#REF!,"AAAAAE7n7+8=")</f>
        <v>#REF!</v>
      </c>
      <c r="IG128" t="e">
        <f>AND(Liste!#REF!,"AAAAAE7n7/A=")</f>
        <v>#REF!</v>
      </c>
      <c r="IH128" t="e">
        <f>AND(Liste!#REF!,"AAAAAE7n7/E=")</f>
        <v>#REF!</v>
      </c>
      <c r="II128" t="e">
        <f>AND(Liste!#REF!,"AAAAAE7n7/I=")</f>
        <v>#REF!</v>
      </c>
      <c r="IJ128" t="e">
        <f>AND(Liste!#REF!,"AAAAAE7n7/M=")</f>
        <v>#REF!</v>
      </c>
      <c r="IK128" t="e">
        <f>AND(Liste!#REF!,"AAAAAE7n7/Q=")</f>
        <v>#REF!</v>
      </c>
      <c r="IL128" t="e">
        <f>AND(Liste!#REF!,"AAAAAE7n7/U=")</f>
        <v>#REF!</v>
      </c>
      <c r="IM128" t="e">
        <f>AND(Liste!#REF!,"AAAAAE7n7/Y=")</f>
        <v>#REF!</v>
      </c>
      <c r="IN128" t="e">
        <f>AND(Liste!#REF!,"AAAAAE7n7/c=")</f>
        <v>#REF!</v>
      </c>
      <c r="IO128" t="e">
        <f>AND(Liste!#REF!,"AAAAAE7n7/g=")</f>
        <v>#REF!</v>
      </c>
      <c r="IP128" t="e">
        <f>AND(Liste!#REF!,"AAAAAE7n7/k=")</f>
        <v>#REF!</v>
      </c>
      <c r="IQ128" t="e">
        <f>AND(Liste!#REF!,"AAAAAE7n7/o=")</f>
        <v>#REF!</v>
      </c>
      <c r="IR128" t="e">
        <f>AND(Liste!#REF!,"AAAAAE7n7/s=")</f>
        <v>#REF!</v>
      </c>
      <c r="IS128" t="e">
        <f>AND(Liste!#REF!,"AAAAAE7n7/w=")</f>
        <v>#REF!</v>
      </c>
      <c r="IT128" t="e">
        <f>AND(Liste!#REF!,"AAAAAE7n7/0=")</f>
        <v>#REF!</v>
      </c>
      <c r="IU128" t="e">
        <f>AND(Liste!#REF!,"AAAAAE7n7/4=")</f>
        <v>#REF!</v>
      </c>
      <c r="IV128" t="e">
        <f>IF(Liste!#REF!,"AAAAAE7n7/8=",0)</f>
        <v>#REF!</v>
      </c>
    </row>
    <row r="129" spans="1:256" x14ac:dyDescent="0.2">
      <c r="A129" t="e">
        <f>AND(Liste!#REF!,"AAAAAGnU7QA=")</f>
        <v>#REF!</v>
      </c>
      <c r="B129" t="e">
        <f>AND(Liste!#REF!,"AAAAAGnU7QE=")</f>
        <v>#REF!</v>
      </c>
      <c r="C129" t="e">
        <f>AND(Liste!#REF!,"AAAAAGnU7QI=")</f>
        <v>#REF!</v>
      </c>
      <c r="D129" t="e">
        <f>AND(Liste!#REF!,"AAAAAGnU7QM=")</f>
        <v>#REF!</v>
      </c>
      <c r="E129" t="e">
        <f>AND(Liste!#REF!,"AAAAAGnU7QQ=")</f>
        <v>#REF!</v>
      </c>
      <c r="F129" t="e">
        <f>AND(Liste!#REF!,"AAAAAGnU7QU=")</f>
        <v>#REF!</v>
      </c>
      <c r="G129" t="e">
        <f>AND(Liste!#REF!,"AAAAAGnU7QY=")</f>
        <v>#REF!</v>
      </c>
      <c r="H129" t="e">
        <f>AND(Liste!#REF!,"AAAAAGnU7Qc=")</f>
        <v>#REF!</v>
      </c>
      <c r="I129" t="e">
        <f>AND(Liste!#REF!,"AAAAAGnU7Qg=")</f>
        <v>#REF!</v>
      </c>
      <c r="J129" t="e">
        <f>AND(Liste!#REF!,"AAAAAGnU7Qk=")</f>
        <v>#REF!</v>
      </c>
      <c r="K129" t="e">
        <f>AND(Liste!#REF!,"AAAAAGnU7Qo=")</f>
        <v>#REF!</v>
      </c>
      <c r="L129" t="e">
        <f>AND(Liste!#REF!,"AAAAAGnU7Qs=")</f>
        <v>#REF!</v>
      </c>
      <c r="M129" t="e">
        <f>AND(Liste!#REF!,"AAAAAGnU7Qw=")</f>
        <v>#REF!</v>
      </c>
      <c r="N129" t="e">
        <f>AND(Liste!#REF!,"AAAAAGnU7Q0=")</f>
        <v>#REF!</v>
      </c>
      <c r="O129" t="e">
        <f>AND(Liste!#REF!,"AAAAAGnU7Q4=")</f>
        <v>#REF!</v>
      </c>
      <c r="P129" t="e">
        <f>AND(Liste!#REF!,"AAAAAGnU7Q8=")</f>
        <v>#REF!</v>
      </c>
      <c r="Q129" t="e">
        <f>AND(Liste!#REF!,"AAAAAGnU7RA=")</f>
        <v>#REF!</v>
      </c>
      <c r="R129" t="e">
        <f>AND(Liste!#REF!,"AAAAAGnU7RE=")</f>
        <v>#REF!</v>
      </c>
      <c r="S129" t="e">
        <f>AND(Liste!#REF!,"AAAAAGnU7RI=")</f>
        <v>#REF!</v>
      </c>
      <c r="T129" t="e">
        <f>AND(Liste!#REF!,"AAAAAGnU7RM=")</f>
        <v>#REF!</v>
      </c>
      <c r="U129" t="e">
        <f>AND(Liste!#REF!,"AAAAAGnU7RQ=")</f>
        <v>#REF!</v>
      </c>
      <c r="V129" t="e">
        <f>AND(Liste!#REF!,"AAAAAGnU7RU=")</f>
        <v>#REF!</v>
      </c>
      <c r="W129" t="e">
        <f>AND(Liste!#REF!,"AAAAAGnU7RY=")</f>
        <v>#REF!</v>
      </c>
      <c r="X129" t="e">
        <f>AND(Liste!#REF!,"AAAAAGnU7Rc=")</f>
        <v>#REF!</v>
      </c>
      <c r="Y129" t="e">
        <f>AND(Liste!#REF!,"AAAAAGnU7Rg=")</f>
        <v>#REF!</v>
      </c>
      <c r="Z129" t="e">
        <f>AND(Liste!#REF!,"AAAAAGnU7Rk=")</f>
        <v>#REF!</v>
      </c>
      <c r="AA129" t="e">
        <f>AND(Liste!#REF!,"AAAAAGnU7Ro=")</f>
        <v>#REF!</v>
      </c>
      <c r="AB129" t="e">
        <f>AND(Liste!#REF!,"AAAAAGnU7Rs=")</f>
        <v>#REF!</v>
      </c>
      <c r="AC129" t="e">
        <f>AND(Liste!#REF!,"AAAAAGnU7Rw=")</f>
        <v>#REF!</v>
      </c>
      <c r="AD129" t="e">
        <f>AND(Liste!#REF!,"AAAAAGnU7R0=")</f>
        <v>#REF!</v>
      </c>
      <c r="AE129" t="e">
        <f>IF(Liste!#REF!,"AAAAAGnU7R4=",0)</f>
        <v>#REF!</v>
      </c>
      <c r="AF129" t="e">
        <f>AND(Liste!#REF!,"AAAAAGnU7R8=")</f>
        <v>#REF!</v>
      </c>
      <c r="AG129" t="e">
        <f>AND(Liste!#REF!,"AAAAAGnU7SA=")</f>
        <v>#REF!</v>
      </c>
      <c r="AH129" t="e">
        <f>AND(Liste!#REF!,"AAAAAGnU7SE=")</f>
        <v>#REF!</v>
      </c>
      <c r="AI129" t="e">
        <f>AND(Liste!#REF!,"AAAAAGnU7SI=")</f>
        <v>#REF!</v>
      </c>
      <c r="AJ129" t="e">
        <f>AND(Liste!#REF!,"AAAAAGnU7SM=")</f>
        <v>#REF!</v>
      </c>
      <c r="AK129" t="e">
        <f>AND(Liste!#REF!,"AAAAAGnU7SQ=")</f>
        <v>#REF!</v>
      </c>
      <c r="AL129" t="e">
        <f>AND(Liste!#REF!,"AAAAAGnU7SU=")</f>
        <v>#REF!</v>
      </c>
      <c r="AM129" t="e">
        <f>AND(Liste!#REF!,"AAAAAGnU7SY=")</f>
        <v>#REF!</v>
      </c>
      <c r="AN129" t="e">
        <f>AND(Liste!#REF!,"AAAAAGnU7Sc=")</f>
        <v>#REF!</v>
      </c>
      <c r="AO129" t="e">
        <f>AND(Liste!#REF!,"AAAAAGnU7Sg=")</f>
        <v>#REF!</v>
      </c>
      <c r="AP129" t="e">
        <f>AND(Liste!#REF!,"AAAAAGnU7Sk=")</f>
        <v>#REF!</v>
      </c>
      <c r="AQ129" t="e">
        <f>AND(Liste!#REF!,"AAAAAGnU7So=")</f>
        <v>#REF!</v>
      </c>
      <c r="AR129" t="e">
        <f>AND(Liste!#REF!,"AAAAAGnU7Ss=")</f>
        <v>#REF!</v>
      </c>
      <c r="AS129" t="e">
        <f>AND(Liste!#REF!,"AAAAAGnU7Sw=")</f>
        <v>#REF!</v>
      </c>
      <c r="AT129" t="e">
        <f>AND(Liste!#REF!,"AAAAAGnU7S0=")</f>
        <v>#REF!</v>
      </c>
      <c r="AU129" t="e">
        <f>AND(Liste!#REF!,"AAAAAGnU7S4=")</f>
        <v>#REF!</v>
      </c>
      <c r="AV129" t="e">
        <f>AND(Liste!#REF!,"AAAAAGnU7S8=")</f>
        <v>#REF!</v>
      </c>
      <c r="AW129" t="e">
        <f>AND(Liste!#REF!,"AAAAAGnU7TA=")</f>
        <v>#REF!</v>
      </c>
      <c r="AX129" t="e">
        <f>AND(Liste!#REF!,"AAAAAGnU7TE=")</f>
        <v>#REF!</v>
      </c>
      <c r="AY129" t="e">
        <f>AND(Liste!#REF!,"AAAAAGnU7TI=")</f>
        <v>#REF!</v>
      </c>
      <c r="AZ129" t="e">
        <f>AND(Liste!#REF!,"AAAAAGnU7TM=")</f>
        <v>#REF!</v>
      </c>
      <c r="BA129" t="e">
        <f>AND(Liste!#REF!,"AAAAAGnU7TQ=")</f>
        <v>#REF!</v>
      </c>
      <c r="BB129" t="e">
        <f>AND(Liste!#REF!,"AAAAAGnU7TU=")</f>
        <v>#REF!</v>
      </c>
      <c r="BC129" t="e">
        <f>AND(Liste!#REF!,"AAAAAGnU7TY=")</f>
        <v>#REF!</v>
      </c>
      <c r="BD129" t="e">
        <f>AND(Liste!#REF!,"AAAAAGnU7Tc=")</f>
        <v>#REF!</v>
      </c>
      <c r="BE129" t="e">
        <f>AND(Liste!#REF!,"AAAAAGnU7Tg=")</f>
        <v>#REF!</v>
      </c>
      <c r="BF129" t="e">
        <f>AND(Liste!#REF!,"AAAAAGnU7Tk=")</f>
        <v>#REF!</v>
      </c>
      <c r="BG129" t="e">
        <f>AND(Liste!#REF!,"AAAAAGnU7To=")</f>
        <v>#REF!</v>
      </c>
      <c r="BH129" t="e">
        <f>AND(Liste!#REF!,"AAAAAGnU7Ts=")</f>
        <v>#REF!</v>
      </c>
      <c r="BI129" t="e">
        <f>AND(Liste!#REF!,"AAAAAGnU7Tw=")</f>
        <v>#REF!</v>
      </c>
      <c r="BJ129" t="e">
        <f>IF(Liste!#REF!,"AAAAAGnU7T0=",0)</f>
        <v>#REF!</v>
      </c>
      <c r="BK129" t="e">
        <f>AND(Liste!#REF!,"AAAAAGnU7T4=")</f>
        <v>#REF!</v>
      </c>
      <c r="BL129" t="e">
        <f>AND(Liste!#REF!,"AAAAAGnU7T8=")</f>
        <v>#REF!</v>
      </c>
      <c r="BM129" t="e">
        <f>AND(Liste!#REF!,"AAAAAGnU7UA=")</f>
        <v>#REF!</v>
      </c>
      <c r="BN129" t="e">
        <f>AND(Liste!#REF!,"AAAAAGnU7UE=")</f>
        <v>#REF!</v>
      </c>
      <c r="BO129" t="e">
        <f>AND(Liste!#REF!,"AAAAAGnU7UI=")</f>
        <v>#REF!</v>
      </c>
      <c r="BP129" t="e">
        <f>AND(Liste!#REF!,"AAAAAGnU7UM=")</f>
        <v>#REF!</v>
      </c>
      <c r="BQ129" t="e">
        <f>AND(Liste!#REF!,"AAAAAGnU7UQ=")</f>
        <v>#REF!</v>
      </c>
      <c r="BR129" t="e">
        <f>AND(Liste!#REF!,"AAAAAGnU7UU=")</f>
        <v>#REF!</v>
      </c>
      <c r="BS129" t="e">
        <f>AND(Liste!#REF!,"AAAAAGnU7UY=")</f>
        <v>#REF!</v>
      </c>
      <c r="BT129" t="e">
        <f>AND(Liste!#REF!,"AAAAAGnU7Uc=")</f>
        <v>#REF!</v>
      </c>
      <c r="BU129" t="e">
        <f>AND(Liste!#REF!,"AAAAAGnU7Ug=")</f>
        <v>#REF!</v>
      </c>
      <c r="BV129" t="e">
        <f>AND(Liste!#REF!,"AAAAAGnU7Uk=")</f>
        <v>#REF!</v>
      </c>
      <c r="BW129" t="e">
        <f>AND(Liste!#REF!,"AAAAAGnU7Uo=")</f>
        <v>#REF!</v>
      </c>
      <c r="BX129" t="e">
        <f>AND(Liste!#REF!,"AAAAAGnU7Us=")</f>
        <v>#REF!</v>
      </c>
      <c r="BY129" t="e">
        <f>AND(Liste!#REF!,"AAAAAGnU7Uw=")</f>
        <v>#REF!</v>
      </c>
      <c r="BZ129" t="e">
        <f>AND(Liste!#REF!,"AAAAAGnU7U0=")</f>
        <v>#REF!</v>
      </c>
      <c r="CA129" t="e">
        <f>AND(Liste!#REF!,"AAAAAGnU7U4=")</f>
        <v>#REF!</v>
      </c>
      <c r="CB129" t="e">
        <f>AND(Liste!#REF!,"AAAAAGnU7U8=")</f>
        <v>#REF!</v>
      </c>
      <c r="CC129" t="e">
        <f>AND(Liste!#REF!,"AAAAAGnU7VA=")</f>
        <v>#REF!</v>
      </c>
      <c r="CD129" t="e">
        <f>AND(Liste!#REF!,"AAAAAGnU7VE=")</f>
        <v>#REF!</v>
      </c>
      <c r="CE129" t="e">
        <f>AND(Liste!#REF!,"AAAAAGnU7VI=")</f>
        <v>#REF!</v>
      </c>
      <c r="CF129" t="e">
        <f>AND(Liste!#REF!,"AAAAAGnU7VM=")</f>
        <v>#REF!</v>
      </c>
      <c r="CG129" t="e">
        <f>AND(Liste!#REF!,"AAAAAGnU7VQ=")</f>
        <v>#REF!</v>
      </c>
      <c r="CH129" t="e">
        <f>AND(Liste!#REF!,"AAAAAGnU7VU=")</f>
        <v>#REF!</v>
      </c>
      <c r="CI129" t="e">
        <f>AND(Liste!#REF!,"AAAAAGnU7VY=")</f>
        <v>#REF!</v>
      </c>
      <c r="CJ129" t="e">
        <f>AND(Liste!#REF!,"AAAAAGnU7Vc=")</f>
        <v>#REF!</v>
      </c>
      <c r="CK129" t="e">
        <f>AND(Liste!#REF!,"AAAAAGnU7Vg=")</f>
        <v>#REF!</v>
      </c>
      <c r="CL129" t="e">
        <f>AND(Liste!#REF!,"AAAAAGnU7Vk=")</f>
        <v>#REF!</v>
      </c>
      <c r="CM129" t="e">
        <f>AND(Liste!#REF!,"AAAAAGnU7Vo=")</f>
        <v>#REF!</v>
      </c>
      <c r="CN129" t="e">
        <f>AND(Liste!#REF!,"AAAAAGnU7Vs=")</f>
        <v>#REF!</v>
      </c>
      <c r="CO129" t="e">
        <f>IF(Liste!#REF!,"AAAAAGnU7Vw=",0)</f>
        <v>#REF!</v>
      </c>
      <c r="CP129" t="e">
        <f>AND(Liste!#REF!,"AAAAAGnU7V0=")</f>
        <v>#REF!</v>
      </c>
      <c r="CQ129" t="e">
        <f>AND(Liste!#REF!,"AAAAAGnU7V4=")</f>
        <v>#REF!</v>
      </c>
      <c r="CR129" t="e">
        <f>AND(Liste!#REF!,"AAAAAGnU7V8=")</f>
        <v>#REF!</v>
      </c>
      <c r="CS129" t="e">
        <f>AND(Liste!#REF!,"AAAAAGnU7WA=")</f>
        <v>#REF!</v>
      </c>
      <c r="CT129" t="e">
        <f>AND(Liste!#REF!,"AAAAAGnU7WE=")</f>
        <v>#REF!</v>
      </c>
      <c r="CU129" t="e">
        <f>AND(Liste!#REF!,"AAAAAGnU7WI=")</f>
        <v>#REF!</v>
      </c>
      <c r="CV129" t="e">
        <f>AND(Liste!#REF!,"AAAAAGnU7WM=")</f>
        <v>#REF!</v>
      </c>
      <c r="CW129" t="e">
        <f>AND(Liste!#REF!,"AAAAAGnU7WQ=")</f>
        <v>#REF!</v>
      </c>
      <c r="CX129" t="e">
        <f>AND(Liste!#REF!,"AAAAAGnU7WU=")</f>
        <v>#REF!</v>
      </c>
      <c r="CY129" t="e">
        <f>AND(Liste!#REF!,"AAAAAGnU7WY=")</f>
        <v>#REF!</v>
      </c>
      <c r="CZ129" t="e">
        <f>AND(Liste!#REF!,"AAAAAGnU7Wc=")</f>
        <v>#REF!</v>
      </c>
      <c r="DA129" t="e">
        <f>AND(Liste!#REF!,"AAAAAGnU7Wg=")</f>
        <v>#REF!</v>
      </c>
      <c r="DB129" t="e">
        <f>AND(Liste!#REF!,"AAAAAGnU7Wk=")</f>
        <v>#REF!</v>
      </c>
      <c r="DC129" t="e">
        <f>AND(Liste!#REF!,"AAAAAGnU7Wo=")</f>
        <v>#REF!</v>
      </c>
      <c r="DD129" t="e">
        <f>AND(Liste!#REF!,"AAAAAGnU7Ws=")</f>
        <v>#REF!</v>
      </c>
      <c r="DE129" t="e">
        <f>AND(Liste!#REF!,"AAAAAGnU7Ww=")</f>
        <v>#REF!</v>
      </c>
      <c r="DF129" t="e">
        <f>AND(Liste!#REF!,"AAAAAGnU7W0=")</f>
        <v>#REF!</v>
      </c>
      <c r="DG129" t="e">
        <f>AND(Liste!#REF!,"AAAAAGnU7W4=")</f>
        <v>#REF!</v>
      </c>
      <c r="DH129" t="e">
        <f>AND(Liste!#REF!,"AAAAAGnU7W8=")</f>
        <v>#REF!</v>
      </c>
      <c r="DI129" t="e">
        <f>AND(Liste!#REF!,"AAAAAGnU7XA=")</f>
        <v>#REF!</v>
      </c>
      <c r="DJ129" t="e">
        <f>AND(Liste!#REF!,"AAAAAGnU7XE=")</f>
        <v>#REF!</v>
      </c>
      <c r="DK129" t="e">
        <f>AND(Liste!#REF!,"AAAAAGnU7XI=")</f>
        <v>#REF!</v>
      </c>
      <c r="DL129" t="e">
        <f>AND(Liste!#REF!,"AAAAAGnU7XM=")</f>
        <v>#REF!</v>
      </c>
      <c r="DM129" t="e">
        <f>AND(Liste!#REF!,"AAAAAGnU7XQ=")</f>
        <v>#REF!</v>
      </c>
      <c r="DN129" t="e">
        <f>AND(Liste!#REF!,"AAAAAGnU7XU=")</f>
        <v>#REF!</v>
      </c>
      <c r="DO129" t="e">
        <f>AND(Liste!#REF!,"AAAAAGnU7XY=")</f>
        <v>#REF!</v>
      </c>
      <c r="DP129" t="e">
        <f>AND(Liste!#REF!,"AAAAAGnU7Xc=")</f>
        <v>#REF!</v>
      </c>
      <c r="DQ129" t="e">
        <f>AND(Liste!#REF!,"AAAAAGnU7Xg=")</f>
        <v>#REF!</v>
      </c>
      <c r="DR129" t="e">
        <f>AND(Liste!#REF!,"AAAAAGnU7Xk=")</f>
        <v>#REF!</v>
      </c>
      <c r="DS129" t="e">
        <f>AND(Liste!#REF!,"AAAAAGnU7Xo=")</f>
        <v>#REF!</v>
      </c>
      <c r="DT129" t="e">
        <f>IF(Liste!#REF!,"AAAAAGnU7Xs=",0)</f>
        <v>#REF!</v>
      </c>
      <c r="DU129" t="e">
        <f>AND(Liste!#REF!,"AAAAAGnU7Xw=")</f>
        <v>#REF!</v>
      </c>
      <c r="DV129" t="e">
        <f>AND(Liste!#REF!,"AAAAAGnU7X0=")</f>
        <v>#REF!</v>
      </c>
      <c r="DW129" t="e">
        <f>AND(Liste!#REF!,"AAAAAGnU7X4=")</f>
        <v>#REF!</v>
      </c>
      <c r="DX129" t="e">
        <f>AND(Liste!#REF!,"AAAAAGnU7X8=")</f>
        <v>#REF!</v>
      </c>
      <c r="DY129" t="e">
        <f>AND(Liste!#REF!,"AAAAAGnU7YA=")</f>
        <v>#REF!</v>
      </c>
      <c r="DZ129" t="e">
        <f>AND(Liste!#REF!,"AAAAAGnU7YE=")</f>
        <v>#REF!</v>
      </c>
      <c r="EA129" t="e">
        <f>AND(Liste!#REF!,"AAAAAGnU7YI=")</f>
        <v>#REF!</v>
      </c>
      <c r="EB129" t="e">
        <f>AND(Liste!#REF!,"AAAAAGnU7YM=")</f>
        <v>#REF!</v>
      </c>
      <c r="EC129" t="e">
        <f>AND(Liste!#REF!,"AAAAAGnU7YQ=")</f>
        <v>#REF!</v>
      </c>
      <c r="ED129" t="e">
        <f>AND(Liste!#REF!,"AAAAAGnU7YU=")</f>
        <v>#REF!</v>
      </c>
      <c r="EE129" t="e">
        <f>AND(Liste!#REF!,"AAAAAGnU7YY=")</f>
        <v>#REF!</v>
      </c>
      <c r="EF129" t="e">
        <f>AND(Liste!#REF!,"AAAAAGnU7Yc=")</f>
        <v>#REF!</v>
      </c>
      <c r="EG129" t="e">
        <f>AND(Liste!#REF!,"AAAAAGnU7Yg=")</f>
        <v>#REF!</v>
      </c>
      <c r="EH129" t="e">
        <f>AND(Liste!#REF!,"AAAAAGnU7Yk=")</f>
        <v>#REF!</v>
      </c>
      <c r="EI129" t="e">
        <f>AND(Liste!#REF!,"AAAAAGnU7Yo=")</f>
        <v>#REF!</v>
      </c>
      <c r="EJ129" t="e">
        <f>AND(Liste!#REF!,"AAAAAGnU7Ys=")</f>
        <v>#REF!</v>
      </c>
      <c r="EK129" t="e">
        <f>AND(Liste!#REF!,"AAAAAGnU7Yw=")</f>
        <v>#REF!</v>
      </c>
      <c r="EL129" t="e">
        <f>AND(Liste!#REF!,"AAAAAGnU7Y0=")</f>
        <v>#REF!</v>
      </c>
      <c r="EM129" t="e">
        <f>AND(Liste!#REF!,"AAAAAGnU7Y4=")</f>
        <v>#REF!</v>
      </c>
      <c r="EN129" t="e">
        <f>AND(Liste!#REF!,"AAAAAGnU7Y8=")</f>
        <v>#REF!</v>
      </c>
      <c r="EO129" t="e">
        <f>AND(Liste!#REF!,"AAAAAGnU7ZA=")</f>
        <v>#REF!</v>
      </c>
      <c r="EP129" t="e">
        <f>AND(Liste!#REF!,"AAAAAGnU7ZE=")</f>
        <v>#REF!</v>
      </c>
      <c r="EQ129" t="e">
        <f>AND(Liste!#REF!,"AAAAAGnU7ZI=")</f>
        <v>#REF!</v>
      </c>
      <c r="ER129" t="e">
        <f>AND(Liste!#REF!,"AAAAAGnU7ZM=")</f>
        <v>#REF!</v>
      </c>
      <c r="ES129" t="e">
        <f>AND(Liste!#REF!,"AAAAAGnU7ZQ=")</f>
        <v>#REF!</v>
      </c>
      <c r="ET129" t="e">
        <f>AND(Liste!#REF!,"AAAAAGnU7ZU=")</f>
        <v>#REF!</v>
      </c>
      <c r="EU129" t="e">
        <f>AND(Liste!#REF!,"AAAAAGnU7ZY=")</f>
        <v>#REF!</v>
      </c>
      <c r="EV129" t="e">
        <f>AND(Liste!#REF!,"AAAAAGnU7Zc=")</f>
        <v>#REF!</v>
      </c>
      <c r="EW129" t="e">
        <f>AND(Liste!#REF!,"AAAAAGnU7Zg=")</f>
        <v>#REF!</v>
      </c>
      <c r="EX129" t="e">
        <f>AND(Liste!#REF!,"AAAAAGnU7Zk=")</f>
        <v>#REF!</v>
      </c>
      <c r="EY129" t="e">
        <f>IF(Liste!#REF!,"AAAAAGnU7Zo=",0)</f>
        <v>#REF!</v>
      </c>
      <c r="EZ129" t="e">
        <f>AND(Liste!#REF!,"AAAAAGnU7Zs=")</f>
        <v>#REF!</v>
      </c>
      <c r="FA129" t="e">
        <f>AND(Liste!#REF!,"AAAAAGnU7Zw=")</f>
        <v>#REF!</v>
      </c>
      <c r="FB129" t="e">
        <f>AND(Liste!#REF!,"AAAAAGnU7Z0=")</f>
        <v>#REF!</v>
      </c>
      <c r="FC129" t="e">
        <f>AND(Liste!#REF!,"AAAAAGnU7Z4=")</f>
        <v>#REF!</v>
      </c>
      <c r="FD129" t="e">
        <f>AND(Liste!#REF!,"AAAAAGnU7Z8=")</f>
        <v>#REF!</v>
      </c>
      <c r="FE129" t="e">
        <f>AND(Liste!#REF!,"AAAAAGnU7aA=")</f>
        <v>#REF!</v>
      </c>
      <c r="FF129" t="e">
        <f>AND(Liste!#REF!,"AAAAAGnU7aE=")</f>
        <v>#REF!</v>
      </c>
      <c r="FG129" t="e">
        <f>AND(Liste!#REF!,"AAAAAGnU7aI=")</f>
        <v>#REF!</v>
      </c>
      <c r="FH129" t="e">
        <f>AND(Liste!#REF!,"AAAAAGnU7aM=")</f>
        <v>#REF!</v>
      </c>
      <c r="FI129" t="e">
        <f>AND(Liste!#REF!,"AAAAAGnU7aQ=")</f>
        <v>#REF!</v>
      </c>
      <c r="FJ129" t="e">
        <f>AND(Liste!#REF!,"AAAAAGnU7aU=")</f>
        <v>#REF!</v>
      </c>
      <c r="FK129" t="e">
        <f>AND(Liste!#REF!,"AAAAAGnU7aY=")</f>
        <v>#REF!</v>
      </c>
      <c r="FL129" t="e">
        <f>AND(Liste!#REF!,"AAAAAGnU7ac=")</f>
        <v>#REF!</v>
      </c>
      <c r="FM129" t="e">
        <f>AND(Liste!#REF!,"AAAAAGnU7ag=")</f>
        <v>#REF!</v>
      </c>
      <c r="FN129" t="e">
        <f>AND(Liste!#REF!,"AAAAAGnU7ak=")</f>
        <v>#REF!</v>
      </c>
      <c r="FO129" t="e">
        <f>AND(Liste!#REF!,"AAAAAGnU7ao=")</f>
        <v>#REF!</v>
      </c>
      <c r="FP129" t="e">
        <f>AND(Liste!#REF!,"AAAAAGnU7as=")</f>
        <v>#REF!</v>
      </c>
      <c r="FQ129" t="e">
        <f>AND(Liste!#REF!,"AAAAAGnU7aw=")</f>
        <v>#REF!</v>
      </c>
      <c r="FR129" t="e">
        <f>AND(Liste!#REF!,"AAAAAGnU7a0=")</f>
        <v>#REF!</v>
      </c>
      <c r="FS129" t="e">
        <f>AND(Liste!#REF!,"AAAAAGnU7a4=")</f>
        <v>#REF!</v>
      </c>
      <c r="FT129" t="e">
        <f>AND(Liste!#REF!,"AAAAAGnU7a8=")</f>
        <v>#REF!</v>
      </c>
      <c r="FU129" t="e">
        <f>AND(Liste!#REF!,"AAAAAGnU7bA=")</f>
        <v>#REF!</v>
      </c>
      <c r="FV129" t="e">
        <f>AND(Liste!#REF!,"AAAAAGnU7bE=")</f>
        <v>#REF!</v>
      </c>
      <c r="FW129" t="e">
        <f>AND(Liste!#REF!,"AAAAAGnU7bI=")</f>
        <v>#REF!</v>
      </c>
      <c r="FX129" t="e">
        <f>AND(Liste!#REF!,"AAAAAGnU7bM=")</f>
        <v>#REF!</v>
      </c>
      <c r="FY129" t="e">
        <f>AND(Liste!#REF!,"AAAAAGnU7bQ=")</f>
        <v>#REF!</v>
      </c>
      <c r="FZ129" t="e">
        <f>AND(Liste!#REF!,"AAAAAGnU7bU=")</f>
        <v>#REF!</v>
      </c>
      <c r="GA129" t="e">
        <f>AND(Liste!#REF!,"AAAAAGnU7bY=")</f>
        <v>#REF!</v>
      </c>
      <c r="GB129" t="e">
        <f>AND(Liste!#REF!,"AAAAAGnU7bc=")</f>
        <v>#REF!</v>
      </c>
      <c r="GC129" t="e">
        <f>AND(Liste!#REF!,"AAAAAGnU7bg=")</f>
        <v>#REF!</v>
      </c>
      <c r="GD129" t="e">
        <f>IF(Liste!#REF!,"AAAAAGnU7bk=",0)</f>
        <v>#REF!</v>
      </c>
      <c r="GE129" t="e">
        <f>AND(Liste!#REF!,"AAAAAGnU7bo=")</f>
        <v>#REF!</v>
      </c>
      <c r="GF129" t="e">
        <f>AND(Liste!#REF!,"AAAAAGnU7bs=")</f>
        <v>#REF!</v>
      </c>
      <c r="GG129" t="e">
        <f>AND(Liste!#REF!,"AAAAAGnU7bw=")</f>
        <v>#REF!</v>
      </c>
      <c r="GH129" t="e">
        <f>AND(Liste!#REF!,"AAAAAGnU7b0=")</f>
        <v>#REF!</v>
      </c>
      <c r="GI129" t="e">
        <f>AND(Liste!#REF!,"AAAAAGnU7b4=")</f>
        <v>#REF!</v>
      </c>
      <c r="GJ129" t="e">
        <f>AND(Liste!#REF!,"AAAAAGnU7b8=")</f>
        <v>#REF!</v>
      </c>
      <c r="GK129" t="e">
        <f>AND(Liste!#REF!,"AAAAAGnU7cA=")</f>
        <v>#REF!</v>
      </c>
      <c r="GL129" t="e">
        <f>AND(Liste!#REF!,"AAAAAGnU7cE=")</f>
        <v>#REF!</v>
      </c>
      <c r="GM129" t="e">
        <f>AND(Liste!#REF!,"AAAAAGnU7cI=")</f>
        <v>#REF!</v>
      </c>
      <c r="GN129" t="e">
        <f>AND(Liste!#REF!,"AAAAAGnU7cM=")</f>
        <v>#REF!</v>
      </c>
      <c r="GO129" t="e">
        <f>AND(Liste!#REF!,"AAAAAGnU7cQ=")</f>
        <v>#REF!</v>
      </c>
      <c r="GP129" t="e">
        <f>AND(Liste!#REF!,"AAAAAGnU7cU=")</f>
        <v>#REF!</v>
      </c>
      <c r="GQ129" t="e">
        <f>AND(Liste!#REF!,"AAAAAGnU7cY=")</f>
        <v>#REF!</v>
      </c>
      <c r="GR129" t="e">
        <f>AND(Liste!#REF!,"AAAAAGnU7cc=")</f>
        <v>#REF!</v>
      </c>
      <c r="GS129" t="e">
        <f>AND(Liste!#REF!,"AAAAAGnU7cg=")</f>
        <v>#REF!</v>
      </c>
      <c r="GT129" t="e">
        <f>AND(Liste!#REF!,"AAAAAGnU7ck=")</f>
        <v>#REF!</v>
      </c>
      <c r="GU129" t="e">
        <f>AND(Liste!#REF!,"AAAAAGnU7co=")</f>
        <v>#REF!</v>
      </c>
      <c r="GV129" t="e">
        <f>AND(Liste!#REF!,"AAAAAGnU7cs=")</f>
        <v>#REF!</v>
      </c>
      <c r="GW129" t="e">
        <f>AND(Liste!#REF!,"AAAAAGnU7cw=")</f>
        <v>#REF!</v>
      </c>
      <c r="GX129" t="e">
        <f>AND(Liste!#REF!,"AAAAAGnU7c0=")</f>
        <v>#REF!</v>
      </c>
      <c r="GY129" t="e">
        <f>AND(Liste!#REF!,"AAAAAGnU7c4=")</f>
        <v>#REF!</v>
      </c>
      <c r="GZ129" t="e">
        <f>AND(Liste!#REF!,"AAAAAGnU7c8=")</f>
        <v>#REF!</v>
      </c>
      <c r="HA129" t="e">
        <f>AND(Liste!#REF!,"AAAAAGnU7dA=")</f>
        <v>#REF!</v>
      </c>
      <c r="HB129" t="e">
        <f>AND(Liste!#REF!,"AAAAAGnU7dE=")</f>
        <v>#REF!</v>
      </c>
      <c r="HC129" t="e">
        <f>AND(Liste!#REF!,"AAAAAGnU7dI=")</f>
        <v>#REF!</v>
      </c>
      <c r="HD129" t="e">
        <f>AND(Liste!#REF!,"AAAAAGnU7dM=")</f>
        <v>#REF!</v>
      </c>
      <c r="HE129" t="e">
        <f>AND(Liste!#REF!,"AAAAAGnU7dQ=")</f>
        <v>#REF!</v>
      </c>
      <c r="HF129" t="e">
        <f>AND(Liste!#REF!,"AAAAAGnU7dU=")</f>
        <v>#REF!</v>
      </c>
      <c r="HG129" t="e">
        <f>AND(Liste!#REF!,"AAAAAGnU7dY=")</f>
        <v>#REF!</v>
      </c>
      <c r="HH129" t="e">
        <f>AND(Liste!#REF!,"AAAAAGnU7dc=")</f>
        <v>#REF!</v>
      </c>
      <c r="HI129" t="e">
        <f>IF(Liste!#REF!,"AAAAAGnU7dg=",0)</f>
        <v>#REF!</v>
      </c>
      <c r="HJ129" t="e">
        <f>AND(Liste!#REF!,"AAAAAGnU7dk=")</f>
        <v>#REF!</v>
      </c>
      <c r="HK129" t="e">
        <f>AND(Liste!#REF!,"AAAAAGnU7do=")</f>
        <v>#REF!</v>
      </c>
      <c r="HL129" t="e">
        <f>AND(Liste!#REF!,"AAAAAGnU7ds=")</f>
        <v>#REF!</v>
      </c>
      <c r="HM129" t="e">
        <f>AND(Liste!#REF!,"AAAAAGnU7dw=")</f>
        <v>#REF!</v>
      </c>
      <c r="HN129" t="e">
        <f>AND(Liste!#REF!,"AAAAAGnU7d0=")</f>
        <v>#REF!</v>
      </c>
      <c r="HO129" t="e">
        <f>AND(Liste!#REF!,"AAAAAGnU7d4=")</f>
        <v>#REF!</v>
      </c>
      <c r="HP129" t="e">
        <f>AND(Liste!#REF!,"AAAAAGnU7d8=")</f>
        <v>#REF!</v>
      </c>
      <c r="HQ129" t="e">
        <f>AND(Liste!#REF!,"AAAAAGnU7eA=")</f>
        <v>#REF!</v>
      </c>
      <c r="HR129" t="e">
        <f>AND(Liste!#REF!,"AAAAAGnU7eE=")</f>
        <v>#REF!</v>
      </c>
      <c r="HS129" t="e">
        <f>AND(Liste!#REF!,"AAAAAGnU7eI=")</f>
        <v>#REF!</v>
      </c>
      <c r="HT129" t="e">
        <f>AND(Liste!#REF!,"AAAAAGnU7eM=")</f>
        <v>#REF!</v>
      </c>
      <c r="HU129" t="e">
        <f>AND(Liste!#REF!,"AAAAAGnU7eQ=")</f>
        <v>#REF!</v>
      </c>
      <c r="HV129" t="e">
        <f>AND(Liste!#REF!,"AAAAAGnU7eU=")</f>
        <v>#REF!</v>
      </c>
      <c r="HW129" t="e">
        <f>AND(Liste!#REF!,"AAAAAGnU7eY=")</f>
        <v>#REF!</v>
      </c>
      <c r="HX129" t="e">
        <f>AND(Liste!#REF!,"AAAAAGnU7ec=")</f>
        <v>#REF!</v>
      </c>
      <c r="HY129" t="e">
        <f>AND(Liste!#REF!,"AAAAAGnU7eg=")</f>
        <v>#REF!</v>
      </c>
      <c r="HZ129" t="e">
        <f>AND(Liste!#REF!,"AAAAAGnU7ek=")</f>
        <v>#REF!</v>
      </c>
      <c r="IA129" t="e">
        <f>AND(Liste!#REF!,"AAAAAGnU7eo=")</f>
        <v>#REF!</v>
      </c>
      <c r="IB129" t="e">
        <f>AND(Liste!#REF!,"AAAAAGnU7es=")</f>
        <v>#REF!</v>
      </c>
      <c r="IC129" t="e">
        <f>AND(Liste!#REF!,"AAAAAGnU7ew=")</f>
        <v>#REF!</v>
      </c>
      <c r="ID129" t="e">
        <f>AND(Liste!#REF!,"AAAAAGnU7e0=")</f>
        <v>#REF!</v>
      </c>
      <c r="IE129" t="e">
        <f>AND(Liste!#REF!,"AAAAAGnU7e4=")</f>
        <v>#REF!</v>
      </c>
      <c r="IF129" t="e">
        <f>AND(Liste!#REF!,"AAAAAGnU7e8=")</f>
        <v>#REF!</v>
      </c>
      <c r="IG129" t="e">
        <f>AND(Liste!#REF!,"AAAAAGnU7fA=")</f>
        <v>#REF!</v>
      </c>
      <c r="IH129" t="e">
        <f>AND(Liste!#REF!,"AAAAAGnU7fE=")</f>
        <v>#REF!</v>
      </c>
      <c r="II129" t="e">
        <f>AND(Liste!#REF!,"AAAAAGnU7fI=")</f>
        <v>#REF!</v>
      </c>
      <c r="IJ129" t="e">
        <f>AND(Liste!#REF!,"AAAAAGnU7fM=")</f>
        <v>#REF!</v>
      </c>
      <c r="IK129" t="e">
        <f>AND(Liste!#REF!,"AAAAAGnU7fQ=")</f>
        <v>#REF!</v>
      </c>
      <c r="IL129" t="e">
        <f>AND(Liste!#REF!,"AAAAAGnU7fU=")</f>
        <v>#REF!</v>
      </c>
      <c r="IM129" t="e">
        <f>AND(Liste!#REF!,"AAAAAGnU7fY=")</f>
        <v>#REF!</v>
      </c>
      <c r="IN129" t="e">
        <f>IF(Liste!#REF!,"AAAAAGnU7fc=",0)</f>
        <v>#REF!</v>
      </c>
      <c r="IO129" t="e">
        <f>AND(Liste!#REF!,"AAAAAGnU7fg=")</f>
        <v>#REF!</v>
      </c>
      <c r="IP129" t="e">
        <f>AND(Liste!#REF!,"AAAAAGnU7fk=")</f>
        <v>#REF!</v>
      </c>
      <c r="IQ129" t="e">
        <f>AND(Liste!#REF!,"AAAAAGnU7fo=")</f>
        <v>#REF!</v>
      </c>
      <c r="IR129" t="e">
        <f>AND(Liste!#REF!,"AAAAAGnU7fs=")</f>
        <v>#REF!</v>
      </c>
      <c r="IS129" t="e">
        <f>AND(Liste!#REF!,"AAAAAGnU7fw=")</f>
        <v>#REF!</v>
      </c>
      <c r="IT129" t="e">
        <f>AND(Liste!#REF!,"AAAAAGnU7f0=")</f>
        <v>#REF!</v>
      </c>
      <c r="IU129" t="e">
        <f>AND(Liste!#REF!,"AAAAAGnU7f4=")</f>
        <v>#REF!</v>
      </c>
      <c r="IV129" t="e">
        <f>AND(Liste!#REF!,"AAAAAGnU7f8=")</f>
        <v>#REF!</v>
      </c>
    </row>
    <row r="130" spans="1:256" x14ac:dyDescent="0.2">
      <c r="A130" t="e">
        <f>AND(Liste!#REF!,"AAAAAFW71wA=")</f>
        <v>#REF!</v>
      </c>
      <c r="B130" t="e">
        <f>AND(Liste!#REF!,"AAAAAFW71wE=")</f>
        <v>#REF!</v>
      </c>
      <c r="C130" t="e">
        <f>AND(Liste!#REF!,"AAAAAFW71wI=")</f>
        <v>#REF!</v>
      </c>
      <c r="D130" t="e">
        <f>AND(Liste!#REF!,"AAAAAFW71wM=")</f>
        <v>#REF!</v>
      </c>
      <c r="E130" t="e">
        <f>AND(Liste!#REF!,"AAAAAFW71wQ=")</f>
        <v>#REF!</v>
      </c>
      <c r="F130" t="e">
        <f>AND(Liste!#REF!,"AAAAAFW71wU=")</f>
        <v>#REF!</v>
      </c>
      <c r="G130" t="e">
        <f>AND(Liste!#REF!,"AAAAAFW71wY=")</f>
        <v>#REF!</v>
      </c>
      <c r="H130" t="e">
        <f>AND(Liste!#REF!,"AAAAAFW71wc=")</f>
        <v>#REF!</v>
      </c>
      <c r="I130" t="e">
        <f>AND(Liste!#REF!,"AAAAAFW71wg=")</f>
        <v>#REF!</v>
      </c>
      <c r="J130" t="e">
        <f>AND(Liste!#REF!,"AAAAAFW71wk=")</f>
        <v>#REF!</v>
      </c>
      <c r="K130" t="e">
        <f>AND(Liste!#REF!,"AAAAAFW71wo=")</f>
        <v>#REF!</v>
      </c>
      <c r="L130" t="e">
        <f>AND(Liste!#REF!,"AAAAAFW71ws=")</f>
        <v>#REF!</v>
      </c>
      <c r="M130" t="e">
        <f>AND(Liste!#REF!,"AAAAAFW71ww=")</f>
        <v>#REF!</v>
      </c>
      <c r="N130" t="e">
        <f>AND(Liste!#REF!,"AAAAAFW71w0=")</f>
        <v>#REF!</v>
      </c>
      <c r="O130" t="e">
        <f>AND(Liste!#REF!,"AAAAAFW71w4=")</f>
        <v>#REF!</v>
      </c>
      <c r="P130" t="e">
        <f>AND(Liste!#REF!,"AAAAAFW71w8=")</f>
        <v>#REF!</v>
      </c>
      <c r="Q130" t="e">
        <f>AND(Liste!#REF!,"AAAAAFW71xA=")</f>
        <v>#REF!</v>
      </c>
      <c r="R130" t="e">
        <f>AND(Liste!#REF!,"AAAAAFW71xE=")</f>
        <v>#REF!</v>
      </c>
      <c r="S130" t="e">
        <f>AND(Liste!#REF!,"AAAAAFW71xI=")</f>
        <v>#REF!</v>
      </c>
      <c r="T130" t="e">
        <f>AND(Liste!#REF!,"AAAAAFW71xM=")</f>
        <v>#REF!</v>
      </c>
      <c r="U130" t="e">
        <f>AND(Liste!#REF!,"AAAAAFW71xQ=")</f>
        <v>#REF!</v>
      </c>
      <c r="V130" t="e">
        <f>AND(Liste!#REF!,"AAAAAFW71xU=")</f>
        <v>#REF!</v>
      </c>
      <c r="W130" t="e">
        <f>IF(Liste!#REF!,"AAAAAFW71xY=",0)</f>
        <v>#REF!</v>
      </c>
      <c r="X130" t="e">
        <f>AND(Liste!#REF!,"AAAAAFW71xc=")</f>
        <v>#REF!</v>
      </c>
      <c r="Y130" t="e">
        <f>AND(Liste!#REF!,"AAAAAFW71xg=")</f>
        <v>#REF!</v>
      </c>
      <c r="Z130" t="e">
        <f>AND(Liste!#REF!,"AAAAAFW71xk=")</f>
        <v>#REF!</v>
      </c>
      <c r="AA130" t="e">
        <f>AND(Liste!#REF!,"AAAAAFW71xo=")</f>
        <v>#REF!</v>
      </c>
      <c r="AB130" t="e">
        <f>AND(Liste!#REF!,"AAAAAFW71xs=")</f>
        <v>#REF!</v>
      </c>
      <c r="AC130" t="e">
        <f>AND(Liste!#REF!,"AAAAAFW71xw=")</f>
        <v>#REF!</v>
      </c>
      <c r="AD130" t="e">
        <f>AND(Liste!#REF!,"AAAAAFW71x0=")</f>
        <v>#REF!</v>
      </c>
      <c r="AE130" t="e">
        <f>AND(Liste!#REF!,"AAAAAFW71x4=")</f>
        <v>#REF!</v>
      </c>
      <c r="AF130" t="e">
        <f>AND(Liste!#REF!,"AAAAAFW71x8=")</f>
        <v>#REF!</v>
      </c>
      <c r="AG130" t="e">
        <f>AND(Liste!#REF!,"AAAAAFW71yA=")</f>
        <v>#REF!</v>
      </c>
      <c r="AH130" t="e">
        <f>AND(Liste!#REF!,"AAAAAFW71yE=")</f>
        <v>#REF!</v>
      </c>
      <c r="AI130" t="e">
        <f>AND(Liste!#REF!,"AAAAAFW71yI=")</f>
        <v>#REF!</v>
      </c>
      <c r="AJ130" t="e">
        <f>AND(Liste!#REF!,"AAAAAFW71yM=")</f>
        <v>#REF!</v>
      </c>
      <c r="AK130" t="e">
        <f>AND(Liste!#REF!,"AAAAAFW71yQ=")</f>
        <v>#REF!</v>
      </c>
      <c r="AL130" t="e">
        <f>AND(Liste!#REF!,"AAAAAFW71yU=")</f>
        <v>#REF!</v>
      </c>
      <c r="AM130" t="e">
        <f>AND(Liste!#REF!,"AAAAAFW71yY=")</f>
        <v>#REF!</v>
      </c>
      <c r="AN130" t="e">
        <f>AND(Liste!#REF!,"AAAAAFW71yc=")</f>
        <v>#REF!</v>
      </c>
      <c r="AO130" t="e">
        <f>AND(Liste!#REF!,"AAAAAFW71yg=")</f>
        <v>#REF!</v>
      </c>
      <c r="AP130" t="e">
        <f>AND(Liste!#REF!,"AAAAAFW71yk=")</f>
        <v>#REF!</v>
      </c>
      <c r="AQ130" t="e">
        <f>AND(Liste!#REF!,"AAAAAFW71yo=")</f>
        <v>#REF!</v>
      </c>
      <c r="AR130" t="e">
        <f>AND(Liste!#REF!,"AAAAAFW71ys=")</f>
        <v>#REF!</v>
      </c>
      <c r="AS130" t="e">
        <f>AND(Liste!#REF!,"AAAAAFW71yw=")</f>
        <v>#REF!</v>
      </c>
      <c r="AT130" t="e">
        <f>AND(Liste!#REF!,"AAAAAFW71y0=")</f>
        <v>#REF!</v>
      </c>
      <c r="AU130" t="e">
        <f>AND(Liste!#REF!,"AAAAAFW71y4=")</f>
        <v>#REF!</v>
      </c>
      <c r="AV130" t="e">
        <f>AND(Liste!#REF!,"AAAAAFW71y8=")</f>
        <v>#REF!</v>
      </c>
      <c r="AW130" t="e">
        <f>AND(Liste!#REF!,"AAAAAFW71zA=")</f>
        <v>#REF!</v>
      </c>
      <c r="AX130" t="e">
        <f>AND(Liste!#REF!,"AAAAAFW71zE=")</f>
        <v>#REF!</v>
      </c>
      <c r="AY130" t="e">
        <f>AND(Liste!#REF!,"AAAAAFW71zI=")</f>
        <v>#REF!</v>
      </c>
      <c r="AZ130" t="e">
        <f>AND(Liste!#REF!,"AAAAAFW71zM=")</f>
        <v>#REF!</v>
      </c>
      <c r="BA130" t="e">
        <f>AND(Liste!#REF!,"AAAAAFW71zQ=")</f>
        <v>#REF!</v>
      </c>
      <c r="BB130" t="e">
        <f>IF(Liste!#REF!,"AAAAAFW71zU=",0)</f>
        <v>#REF!</v>
      </c>
      <c r="BC130" t="e">
        <f>AND(Liste!#REF!,"AAAAAFW71zY=")</f>
        <v>#REF!</v>
      </c>
      <c r="BD130" t="e">
        <f>AND(Liste!#REF!,"AAAAAFW71zc=")</f>
        <v>#REF!</v>
      </c>
      <c r="BE130" t="e">
        <f>AND(Liste!#REF!,"AAAAAFW71zg=")</f>
        <v>#REF!</v>
      </c>
      <c r="BF130" t="e">
        <f>AND(Liste!#REF!,"AAAAAFW71zk=")</f>
        <v>#REF!</v>
      </c>
      <c r="BG130" t="e">
        <f>AND(Liste!#REF!,"AAAAAFW71zo=")</f>
        <v>#REF!</v>
      </c>
      <c r="BH130" t="e">
        <f>AND(Liste!#REF!,"AAAAAFW71zs=")</f>
        <v>#REF!</v>
      </c>
      <c r="BI130" t="e">
        <f>AND(Liste!#REF!,"AAAAAFW71zw=")</f>
        <v>#REF!</v>
      </c>
      <c r="BJ130" t="e">
        <f>AND(Liste!#REF!,"AAAAAFW71z0=")</f>
        <v>#REF!</v>
      </c>
      <c r="BK130" t="e">
        <f>AND(Liste!#REF!,"AAAAAFW71z4=")</f>
        <v>#REF!</v>
      </c>
      <c r="BL130" t="e">
        <f>AND(Liste!#REF!,"AAAAAFW71z8=")</f>
        <v>#REF!</v>
      </c>
      <c r="BM130" t="e">
        <f>AND(Liste!#REF!,"AAAAAFW710A=")</f>
        <v>#REF!</v>
      </c>
      <c r="BN130" t="e">
        <f>AND(Liste!#REF!,"AAAAAFW710E=")</f>
        <v>#REF!</v>
      </c>
      <c r="BO130" t="e">
        <f>AND(Liste!#REF!,"AAAAAFW710I=")</f>
        <v>#REF!</v>
      </c>
      <c r="BP130" t="e">
        <f>AND(Liste!#REF!,"AAAAAFW710M=")</f>
        <v>#REF!</v>
      </c>
      <c r="BQ130" t="e">
        <f>AND(Liste!#REF!,"AAAAAFW710Q=")</f>
        <v>#REF!</v>
      </c>
      <c r="BR130" t="e">
        <f>AND(Liste!#REF!,"AAAAAFW710U=")</f>
        <v>#REF!</v>
      </c>
      <c r="BS130" t="e">
        <f>AND(Liste!#REF!,"AAAAAFW710Y=")</f>
        <v>#REF!</v>
      </c>
      <c r="BT130" t="e">
        <f>AND(Liste!#REF!,"AAAAAFW710c=")</f>
        <v>#REF!</v>
      </c>
      <c r="BU130" t="e">
        <f>AND(Liste!#REF!,"AAAAAFW710g=")</f>
        <v>#REF!</v>
      </c>
      <c r="BV130" t="e">
        <f>AND(Liste!#REF!,"AAAAAFW710k=")</f>
        <v>#REF!</v>
      </c>
      <c r="BW130" t="e">
        <f>AND(Liste!#REF!,"AAAAAFW710o=")</f>
        <v>#REF!</v>
      </c>
      <c r="BX130" t="e">
        <f>AND(Liste!#REF!,"AAAAAFW710s=")</f>
        <v>#REF!</v>
      </c>
      <c r="BY130" t="e">
        <f>AND(Liste!#REF!,"AAAAAFW710w=")</f>
        <v>#REF!</v>
      </c>
      <c r="BZ130" t="e">
        <f>AND(Liste!#REF!,"AAAAAFW7100=")</f>
        <v>#REF!</v>
      </c>
      <c r="CA130" t="e">
        <f>AND(Liste!#REF!,"AAAAAFW7104=")</f>
        <v>#REF!</v>
      </c>
      <c r="CB130" t="e">
        <f>AND(Liste!#REF!,"AAAAAFW7108=")</f>
        <v>#REF!</v>
      </c>
      <c r="CC130" t="e">
        <f>AND(Liste!#REF!,"AAAAAFW711A=")</f>
        <v>#REF!</v>
      </c>
      <c r="CD130" t="e">
        <f>AND(Liste!#REF!,"AAAAAFW711E=")</f>
        <v>#REF!</v>
      </c>
      <c r="CE130" t="e">
        <f>AND(Liste!#REF!,"AAAAAFW711I=")</f>
        <v>#REF!</v>
      </c>
      <c r="CF130" t="e">
        <f>AND(Liste!#REF!,"AAAAAFW711M=")</f>
        <v>#REF!</v>
      </c>
      <c r="CG130" t="e">
        <f>IF(Liste!#REF!,"AAAAAFW711Q=",0)</f>
        <v>#REF!</v>
      </c>
      <c r="CH130" t="e">
        <f>AND(Liste!#REF!,"AAAAAFW711U=")</f>
        <v>#REF!</v>
      </c>
      <c r="CI130" t="e">
        <f>AND(Liste!#REF!,"AAAAAFW711Y=")</f>
        <v>#REF!</v>
      </c>
      <c r="CJ130" t="e">
        <f>AND(Liste!#REF!,"AAAAAFW711c=")</f>
        <v>#REF!</v>
      </c>
      <c r="CK130" t="e">
        <f>AND(Liste!#REF!,"AAAAAFW711g=")</f>
        <v>#REF!</v>
      </c>
      <c r="CL130" t="e">
        <f>AND(Liste!#REF!,"AAAAAFW711k=")</f>
        <v>#REF!</v>
      </c>
      <c r="CM130" t="e">
        <f>AND(Liste!#REF!,"AAAAAFW711o=")</f>
        <v>#REF!</v>
      </c>
      <c r="CN130" t="e">
        <f>AND(Liste!#REF!,"AAAAAFW711s=")</f>
        <v>#REF!</v>
      </c>
      <c r="CO130" t="e">
        <f>AND(Liste!#REF!,"AAAAAFW711w=")</f>
        <v>#REF!</v>
      </c>
      <c r="CP130" t="e">
        <f>AND(Liste!#REF!,"AAAAAFW7110=")</f>
        <v>#REF!</v>
      </c>
      <c r="CQ130" t="e">
        <f>AND(Liste!#REF!,"AAAAAFW7114=")</f>
        <v>#REF!</v>
      </c>
      <c r="CR130" t="e">
        <f>AND(Liste!#REF!,"AAAAAFW7118=")</f>
        <v>#REF!</v>
      </c>
      <c r="CS130" t="e">
        <f>AND(Liste!#REF!,"AAAAAFW712A=")</f>
        <v>#REF!</v>
      </c>
      <c r="CT130" t="e">
        <f>AND(Liste!#REF!,"AAAAAFW712E=")</f>
        <v>#REF!</v>
      </c>
      <c r="CU130" t="e">
        <f>AND(Liste!#REF!,"AAAAAFW712I=")</f>
        <v>#REF!</v>
      </c>
      <c r="CV130" t="e">
        <f>AND(Liste!#REF!,"AAAAAFW712M=")</f>
        <v>#REF!</v>
      </c>
      <c r="CW130" t="e">
        <f>AND(Liste!#REF!,"AAAAAFW712Q=")</f>
        <v>#REF!</v>
      </c>
      <c r="CX130" t="e">
        <f>AND(Liste!#REF!,"AAAAAFW712U=")</f>
        <v>#REF!</v>
      </c>
      <c r="CY130" t="e">
        <f>AND(Liste!#REF!,"AAAAAFW712Y=")</f>
        <v>#REF!</v>
      </c>
      <c r="CZ130" t="e">
        <f>AND(Liste!#REF!,"AAAAAFW712c=")</f>
        <v>#REF!</v>
      </c>
      <c r="DA130" t="e">
        <f>AND(Liste!#REF!,"AAAAAFW712g=")</f>
        <v>#REF!</v>
      </c>
      <c r="DB130" t="e">
        <f>AND(Liste!#REF!,"AAAAAFW712k=")</f>
        <v>#REF!</v>
      </c>
      <c r="DC130" t="e">
        <f>AND(Liste!#REF!,"AAAAAFW712o=")</f>
        <v>#REF!</v>
      </c>
      <c r="DD130" t="e">
        <f>AND(Liste!#REF!,"AAAAAFW712s=")</f>
        <v>#REF!</v>
      </c>
      <c r="DE130" t="e">
        <f>AND(Liste!#REF!,"AAAAAFW712w=")</f>
        <v>#REF!</v>
      </c>
      <c r="DF130" t="e">
        <f>AND(Liste!#REF!,"AAAAAFW7120=")</f>
        <v>#REF!</v>
      </c>
      <c r="DG130" t="e">
        <f>AND(Liste!#REF!,"AAAAAFW7124=")</f>
        <v>#REF!</v>
      </c>
      <c r="DH130" t="e">
        <f>AND(Liste!#REF!,"AAAAAFW7128=")</f>
        <v>#REF!</v>
      </c>
      <c r="DI130" t="e">
        <f>AND(Liste!#REF!,"AAAAAFW713A=")</f>
        <v>#REF!</v>
      </c>
      <c r="DJ130" t="e">
        <f>AND(Liste!#REF!,"AAAAAFW713E=")</f>
        <v>#REF!</v>
      </c>
      <c r="DK130" t="e">
        <f>AND(Liste!#REF!,"AAAAAFW713I=")</f>
        <v>#REF!</v>
      </c>
      <c r="DL130" t="e">
        <f>IF(Liste!#REF!,"AAAAAFW713M=",0)</f>
        <v>#REF!</v>
      </c>
      <c r="DM130" t="e">
        <f>AND(Liste!#REF!,"AAAAAFW713Q=")</f>
        <v>#REF!</v>
      </c>
      <c r="DN130" t="e">
        <f>AND(Liste!#REF!,"AAAAAFW713U=")</f>
        <v>#REF!</v>
      </c>
      <c r="DO130" t="e">
        <f>AND(Liste!#REF!,"AAAAAFW713Y=")</f>
        <v>#REF!</v>
      </c>
      <c r="DP130" t="e">
        <f>AND(Liste!#REF!,"AAAAAFW713c=")</f>
        <v>#REF!</v>
      </c>
      <c r="DQ130" t="e">
        <f>AND(Liste!#REF!,"AAAAAFW713g=")</f>
        <v>#REF!</v>
      </c>
      <c r="DR130" t="e">
        <f>AND(Liste!#REF!,"AAAAAFW713k=")</f>
        <v>#REF!</v>
      </c>
      <c r="DS130" t="e">
        <f>AND(Liste!#REF!,"AAAAAFW713o=")</f>
        <v>#REF!</v>
      </c>
      <c r="DT130" t="e">
        <f>AND(Liste!#REF!,"AAAAAFW713s=")</f>
        <v>#REF!</v>
      </c>
      <c r="DU130" t="e">
        <f>AND(Liste!#REF!,"AAAAAFW713w=")</f>
        <v>#REF!</v>
      </c>
      <c r="DV130" t="e">
        <f>AND(Liste!#REF!,"AAAAAFW7130=")</f>
        <v>#REF!</v>
      </c>
      <c r="DW130" t="e">
        <f>AND(Liste!#REF!,"AAAAAFW7134=")</f>
        <v>#REF!</v>
      </c>
      <c r="DX130" t="e">
        <f>AND(Liste!#REF!,"AAAAAFW7138=")</f>
        <v>#REF!</v>
      </c>
      <c r="DY130" t="e">
        <f>AND(Liste!#REF!,"AAAAAFW714A=")</f>
        <v>#REF!</v>
      </c>
      <c r="DZ130" t="e">
        <f>AND(Liste!#REF!,"AAAAAFW714E=")</f>
        <v>#REF!</v>
      </c>
      <c r="EA130" t="e">
        <f>AND(Liste!#REF!,"AAAAAFW714I=")</f>
        <v>#REF!</v>
      </c>
      <c r="EB130" t="e">
        <f>AND(Liste!#REF!,"AAAAAFW714M=")</f>
        <v>#REF!</v>
      </c>
      <c r="EC130" t="e">
        <f>AND(Liste!#REF!,"AAAAAFW714Q=")</f>
        <v>#REF!</v>
      </c>
      <c r="ED130" t="e">
        <f>AND(Liste!#REF!,"AAAAAFW714U=")</f>
        <v>#REF!</v>
      </c>
      <c r="EE130" t="e">
        <f>AND(Liste!#REF!,"AAAAAFW714Y=")</f>
        <v>#REF!</v>
      </c>
      <c r="EF130" t="e">
        <f>AND(Liste!#REF!,"AAAAAFW714c=")</f>
        <v>#REF!</v>
      </c>
      <c r="EG130" t="e">
        <f>AND(Liste!#REF!,"AAAAAFW714g=")</f>
        <v>#REF!</v>
      </c>
      <c r="EH130" t="e">
        <f>AND(Liste!#REF!,"AAAAAFW714k=")</f>
        <v>#REF!</v>
      </c>
      <c r="EI130" t="e">
        <f>AND(Liste!#REF!,"AAAAAFW714o=")</f>
        <v>#REF!</v>
      </c>
      <c r="EJ130" t="e">
        <f>AND(Liste!#REF!,"AAAAAFW714s=")</f>
        <v>#REF!</v>
      </c>
      <c r="EK130" t="e">
        <f>AND(Liste!#REF!,"AAAAAFW714w=")</f>
        <v>#REF!</v>
      </c>
      <c r="EL130" t="e">
        <f>AND(Liste!#REF!,"AAAAAFW7140=")</f>
        <v>#REF!</v>
      </c>
      <c r="EM130" t="e">
        <f>AND(Liste!#REF!,"AAAAAFW7144=")</f>
        <v>#REF!</v>
      </c>
      <c r="EN130" t="e">
        <f>AND(Liste!#REF!,"AAAAAFW7148=")</f>
        <v>#REF!</v>
      </c>
      <c r="EO130" t="e">
        <f>AND(Liste!#REF!,"AAAAAFW715A=")</f>
        <v>#REF!</v>
      </c>
      <c r="EP130" t="e">
        <f>AND(Liste!#REF!,"AAAAAFW715E=")</f>
        <v>#REF!</v>
      </c>
      <c r="EQ130" t="e">
        <f>IF(Liste!#REF!,"AAAAAFW715I=",0)</f>
        <v>#REF!</v>
      </c>
      <c r="ER130" t="e">
        <f>AND(Liste!#REF!,"AAAAAFW715M=")</f>
        <v>#REF!</v>
      </c>
      <c r="ES130" t="e">
        <f>AND(Liste!#REF!,"AAAAAFW715Q=")</f>
        <v>#REF!</v>
      </c>
      <c r="ET130" t="e">
        <f>AND(Liste!#REF!,"AAAAAFW715U=")</f>
        <v>#REF!</v>
      </c>
      <c r="EU130" t="e">
        <f>AND(Liste!#REF!,"AAAAAFW715Y=")</f>
        <v>#REF!</v>
      </c>
      <c r="EV130" t="e">
        <f>AND(Liste!#REF!,"AAAAAFW715c=")</f>
        <v>#REF!</v>
      </c>
      <c r="EW130" t="e">
        <f>AND(Liste!#REF!,"AAAAAFW715g=")</f>
        <v>#REF!</v>
      </c>
      <c r="EX130" t="e">
        <f>AND(Liste!#REF!,"AAAAAFW715k=")</f>
        <v>#REF!</v>
      </c>
      <c r="EY130" t="e">
        <f>AND(Liste!#REF!,"AAAAAFW715o=")</f>
        <v>#REF!</v>
      </c>
      <c r="EZ130" t="e">
        <f>AND(Liste!#REF!,"AAAAAFW715s=")</f>
        <v>#REF!</v>
      </c>
      <c r="FA130" t="e">
        <f>AND(Liste!#REF!,"AAAAAFW715w=")</f>
        <v>#REF!</v>
      </c>
      <c r="FB130" t="e">
        <f>AND(Liste!#REF!,"AAAAAFW7150=")</f>
        <v>#REF!</v>
      </c>
      <c r="FC130" t="e">
        <f>AND(Liste!#REF!,"AAAAAFW7154=")</f>
        <v>#REF!</v>
      </c>
      <c r="FD130" t="e">
        <f>AND(Liste!#REF!,"AAAAAFW7158=")</f>
        <v>#REF!</v>
      </c>
      <c r="FE130" t="e">
        <f>AND(Liste!#REF!,"AAAAAFW716A=")</f>
        <v>#REF!</v>
      </c>
      <c r="FF130" t="e">
        <f>AND(Liste!#REF!,"AAAAAFW716E=")</f>
        <v>#REF!</v>
      </c>
      <c r="FG130" t="e">
        <f>AND(Liste!#REF!,"AAAAAFW716I=")</f>
        <v>#REF!</v>
      </c>
      <c r="FH130" t="e">
        <f>AND(Liste!#REF!,"AAAAAFW716M=")</f>
        <v>#REF!</v>
      </c>
      <c r="FI130" t="e">
        <f>AND(Liste!#REF!,"AAAAAFW716Q=")</f>
        <v>#REF!</v>
      </c>
      <c r="FJ130" t="e">
        <f>AND(Liste!#REF!,"AAAAAFW716U=")</f>
        <v>#REF!</v>
      </c>
      <c r="FK130" t="e">
        <f>AND(Liste!#REF!,"AAAAAFW716Y=")</f>
        <v>#REF!</v>
      </c>
      <c r="FL130" t="e">
        <f>AND(Liste!#REF!,"AAAAAFW716c=")</f>
        <v>#REF!</v>
      </c>
      <c r="FM130" t="e">
        <f>AND(Liste!#REF!,"AAAAAFW716g=")</f>
        <v>#REF!</v>
      </c>
      <c r="FN130" t="e">
        <f>AND(Liste!#REF!,"AAAAAFW716k=")</f>
        <v>#REF!</v>
      </c>
      <c r="FO130" t="e">
        <f>AND(Liste!#REF!,"AAAAAFW716o=")</f>
        <v>#REF!</v>
      </c>
      <c r="FP130" t="e">
        <f>AND(Liste!#REF!,"AAAAAFW716s=")</f>
        <v>#REF!</v>
      </c>
      <c r="FQ130" t="e">
        <f>AND(Liste!#REF!,"AAAAAFW716w=")</f>
        <v>#REF!</v>
      </c>
      <c r="FR130" t="e">
        <f>AND(Liste!#REF!,"AAAAAFW7160=")</f>
        <v>#REF!</v>
      </c>
      <c r="FS130" t="e">
        <f>AND(Liste!#REF!,"AAAAAFW7164=")</f>
        <v>#REF!</v>
      </c>
      <c r="FT130" t="e">
        <f>AND(Liste!#REF!,"AAAAAFW7168=")</f>
        <v>#REF!</v>
      </c>
      <c r="FU130" t="e">
        <f>AND(Liste!#REF!,"AAAAAFW717A=")</f>
        <v>#REF!</v>
      </c>
      <c r="FV130" t="e">
        <f>IF(Liste!#REF!,"AAAAAFW717E=",0)</f>
        <v>#REF!</v>
      </c>
      <c r="FW130" t="e">
        <f>AND(Liste!#REF!,"AAAAAFW717I=")</f>
        <v>#REF!</v>
      </c>
      <c r="FX130" t="e">
        <f>AND(Liste!#REF!,"AAAAAFW717M=")</f>
        <v>#REF!</v>
      </c>
      <c r="FY130" t="e">
        <f>AND(Liste!#REF!,"AAAAAFW717Q=")</f>
        <v>#REF!</v>
      </c>
      <c r="FZ130" t="e">
        <f>AND(Liste!#REF!,"AAAAAFW717U=")</f>
        <v>#REF!</v>
      </c>
      <c r="GA130" t="e">
        <f>AND(Liste!#REF!,"AAAAAFW717Y=")</f>
        <v>#REF!</v>
      </c>
      <c r="GB130" t="e">
        <f>AND(Liste!#REF!,"AAAAAFW717c=")</f>
        <v>#REF!</v>
      </c>
      <c r="GC130" t="e">
        <f>AND(Liste!#REF!,"AAAAAFW717g=")</f>
        <v>#REF!</v>
      </c>
      <c r="GD130" t="e">
        <f>AND(Liste!#REF!,"AAAAAFW717k=")</f>
        <v>#REF!</v>
      </c>
      <c r="GE130" t="e">
        <f>AND(Liste!#REF!,"AAAAAFW717o=")</f>
        <v>#REF!</v>
      </c>
      <c r="GF130" t="e">
        <f>AND(Liste!#REF!,"AAAAAFW717s=")</f>
        <v>#REF!</v>
      </c>
      <c r="GG130" t="e">
        <f>AND(Liste!#REF!,"AAAAAFW717w=")</f>
        <v>#REF!</v>
      </c>
      <c r="GH130" t="e">
        <f>AND(Liste!#REF!,"AAAAAFW7170=")</f>
        <v>#REF!</v>
      </c>
      <c r="GI130" t="e">
        <f>AND(Liste!#REF!,"AAAAAFW7174=")</f>
        <v>#REF!</v>
      </c>
      <c r="GJ130" t="e">
        <f>AND(Liste!#REF!,"AAAAAFW7178=")</f>
        <v>#REF!</v>
      </c>
      <c r="GK130" t="e">
        <f>AND(Liste!#REF!,"AAAAAFW718A=")</f>
        <v>#REF!</v>
      </c>
      <c r="GL130" t="e">
        <f>AND(Liste!#REF!,"AAAAAFW718E=")</f>
        <v>#REF!</v>
      </c>
      <c r="GM130" t="e">
        <f>AND(Liste!#REF!,"AAAAAFW718I=")</f>
        <v>#REF!</v>
      </c>
      <c r="GN130" t="e">
        <f>AND(Liste!#REF!,"AAAAAFW718M=")</f>
        <v>#REF!</v>
      </c>
      <c r="GO130" t="e">
        <f>AND(Liste!#REF!,"AAAAAFW718Q=")</f>
        <v>#REF!</v>
      </c>
      <c r="GP130" t="e">
        <f>AND(Liste!#REF!,"AAAAAFW718U=")</f>
        <v>#REF!</v>
      </c>
      <c r="GQ130" t="e">
        <f>AND(Liste!#REF!,"AAAAAFW718Y=")</f>
        <v>#REF!</v>
      </c>
      <c r="GR130" t="e">
        <f>AND(Liste!#REF!,"AAAAAFW718c=")</f>
        <v>#REF!</v>
      </c>
      <c r="GS130" t="e">
        <f>AND(Liste!#REF!,"AAAAAFW718g=")</f>
        <v>#REF!</v>
      </c>
      <c r="GT130" t="e">
        <f>AND(Liste!#REF!,"AAAAAFW718k=")</f>
        <v>#REF!</v>
      </c>
      <c r="GU130" t="e">
        <f>AND(Liste!#REF!,"AAAAAFW718o=")</f>
        <v>#REF!</v>
      </c>
      <c r="GV130" t="e">
        <f>AND(Liste!#REF!,"AAAAAFW718s=")</f>
        <v>#REF!</v>
      </c>
      <c r="GW130" t="e">
        <f>AND(Liste!#REF!,"AAAAAFW718w=")</f>
        <v>#REF!</v>
      </c>
      <c r="GX130" t="e">
        <f>AND(Liste!#REF!,"AAAAAFW7180=")</f>
        <v>#REF!</v>
      </c>
      <c r="GY130" t="e">
        <f>AND(Liste!#REF!,"AAAAAFW7184=")</f>
        <v>#REF!</v>
      </c>
      <c r="GZ130" t="e">
        <f>AND(Liste!#REF!,"AAAAAFW7188=")</f>
        <v>#REF!</v>
      </c>
      <c r="HA130" t="e">
        <f>IF(Liste!#REF!,"AAAAAFW719A=",0)</f>
        <v>#REF!</v>
      </c>
      <c r="HB130" t="e">
        <f>AND(Liste!#REF!,"AAAAAFW719E=")</f>
        <v>#REF!</v>
      </c>
      <c r="HC130" t="e">
        <f>AND(Liste!#REF!,"AAAAAFW719I=")</f>
        <v>#REF!</v>
      </c>
      <c r="HD130" t="e">
        <f>AND(Liste!#REF!,"AAAAAFW719M=")</f>
        <v>#REF!</v>
      </c>
      <c r="HE130" t="e">
        <f>AND(Liste!#REF!,"AAAAAFW719Q=")</f>
        <v>#REF!</v>
      </c>
      <c r="HF130" t="e">
        <f>AND(Liste!#REF!,"AAAAAFW719U=")</f>
        <v>#REF!</v>
      </c>
      <c r="HG130" t="e">
        <f>AND(Liste!#REF!,"AAAAAFW719Y=")</f>
        <v>#REF!</v>
      </c>
      <c r="HH130" t="e">
        <f>AND(Liste!#REF!,"AAAAAFW719c=")</f>
        <v>#REF!</v>
      </c>
      <c r="HI130" t="e">
        <f>AND(Liste!#REF!,"AAAAAFW719g=")</f>
        <v>#REF!</v>
      </c>
      <c r="HJ130" t="e">
        <f>AND(Liste!#REF!,"AAAAAFW719k=")</f>
        <v>#REF!</v>
      </c>
      <c r="HK130" t="e">
        <f>AND(Liste!#REF!,"AAAAAFW719o=")</f>
        <v>#REF!</v>
      </c>
      <c r="HL130" t="e">
        <f>AND(Liste!#REF!,"AAAAAFW719s=")</f>
        <v>#REF!</v>
      </c>
      <c r="HM130" t="e">
        <f>AND(Liste!#REF!,"AAAAAFW719w=")</f>
        <v>#REF!</v>
      </c>
      <c r="HN130" t="e">
        <f>AND(Liste!#REF!,"AAAAAFW7190=")</f>
        <v>#REF!</v>
      </c>
      <c r="HO130" t="e">
        <f>AND(Liste!#REF!,"AAAAAFW7194=")</f>
        <v>#REF!</v>
      </c>
      <c r="HP130" t="e">
        <f>AND(Liste!#REF!,"AAAAAFW7198=")</f>
        <v>#REF!</v>
      </c>
      <c r="HQ130" t="e">
        <f>AND(Liste!#REF!,"AAAAAFW71+A=")</f>
        <v>#REF!</v>
      </c>
      <c r="HR130" t="e">
        <f>AND(Liste!#REF!,"AAAAAFW71+E=")</f>
        <v>#REF!</v>
      </c>
      <c r="HS130" t="e">
        <f>AND(Liste!#REF!,"AAAAAFW71+I=")</f>
        <v>#REF!</v>
      </c>
      <c r="HT130" t="e">
        <f>AND(Liste!#REF!,"AAAAAFW71+M=")</f>
        <v>#REF!</v>
      </c>
      <c r="HU130" t="e">
        <f>AND(Liste!#REF!,"AAAAAFW71+Q=")</f>
        <v>#REF!</v>
      </c>
      <c r="HV130" t="e">
        <f>AND(Liste!#REF!,"AAAAAFW71+U=")</f>
        <v>#REF!</v>
      </c>
      <c r="HW130" t="e">
        <f>AND(Liste!#REF!,"AAAAAFW71+Y=")</f>
        <v>#REF!</v>
      </c>
      <c r="HX130" t="e">
        <f>AND(Liste!#REF!,"AAAAAFW71+c=")</f>
        <v>#REF!</v>
      </c>
      <c r="HY130" t="e">
        <f>AND(Liste!#REF!,"AAAAAFW71+g=")</f>
        <v>#REF!</v>
      </c>
      <c r="HZ130" t="e">
        <f>AND(Liste!#REF!,"AAAAAFW71+k=")</f>
        <v>#REF!</v>
      </c>
      <c r="IA130" t="e">
        <f>AND(Liste!#REF!,"AAAAAFW71+o=")</f>
        <v>#REF!</v>
      </c>
      <c r="IB130" t="e">
        <f>AND(Liste!#REF!,"AAAAAFW71+s=")</f>
        <v>#REF!</v>
      </c>
      <c r="IC130" t="e">
        <f>AND(Liste!#REF!,"AAAAAFW71+w=")</f>
        <v>#REF!</v>
      </c>
      <c r="ID130" t="e">
        <f>AND(Liste!#REF!,"AAAAAFW71+0=")</f>
        <v>#REF!</v>
      </c>
      <c r="IE130" t="e">
        <f>AND(Liste!#REF!,"AAAAAFW71+4=")</f>
        <v>#REF!</v>
      </c>
      <c r="IF130" t="e">
        <f>IF(Liste!#REF!,"AAAAAFW71+8=",0)</f>
        <v>#REF!</v>
      </c>
      <c r="IG130" t="e">
        <f>AND(Liste!#REF!,"AAAAAFW71/A=")</f>
        <v>#REF!</v>
      </c>
      <c r="IH130" t="e">
        <f>AND(Liste!#REF!,"AAAAAFW71/E=")</f>
        <v>#REF!</v>
      </c>
      <c r="II130" t="e">
        <f>AND(Liste!#REF!,"AAAAAFW71/I=")</f>
        <v>#REF!</v>
      </c>
      <c r="IJ130" t="e">
        <f>AND(Liste!#REF!,"AAAAAFW71/M=")</f>
        <v>#REF!</v>
      </c>
      <c r="IK130" t="e">
        <f>AND(Liste!#REF!,"AAAAAFW71/Q=")</f>
        <v>#REF!</v>
      </c>
      <c r="IL130" t="e">
        <f>AND(Liste!#REF!,"AAAAAFW71/U=")</f>
        <v>#REF!</v>
      </c>
      <c r="IM130" t="e">
        <f>AND(Liste!#REF!,"AAAAAFW71/Y=")</f>
        <v>#REF!</v>
      </c>
      <c r="IN130" t="e">
        <f>AND(Liste!#REF!,"AAAAAFW71/c=")</f>
        <v>#REF!</v>
      </c>
      <c r="IO130" t="e">
        <f>AND(Liste!#REF!,"AAAAAFW71/g=")</f>
        <v>#REF!</v>
      </c>
      <c r="IP130" t="e">
        <f>AND(Liste!#REF!,"AAAAAFW71/k=")</f>
        <v>#REF!</v>
      </c>
      <c r="IQ130" t="e">
        <f>AND(Liste!#REF!,"AAAAAFW71/o=")</f>
        <v>#REF!</v>
      </c>
      <c r="IR130" t="e">
        <f>AND(Liste!#REF!,"AAAAAFW71/s=")</f>
        <v>#REF!</v>
      </c>
      <c r="IS130" t="e">
        <f>AND(Liste!#REF!,"AAAAAFW71/w=")</f>
        <v>#REF!</v>
      </c>
      <c r="IT130" t="e">
        <f>AND(Liste!#REF!,"AAAAAFW71/0=")</f>
        <v>#REF!</v>
      </c>
      <c r="IU130" t="e">
        <f>AND(Liste!#REF!,"AAAAAFW71/4=")</f>
        <v>#REF!</v>
      </c>
      <c r="IV130" t="e">
        <f>AND(Liste!#REF!,"AAAAAFW71/8=")</f>
        <v>#REF!</v>
      </c>
    </row>
    <row r="131" spans="1:256" x14ac:dyDescent="0.2">
      <c r="A131" t="e">
        <f>AND(Liste!#REF!,"AAAAAHd+6gA=")</f>
        <v>#REF!</v>
      </c>
      <c r="B131" t="e">
        <f>AND(Liste!#REF!,"AAAAAHd+6gE=")</f>
        <v>#REF!</v>
      </c>
      <c r="C131" t="e">
        <f>AND(Liste!#REF!,"AAAAAHd+6gI=")</f>
        <v>#REF!</v>
      </c>
      <c r="D131" t="e">
        <f>AND(Liste!#REF!,"AAAAAHd+6gM=")</f>
        <v>#REF!</v>
      </c>
      <c r="E131" t="e">
        <f>AND(Liste!#REF!,"AAAAAHd+6gQ=")</f>
        <v>#REF!</v>
      </c>
      <c r="F131" t="e">
        <f>AND(Liste!#REF!,"AAAAAHd+6gU=")</f>
        <v>#REF!</v>
      </c>
      <c r="G131" t="e">
        <f>AND(Liste!#REF!,"AAAAAHd+6gY=")</f>
        <v>#REF!</v>
      </c>
      <c r="H131" t="e">
        <f>AND(Liste!#REF!,"AAAAAHd+6gc=")</f>
        <v>#REF!</v>
      </c>
      <c r="I131" t="e">
        <f>AND(Liste!#REF!,"AAAAAHd+6gg=")</f>
        <v>#REF!</v>
      </c>
      <c r="J131" t="e">
        <f>AND(Liste!#REF!,"AAAAAHd+6gk=")</f>
        <v>#REF!</v>
      </c>
      <c r="K131" t="e">
        <f>AND(Liste!#REF!,"AAAAAHd+6go=")</f>
        <v>#REF!</v>
      </c>
      <c r="L131" t="e">
        <f>AND(Liste!#REF!,"AAAAAHd+6gs=")</f>
        <v>#REF!</v>
      </c>
      <c r="M131" t="e">
        <f>AND(Liste!#REF!,"AAAAAHd+6gw=")</f>
        <v>#REF!</v>
      </c>
      <c r="N131" t="e">
        <f>AND(Liste!#REF!,"AAAAAHd+6g0=")</f>
        <v>#REF!</v>
      </c>
      <c r="O131" t="e">
        <f>IF(Liste!#REF!,"AAAAAHd+6g4=",0)</f>
        <v>#REF!</v>
      </c>
      <c r="P131" t="e">
        <f>AND(Liste!#REF!,"AAAAAHd+6g8=")</f>
        <v>#REF!</v>
      </c>
      <c r="Q131" t="e">
        <f>AND(Liste!#REF!,"AAAAAHd+6hA=")</f>
        <v>#REF!</v>
      </c>
      <c r="R131" t="e">
        <f>AND(Liste!#REF!,"AAAAAHd+6hE=")</f>
        <v>#REF!</v>
      </c>
      <c r="S131" t="e">
        <f>AND(Liste!#REF!,"AAAAAHd+6hI=")</f>
        <v>#REF!</v>
      </c>
      <c r="T131" t="e">
        <f>AND(Liste!#REF!,"AAAAAHd+6hM=")</f>
        <v>#REF!</v>
      </c>
      <c r="U131" t="e">
        <f>AND(Liste!#REF!,"AAAAAHd+6hQ=")</f>
        <v>#REF!</v>
      </c>
      <c r="V131" t="e">
        <f>AND(Liste!#REF!,"AAAAAHd+6hU=")</f>
        <v>#REF!</v>
      </c>
      <c r="W131" t="e">
        <f>AND(Liste!#REF!,"AAAAAHd+6hY=")</f>
        <v>#REF!</v>
      </c>
      <c r="X131" t="e">
        <f>AND(Liste!#REF!,"AAAAAHd+6hc=")</f>
        <v>#REF!</v>
      </c>
      <c r="Y131" t="e">
        <f>AND(Liste!#REF!,"AAAAAHd+6hg=")</f>
        <v>#REF!</v>
      </c>
      <c r="Z131" t="e">
        <f>AND(Liste!#REF!,"AAAAAHd+6hk=")</f>
        <v>#REF!</v>
      </c>
      <c r="AA131" t="e">
        <f>AND(Liste!#REF!,"AAAAAHd+6ho=")</f>
        <v>#REF!</v>
      </c>
      <c r="AB131" t="e">
        <f>AND(Liste!#REF!,"AAAAAHd+6hs=")</f>
        <v>#REF!</v>
      </c>
      <c r="AC131" t="e">
        <f>AND(Liste!#REF!,"AAAAAHd+6hw=")</f>
        <v>#REF!</v>
      </c>
      <c r="AD131" t="e">
        <f>AND(Liste!#REF!,"AAAAAHd+6h0=")</f>
        <v>#REF!</v>
      </c>
      <c r="AE131" t="e">
        <f>AND(Liste!#REF!,"AAAAAHd+6h4=")</f>
        <v>#REF!</v>
      </c>
      <c r="AF131" t="e">
        <f>AND(Liste!#REF!,"AAAAAHd+6h8=")</f>
        <v>#REF!</v>
      </c>
      <c r="AG131" t="e">
        <f>AND(Liste!#REF!,"AAAAAHd+6iA=")</f>
        <v>#REF!</v>
      </c>
      <c r="AH131" t="e">
        <f>AND(Liste!#REF!,"AAAAAHd+6iE=")</f>
        <v>#REF!</v>
      </c>
      <c r="AI131" t="e">
        <f>AND(Liste!#REF!,"AAAAAHd+6iI=")</f>
        <v>#REF!</v>
      </c>
      <c r="AJ131" t="e">
        <f>AND(Liste!#REF!,"AAAAAHd+6iM=")</f>
        <v>#REF!</v>
      </c>
      <c r="AK131" t="e">
        <f>AND(Liste!#REF!,"AAAAAHd+6iQ=")</f>
        <v>#REF!</v>
      </c>
      <c r="AL131" t="e">
        <f>AND(Liste!#REF!,"AAAAAHd+6iU=")</f>
        <v>#REF!</v>
      </c>
      <c r="AM131" t="e">
        <f>AND(Liste!#REF!,"AAAAAHd+6iY=")</f>
        <v>#REF!</v>
      </c>
      <c r="AN131" t="e">
        <f>AND(Liste!#REF!,"AAAAAHd+6ic=")</f>
        <v>#REF!</v>
      </c>
      <c r="AO131" t="e">
        <f>AND(Liste!#REF!,"AAAAAHd+6ig=")</f>
        <v>#REF!</v>
      </c>
      <c r="AP131" t="e">
        <f>AND(Liste!#REF!,"AAAAAHd+6ik=")</f>
        <v>#REF!</v>
      </c>
      <c r="AQ131" t="e">
        <f>AND(Liste!#REF!,"AAAAAHd+6io=")</f>
        <v>#REF!</v>
      </c>
      <c r="AR131" t="e">
        <f>AND(Liste!#REF!,"AAAAAHd+6is=")</f>
        <v>#REF!</v>
      </c>
      <c r="AS131" t="e">
        <f>AND(Liste!#REF!,"AAAAAHd+6iw=")</f>
        <v>#REF!</v>
      </c>
      <c r="AT131" t="e">
        <f>IF(Liste!#REF!,"AAAAAHd+6i0=",0)</f>
        <v>#REF!</v>
      </c>
      <c r="AU131" t="e">
        <f>AND(Liste!#REF!,"AAAAAHd+6i4=")</f>
        <v>#REF!</v>
      </c>
      <c r="AV131" t="e">
        <f>AND(Liste!#REF!,"AAAAAHd+6i8=")</f>
        <v>#REF!</v>
      </c>
      <c r="AW131" t="e">
        <f>AND(Liste!#REF!,"AAAAAHd+6jA=")</f>
        <v>#REF!</v>
      </c>
      <c r="AX131" t="e">
        <f>AND(Liste!#REF!,"AAAAAHd+6jE=")</f>
        <v>#REF!</v>
      </c>
      <c r="AY131" t="e">
        <f>AND(Liste!#REF!,"AAAAAHd+6jI=")</f>
        <v>#REF!</v>
      </c>
      <c r="AZ131" t="e">
        <f>AND(Liste!#REF!,"AAAAAHd+6jM=")</f>
        <v>#REF!</v>
      </c>
      <c r="BA131" t="e">
        <f>AND(Liste!#REF!,"AAAAAHd+6jQ=")</f>
        <v>#REF!</v>
      </c>
      <c r="BB131" t="e">
        <f>AND(Liste!#REF!,"AAAAAHd+6jU=")</f>
        <v>#REF!</v>
      </c>
      <c r="BC131" t="e">
        <f>AND(Liste!#REF!,"AAAAAHd+6jY=")</f>
        <v>#REF!</v>
      </c>
      <c r="BD131" t="e">
        <f>AND(Liste!#REF!,"AAAAAHd+6jc=")</f>
        <v>#REF!</v>
      </c>
      <c r="BE131" t="e">
        <f>AND(Liste!#REF!,"AAAAAHd+6jg=")</f>
        <v>#REF!</v>
      </c>
      <c r="BF131" t="e">
        <f>AND(Liste!#REF!,"AAAAAHd+6jk=")</f>
        <v>#REF!</v>
      </c>
      <c r="BG131" t="e">
        <f>AND(Liste!#REF!,"AAAAAHd+6jo=")</f>
        <v>#REF!</v>
      </c>
      <c r="BH131" t="e">
        <f>AND(Liste!#REF!,"AAAAAHd+6js=")</f>
        <v>#REF!</v>
      </c>
      <c r="BI131" t="e">
        <f>AND(Liste!#REF!,"AAAAAHd+6jw=")</f>
        <v>#REF!</v>
      </c>
      <c r="BJ131" t="e">
        <f>AND(Liste!#REF!,"AAAAAHd+6j0=")</f>
        <v>#REF!</v>
      </c>
      <c r="BK131" t="e">
        <f>AND(Liste!#REF!,"AAAAAHd+6j4=")</f>
        <v>#REF!</v>
      </c>
      <c r="BL131" t="e">
        <f>AND(Liste!#REF!,"AAAAAHd+6j8=")</f>
        <v>#REF!</v>
      </c>
      <c r="BM131" t="e">
        <f>AND(Liste!#REF!,"AAAAAHd+6kA=")</f>
        <v>#REF!</v>
      </c>
      <c r="BN131" t="e">
        <f>AND(Liste!#REF!,"AAAAAHd+6kE=")</f>
        <v>#REF!</v>
      </c>
      <c r="BO131" t="e">
        <f>AND(Liste!#REF!,"AAAAAHd+6kI=")</f>
        <v>#REF!</v>
      </c>
      <c r="BP131" t="e">
        <f>AND(Liste!#REF!,"AAAAAHd+6kM=")</f>
        <v>#REF!</v>
      </c>
      <c r="BQ131" t="e">
        <f>AND(Liste!#REF!,"AAAAAHd+6kQ=")</f>
        <v>#REF!</v>
      </c>
      <c r="BR131" t="e">
        <f>AND(Liste!#REF!,"AAAAAHd+6kU=")</f>
        <v>#REF!</v>
      </c>
      <c r="BS131" t="e">
        <f>AND(Liste!#REF!,"AAAAAHd+6kY=")</f>
        <v>#REF!</v>
      </c>
      <c r="BT131" t="e">
        <f>AND(Liste!#REF!,"AAAAAHd+6kc=")</f>
        <v>#REF!</v>
      </c>
      <c r="BU131" t="e">
        <f>AND(Liste!#REF!,"AAAAAHd+6kg=")</f>
        <v>#REF!</v>
      </c>
      <c r="BV131" t="e">
        <f>AND(Liste!#REF!,"AAAAAHd+6kk=")</f>
        <v>#REF!</v>
      </c>
      <c r="BW131" t="e">
        <f>AND(Liste!#REF!,"AAAAAHd+6ko=")</f>
        <v>#REF!</v>
      </c>
      <c r="BX131" t="e">
        <f>AND(Liste!#REF!,"AAAAAHd+6ks=")</f>
        <v>#REF!</v>
      </c>
      <c r="BY131" t="e">
        <f>IF(Liste!#REF!,"AAAAAHd+6kw=",0)</f>
        <v>#REF!</v>
      </c>
      <c r="BZ131" t="e">
        <f>AND(Liste!#REF!,"AAAAAHd+6k0=")</f>
        <v>#REF!</v>
      </c>
      <c r="CA131" t="e">
        <f>AND(Liste!#REF!,"AAAAAHd+6k4=")</f>
        <v>#REF!</v>
      </c>
      <c r="CB131" t="e">
        <f>AND(Liste!#REF!,"AAAAAHd+6k8=")</f>
        <v>#REF!</v>
      </c>
      <c r="CC131" t="e">
        <f>AND(Liste!#REF!,"AAAAAHd+6lA=")</f>
        <v>#REF!</v>
      </c>
      <c r="CD131" t="e">
        <f>AND(Liste!#REF!,"AAAAAHd+6lE=")</f>
        <v>#REF!</v>
      </c>
      <c r="CE131" t="e">
        <f>AND(Liste!#REF!,"AAAAAHd+6lI=")</f>
        <v>#REF!</v>
      </c>
      <c r="CF131" t="e">
        <f>AND(Liste!#REF!,"AAAAAHd+6lM=")</f>
        <v>#REF!</v>
      </c>
      <c r="CG131" t="e">
        <f>AND(Liste!#REF!,"AAAAAHd+6lQ=")</f>
        <v>#REF!</v>
      </c>
      <c r="CH131" t="e">
        <f>AND(Liste!#REF!,"AAAAAHd+6lU=")</f>
        <v>#REF!</v>
      </c>
      <c r="CI131" t="e">
        <f>AND(Liste!#REF!,"AAAAAHd+6lY=")</f>
        <v>#REF!</v>
      </c>
      <c r="CJ131" t="e">
        <f>AND(Liste!#REF!,"AAAAAHd+6lc=")</f>
        <v>#REF!</v>
      </c>
      <c r="CK131" t="e">
        <f>AND(Liste!#REF!,"AAAAAHd+6lg=")</f>
        <v>#REF!</v>
      </c>
      <c r="CL131" t="e">
        <f>AND(Liste!#REF!,"AAAAAHd+6lk=")</f>
        <v>#REF!</v>
      </c>
      <c r="CM131" t="e">
        <f>AND(Liste!#REF!,"AAAAAHd+6lo=")</f>
        <v>#REF!</v>
      </c>
      <c r="CN131" t="e">
        <f>AND(Liste!#REF!,"AAAAAHd+6ls=")</f>
        <v>#REF!</v>
      </c>
      <c r="CO131" t="e">
        <f>AND(Liste!#REF!,"AAAAAHd+6lw=")</f>
        <v>#REF!</v>
      </c>
      <c r="CP131" t="e">
        <f>AND(Liste!#REF!,"AAAAAHd+6l0=")</f>
        <v>#REF!</v>
      </c>
      <c r="CQ131" t="e">
        <f>AND(Liste!#REF!,"AAAAAHd+6l4=")</f>
        <v>#REF!</v>
      </c>
      <c r="CR131" t="e">
        <f>AND(Liste!#REF!,"AAAAAHd+6l8=")</f>
        <v>#REF!</v>
      </c>
      <c r="CS131" t="e">
        <f>AND(Liste!#REF!,"AAAAAHd+6mA=")</f>
        <v>#REF!</v>
      </c>
      <c r="CT131" t="e">
        <f>AND(Liste!#REF!,"AAAAAHd+6mE=")</f>
        <v>#REF!</v>
      </c>
      <c r="CU131" t="e">
        <f>AND(Liste!#REF!,"AAAAAHd+6mI=")</f>
        <v>#REF!</v>
      </c>
      <c r="CV131" t="e">
        <f>AND(Liste!#REF!,"AAAAAHd+6mM=")</f>
        <v>#REF!</v>
      </c>
      <c r="CW131" t="e">
        <f>AND(Liste!#REF!,"AAAAAHd+6mQ=")</f>
        <v>#REF!</v>
      </c>
      <c r="CX131" t="e">
        <f>AND(Liste!#REF!,"AAAAAHd+6mU=")</f>
        <v>#REF!</v>
      </c>
      <c r="CY131" t="e">
        <f>AND(Liste!#REF!,"AAAAAHd+6mY=")</f>
        <v>#REF!</v>
      </c>
      <c r="CZ131" t="e">
        <f>AND(Liste!#REF!,"AAAAAHd+6mc=")</f>
        <v>#REF!</v>
      </c>
      <c r="DA131" t="e">
        <f>AND(Liste!#REF!,"AAAAAHd+6mg=")</f>
        <v>#REF!</v>
      </c>
      <c r="DB131" t="e">
        <f>AND(Liste!#REF!,"AAAAAHd+6mk=")</f>
        <v>#REF!</v>
      </c>
      <c r="DC131" t="e">
        <f>AND(Liste!#REF!,"AAAAAHd+6mo=")</f>
        <v>#REF!</v>
      </c>
      <c r="DD131" t="e">
        <f>IF(Liste!#REF!,"AAAAAHd+6ms=",0)</f>
        <v>#REF!</v>
      </c>
      <c r="DE131" t="e">
        <f>AND(Liste!#REF!,"AAAAAHd+6mw=")</f>
        <v>#REF!</v>
      </c>
      <c r="DF131" t="e">
        <f>AND(Liste!#REF!,"AAAAAHd+6m0=")</f>
        <v>#REF!</v>
      </c>
      <c r="DG131" t="e">
        <f>AND(Liste!#REF!,"AAAAAHd+6m4=")</f>
        <v>#REF!</v>
      </c>
      <c r="DH131" t="e">
        <f>AND(Liste!#REF!,"AAAAAHd+6m8=")</f>
        <v>#REF!</v>
      </c>
      <c r="DI131" t="e">
        <f>AND(Liste!#REF!,"AAAAAHd+6nA=")</f>
        <v>#REF!</v>
      </c>
      <c r="DJ131" t="e">
        <f>AND(Liste!#REF!,"AAAAAHd+6nE=")</f>
        <v>#REF!</v>
      </c>
      <c r="DK131" t="e">
        <f>AND(Liste!#REF!,"AAAAAHd+6nI=")</f>
        <v>#REF!</v>
      </c>
      <c r="DL131" t="e">
        <f>AND(Liste!#REF!,"AAAAAHd+6nM=")</f>
        <v>#REF!</v>
      </c>
      <c r="DM131" t="e">
        <f>AND(Liste!#REF!,"AAAAAHd+6nQ=")</f>
        <v>#REF!</v>
      </c>
      <c r="DN131" t="e">
        <f>AND(Liste!#REF!,"AAAAAHd+6nU=")</f>
        <v>#REF!</v>
      </c>
      <c r="DO131" t="e">
        <f>AND(Liste!#REF!,"AAAAAHd+6nY=")</f>
        <v>#REF!</v>
      </c>
      <c r="DP131" t="e">
        <f>AND(Liste!#REF!,"AAAAAHd+6nc=")</f>
        <v>#REF!</v>
      </c>
      <c r="DQ131" t="e">
        <f>AND(Liste!#REF!,"AAAAAHd+6ng=")</f>
        <v>#REF!</v>
      </c>
      <c r="DR131" t="e">
        <f>AND(Liste!#REF!,"AAAAAHd+6nk=")</f>
        <v>#REF!</v>
      </c>
      <c r="DS131" t="e">
        <f>AND(Liste!#REF!,"AAAAAHd+6no=")</f>
        <v>#REF!</v>
      </c>
      <c r="DT131" t="e">
        <f>AND(Liste!#REF!,"AAAAAHd+6ns=")</f>
        <v>#REF!</v>
      </c>
      <c r="DU131" t="e">
        <f>AND(Liste!#REF!,"AAAAAHd+6nw=")</f>
        <v>#REF!</v>
      </c>
      <c r="DV131" t="e">
        <f>AND(Liste!#REF!,"AAAAAHd+6n0=")</f>
        <v>#REF!</v>
      </c>
      <c r="DW131" t="e">
        <f>AND(Liste!#REF!,"AAAAAHd+6n4=")</f>
        <v>#REF!</v>
      </c>
      <c r="DX131" t="e">
        <f>AND(Liste!#REF!,"AAAAAHd+6n8=")</f>
        <v>#REF!</v>
      </c>
      <c r="DY131" t="e">
        <f>AND(Liste!#REF!,"AAAAAHd+6oA=")</f>
        <v>#REF!</v>
      </c>
      <c r="DZ131" t="e">
        <f>AND(Liste!#REF!,"AAAAAHd+6oE=")</f>
        <v>#REF!</v>
      </c>
      <c r="EA131" t="e">
        <f>AND(Liste!#REF!,"AAAAAHd+6oI=")</f>
        <v>#REF!</v>
      </c>
      <c r="EB131" t="e">
        <f>AND(Liste!#REF!,"AAAAAHd+6oM=")</f>
        <v>#REF!</v>
      </c>
      <c r="EC131" t="e">
        <f>AND(Liste!#REF!,"AAAAAHd+6oQ=")</f>
        <v>#REF!</v>
      </c>
      <c r="ED131" t="e">
        <f>AND(Liste!#REF!,"AAAAAHd+6oU=")</f>
        <v>#REF!</v>
      </c>
      <c r="EE131" t="e">
        <f>AND(Liste!#REF!,"AAAAAHd+6oY=")</f>
        <v>#REF!</v>
      </c>
      <c r="EF131" t="e">
        <f>AND(Liste!#REF!,"AAAAAHd+6oc=")</f>
        <v>#REF!</v>
      </c>
      <c r="EG131" t="e">
        <f>AND(Liste!#REF!,"AAAAAHd+6og=")</f>
        <v>#REF!</v>
      </c>
      <c r="EH131" t="e">
        <f>AND(Liste!#REF!,"AAAAAHd+6ok=")</f>
        <v>#REF!</v>
      </c>
      <c r="EI131" t="e">
        <f>IF(Liste!#REF!,"AAAAAHd+6oo=",0)</f>
        <v>#REF!</v>
      </c>
      <c r="EJ131" t="e">
        <f>AND(Liste!#REF!,"AAAAAHd+6os=")</f>
        <v>#REF!</v>
      </c>
      <c r="EK131" t="e">
        <f>AND(Liste!#REF!,"AAAAAHd+6ow=")</f>
        <v>#REF!</v>
      </c>
      <c r="EL131" t="e">
        <f>AND(Liste!#REF!,"AAAAAHd+6o0=")</f>
        <v>#REF!</v>
      </c>
      <c r="EM131" t="e">
        <f>AND(Liste!#REF!,"AAAAAHd+6o4=")</f>
        <v>#REF!</v>
      </c>
      <c r="EN131" t="e">
        <f>AND(Liste!#REF!,"AAAAAHd+6o8=")</f>
        <v>#REF!</v>
      </c>
      <c r="EO131" t="e">
        <f>AND(Liste!#REF!,"AAAAAHd+6pA=")</f>
        <v>#REF!</v>
      </c>
      <c r="EP131" t="e">
        <f>AND(Liste!#REF!,"AAAAAHd+6pE=")</f>
        <v>#REF!</v>
      </c>
      <c r="EQ131" t="e">
        <f>AND(Liste!#REF!,"AAAAAHd+6pI=")</f>
        <v>#REF!</v>
      </c>
      <c r="ER131" t="e">
        <f>AND(Liste!#REF!,"AAAAAHd+6pM=")</f>
        <v>#REF!</v>
      </c>
      <c r="ES131" t="e">
        <f>AND(Liste!#REF!,"AAAAAHd+6pQ=")</f>
        <v>#REF!</v>
      </c>
      <c r="ET131" t="e">
        <f>AND(Liste!#REF!,"AAAAAHd+6pU=")</f>
        <v>#REF!</v>
      </c>
      <c r="EU131" t="e">
        <f>AND(Liste!#REF!,"AAAAAHd+6pY=")</f>
        <v>#REF!</v>
      </c>
      <c r="EV131" t="e">
        <f>AND(Liste!#REF!,"AAAAAHd+6pc=")</f>
        <v>#REF!</v>
      </c>
      <c r="EW131" t="e">
        <f>AND(Liste!#REF!,"AAAAAHd+6pg=")</f>
        <v>#REF!</v>
      </c>
      <c r="EX131" t="e">
        <f>AND(Liste!#REF!,"AAAAAHd+6pk=")</f>
        <v>#REF!</v>
      </c>
      <c r="EY131" t="e">
        <f>AND(Liste!#REF!,"AAAAAHd+6po=")</f>
        <v>#REF!</v>
      </c>
      <c r="EZ131" t="e">
        <f>AND(Liste!#REF!,"AAAAAHd+6ps=")</f>
        <v>#REF!</v>
      </c>
      <c r="FA131" t="e">
        <f>AND(Liste!#REF!,"AAAAAHd+6pw=")</f>
        <v>#REF!</v>
      </c>
      <c r="FB131" t="e">
        <f>AND(Liste!#REF!,"AAAAAHd+6p0=")</f>
        <v>#REF!</v>
      </c>
      <c r="FC131" t="e">
        <f>AND(Liste!#REF!,"AAAAAHd+6p4=")</f>
        <v>#REF!</v>
      </c>
      <c r="FD131" t="e">
        <f>AND(Liste!#REF!,"AAAAAHd+6p8=")</f>
        <v>#REF!</v>
      </c>
      <c r="FE131" t="e">
        <f>AND(Liste!#REF!,"AAAAAHd+6qA=")</f>
        <v>#REF!</v>
      </c>
      <c r="FF131" t="e">
        <f>AND(Liste!#REF!,"AAAAAHd+6qE=")</f>
        <v>#REF!</v>
      </c>
      <c r="FG131" t="e">
        <f>AND(Liste!#REF!,"AAAAAHd+6qI=")</f>
        <v>#REF!</v>
      </c>
      <c r="FH131" t="e">
        <f>AND(Liste!#REF!,"AAAAAHd+6qM=")</f>
        <v>#REF!</v>
      </c>
      <c r="FI131" t="e">
        <f>AND(Liste!#REF!,"AAAAAHd+6qQ=")</f>
        <v>#REF!</v>
      </c>
      <c r="FJ131" t="e">
        <f>AND(Liste!#REF!,"AAAAAHd+6qU=")</f>
        <v>#REF!</v>
      </c>
      <c r="FK131" t="e">
        <f>AND(Liste!#REF!,"AAAAAHd+6qY=")</f>
        <v>#REF!</v>
      </c>
      <c r="FL131" t="e">
        <f>AND(Liste!#REF!,"AAAAAHd+6qc=")</f>
        <v>#REF!</v>
      </c>
      <c r="FM131" t="e">
        <f>AND(Liste!#REF!,"AAAAAHd+6qg=")</f>
        <v>#REF!</v>
      </c>
      <c r="FN131" t="e">
        <f>IF(Liste!#REF!,"AAAAAHd+6qk=",0)</f>
        <v>#REF!</v>
      </c>
      <c r="FO131" t="e">
        <f>AND(Liste!#REF!,"AAAAAHd+6qo=")</f>
        <v>#REF!</v>
      </c>
      <c r="FP131" t="e">
        <f>AND(Liste!#REF!,"AAAAAHd+6qs=")</f>
        <v>#REF!</v>
      </c>
      <c r="FQ131" t="e">
        <f>AND(Liste!#REF!,"AAAAAHd+6qw=")</f>
        <v>#REF!</v>
      </c>
      <c r="FR131" t="e">
        <f>AND(Liste!#REF!,"AAAAAHd+6q0=")</f>
        <v>#REF!</v>
      </c>
      <c r="FS131" t="e">
        <f>AND(Liste!#REF!,"AAAAAHd+6q4=")</f>
        <v>#REF!</v>
      </c>
      <c r="FT131" t="e">
        <f>AND(Liste!#REF!,"AAAAAHd+6q8=")</f>
        <v>#REF!</v>
      </c>
      <c r="FU131" t="e">
        <f>AND(Liste!#REF!,"AAAAAHd+6rA=")</f>
        <v>#REF!</v>
      </c>
      <c r="FV131" t="e">
        <f>AND(Liste!#REF!,"AAAAAHd+6rE=")</f>
        <v>#REF!</v>
      </c>
      <c r="FW131" t="e">
        <f>AND(Liste!#REF!,"AAAAAHd+6rI=")</f>
        <v>#REF!</v>
      </c>
      <c r="FX131" t="e">
        <f>AND(Liste!#REF!,"AAAAAHd+6rM=")</f>
        <v>#REF!</v>
      </c>
      <c r="FY131" t="e">
        <f>AND(Liste!#REF!,"AAAAAHd+6rQ=")</f>
        <v>#REF!</v>
      </c>
      <c r="FZ131" t="e">
        <f>AND(Liste!#REF!,"AAAAAHd+6rU=")</f>
        <v>#REF!</v>
      </c>
      <c r="GA131" t="e">
        <f>AND(Liste!#REF!,"AAAAAHd+6rY=")</f>
        <v>#REF!</v>
      </c>
      <c r="GB131" t="e">
        <f>AND(Liste!#REF!,"AAAAAHd+6rc=")</f>
        <v>#REF!</v>
      </c>
      <c r="GC131" t="e">
        <f>AND(Liste!#REF!,"AAAAAHd+6rg=")</f>
        <v>#REF!</v>
      </c>
      <c r="GD131" t="e">
        <f>AND(Liste!#REF!,"AAAAAHd+6rk=")</f>
        <v>#REF!</v>
      </c>
      <c r="GE131" t="e">
        <f>AND(Liste!#REF!,"AAAAAHd+6ro=")</f>
        <v>#REF!</v>
      </c>
      <c r="GF131" t="e">
        <f>AND(Liste!#REF!,"AAAAAHd+6rs=")</f>
        <v>#REF!</v>
      </c>
      <c r="GG131" t="e">
        <f>AND(Liste!#REF!,"AAAAAHd+6rw=")</f>
        <v>#REF!</v>
      </c>
      <c r="GH131" t="e">
        <f>AND(Liste!#REF!,"AAAAAHd+6r0=")</f>
        <v>#REF!</v>
      </c>
      <c r="GI131" t="e">
        <f>AND(Liste!#REF!,"AAAAAHd+6r4=")</f>
        <v>#REF!</v>
      </c>
      <c r="GJ131" t="e">
        <f>AND(Liste!#REF!,"AAAAAHd+6r8=")</f>
        <v>#REF!</v>
      </c>
      <c r="GK131" t="e">
        <f>AND(Liste!#REF!,"AAAAAHd+6sA=")</f>
        <v>#REF!</v>
      </c>
      <c r="GL131" t="e">
        <f>AND(Liste!#REF!,"AAAAAHd+6sE=")</f>
        <v>#REF!</v>
      </c>
      <c r="GM131" t="e">
        <f>AND(Liste!#REF!,"AAAAAHd+6sI=")</f>
        <v>#REF!</v>
      </c>
      <c r="GN131" t="e">
        <f>AND(Liste!#REF!,"AAAAAHd+6sM=")</f>
        <v>#REF!</v>
      </c>
      <c r="GO131" t="e">
        <f>AND(Liste!#REF!,"AAAAAHd+6sQ=")</f>
        <v>#REF!</v>
      </c>
      <c r="GP131" t="e">
        <f>AND(Liste!#REF!,"AAAAAHd+6sU=")</f>
        <v>#REF!</v>
      </c>
      <c r="GQ131" t="e">
        <f>AND(Liste!#REF!,"AAAAAHd+6sY=")</f>
        <v>#REF!</v>
      </c>
      <c r="GR131" t="e">
        <f>AND(Liste!#REF!,"AAAAAHd+6sc=")</f>
        <v>#REF!</v>
      </c>
      <c r="GS131" t="e">
        <f>IF(Liste!#REF!,"AAAAAHd+6sg=",0)</f>
        <v>#REF!</v>
      </c>
      <c r="GT131" t="e">
        <f>AND(Liste!#REF!,"AAAAAHd+6sk=")</f>
        <v>#REF!</v>
      </c>
      <c r="GU131" t="e">
        <f>AND(Liste!#REF!,"AAAAAHd+6so=")</f>
        <v>#REF!</v>
      </c>
      <c r="GV131" t="e">
        <f>AND(Liste!#REF!,"AAAAAHd+6ss=")</f>
        <v>#REF!</v>
      </c>
      <c r="GW131" t="e">
        <f>AND(Liste!#REF!,"AAAAAHd+6sw=")</f>
        <v>#REF!</v>
      </c>
      <c r="GX131" t="e">
        <f>AND(Liste!#REF!,"AAAAAHd+6s0=")</f>
        <v>#REF!</v>
      </c>
      <c r="GY131" t="e">
        <f>AND(Liste!#REF!,"AAAAAHd+6s4=")</f>
        <v>#REF!</v>
      </c>
      <c r="GZ131" t="e">
        <f>AND(Liste!#REF!,"AAAAAHd+6s8=")</f>
        <v>#REF!</v>
      </c>
      <c r="HA131" t="e">
        <f>AND(Liste!#REF!,"AAAAAHd+6tA=")</f>
        <v>#REF!</v>
      </c>
      <c r="HB131" t="e">
        <f>AND(Liste!#REF!,"AAAAAHd+6tE=")</f>
        <v>#REF!</v>
      </c>
      <c r="HC131" t="e">
        <f>AND(Liste!#REF!,"AAAAAHd+6tI=")</f>
        <v>#REF!</v>
      </c>
      <c r="HD131" t="e">
        <f>AND(Liste!#REF!,"AAAAAHd+6tM=")</f>
        <v>#REF!</v>
      </c>
      <c r="HE131" t="e">
        <f>AND(Liste!#REF!,"AAAAAHd+6tQ=")</f>
        <v>#REF!</v>
      </c>
      <c r="HF131" t="e">
        <f>AND(Liste!#REF!,"AAAAAHd+6tU=")</f>
        <v>#REF!</v>
      </c>
      <c r="HG131" t="e">
        <f>AND(Liste!#REF!,"AAAAAHd+6tY=")</f>
        <v>#REF!</v>
      </c>
      <c r="HH131" t="e">
        <f>AND(Liste!#REF!,"AAAAAHd+6tc=")</f>
        <v>#REF!</v>
      </c>
      <c r="HI131" t="e">
        <f>AND(Liste!#REF!,"AAAAAHd+6tg=")</f>
        <v>#REF!</v>
      </c>
      <c r="HJ131" t="e">
        <f>AND(Liste!#REF!,"AAAAAHd+6tk=")</f>
        <v>#REF!</v>
      </c>
      <c r="HK131" t="e">
        <f>AND(Liste!#REF!,"AAAAAHd+6to=")</f>
        <v>#REF!</v>
      </c>
      <c r="HL131" t="e">
        <f>AND(Liste!#REF!,"AAAAAHd+6ts=")</f>
        <v>#REF!</v>
      </c>
      <c r="HM131" t="e">
        <f>AND(Liste!#REF!,"AAAAAHd+6tw=")</f>
        <v>#REF!</v>
      </c>
      <c r="HN131" t="e">
        <f>AND(Liste!#REF!,"AAAAAHd+6t0=")</f>
        <v>#REF!</v>
      </c>
      <c r="HO131" t="e">
        <f>AND(Liste!#REF!,"AAAAAHd+6t4=")</f>
        <v>#REF!</v>
      </c>
      <c r="HP131" t="e">
        <f>AND(Liste!#REF!,"AAAAAHd+6t8=")</f>
        <v>#REF!</v>
      </c>
      <c r="HQ131" t="e">
        <f>AND(Liste!#REF!,"AAAAAHd+6uA=")</f>
        <v>#REF!</v>
      </c>
      <c r="HR131" t="e">
        <f>AND(Liste!#REF!,"AAAAAHd+6uE=")</f>
        <v>#REF!</v>
      </c>
      <c r="HS131" t="e">
        <f>AND(Liste!#REF!,"AAAAAHd+6uI=")</f>
        <v>#REF!</v>
      </c>
      <c r="HT131" t="e">
        <f>AND(Liste!#REF!,"AAAAAHd+6uM=")</f>
        <v>#REF!</v>
      </c>
      <c r="HU131" t="e">
        <f>AND(Liste!#REF!,"AAAAAHd+6uQ=")</f>
        <v>#REF!</v>
      </c>
      <c r="HV131" t="e">
        <f>AND(Liste!#REF!,"AAAAAHd+6uU=")</f>
        <v>#REF!</v>
      </c>
      <c r="HW131" t="e">
        <f>AND(Liste!#REF!,"AAAAAHd+6uY=")</f>
        <v>#REF!</v>
      </c>
      <c r="HX131" t="e">
        <f>IF(Liste!#REF!,"AAAAAHd+6uc=",0)</f>
        <v>#REF!</v>
      </c>
      <c r="HY131" t="e">
        <f>AND(Liste!#REF!,"AAAAAHd+6ug=")</f>
        <v>#REF!</v>
      </c>
      <c r="HZ131" t="e">
        <f>AND(Liste!#REF!,"AAAAAHd+6uk=")</f>
        <v>#REF!</v>
      </c>
      <c r="IA131" t="e">
        <f>AND(Liste!#REF!,"AAAAAHd+6uo=")</f>
        <v>#REF!</v>
      </c>
      <c r="IB131" t="e">
        <f>AND(Liste!#REF!,"AAAAAHd+6us=")</f>
        <v>#REF!</v>
      </c>
      <c r="IC131" t="e">
        <f>AND(Liste!#REF!,"AAAAAHd+6uw=")</f>
        <v>#REF!</v>
      </c>
      <c r="ID131" t="e">
        <f>AND(Liste!#REF!,"AAAAAHd+6u0=")</f>
        <v>#REF!</v>
      </c>
      <c r="IE131" t="e">
        <f>AND(Liste!#REF!,"AAAAAHd+6u4=")</f>
        <v>#REF!</v>
      </c>
      <c r="IF131" t="e">
        <f>AND(Liste!#REF!,"AAAAAHd+6u8=")</f>
        <v>#REF!</v>
      </c>
      <c r="IG131" t="e">
        <f>AND(Liste!#REF!,"AAAAAHd+6vA=")</f>
        <v>#REF!</v>
      </c>
      <c r="IH131" t="e">
        <f>AND(Liste!#REF!,"AAAAAHd+6vE=")</f>
        <v>#REF!</v>
      </c>
      <c r="II131" t="e">
        <f>AND(Liste!#REF!,"AAAAAHd+6vI=")</f>
        <v>#REF!</v>
      </c>
      <c r="IJ131" t="e">
        <f>AND(Liste!#REF!,"AAAAAHd+6vM=")</f>
        <v>#REF!</v>
      </c>
      <c r="IK131" t="e">
        <f>AND(Liste!#REF!,"AAAAAHd+6vQ=")</f>
        <v>#REF!</v>
      </c>
      <c r="IL131" t="e">
        <f>AND(Liste!#REF!,"AAAAAHd+6vU=")</f>
        <v>#REF!</v>
      </c>
      <c r="IM131" t="e">
        <f>AND(Liste!#REF!,"AAAAAHd+6vY=")</f>
        <v>#REF!</v>
      </c>
      <c r="IN131" t="e">
        <f>AND(Liste!#REF!,"AAAAAHd+6vc=")</f>
        <v>#REF!</v>
      </c>
      <c r="IO131" t="e">
        <f>AND(Liste!#REF!,"AAAAAHd+6vg=")</f>
        <v>#REF!</v>
      </c>
      <c r="IP131" t="e">
        <f>AND(Liste!#REF!,"AAAAAHd+6vk=")</f>
        <v>#REF!</v>
      </c>
      <c r="IQ131" t="e">
        <f>AND(Liste!#REF!,"AAAAAHd+6vo=")</f>
        <v>#REF!</v>
      </c>
      <c r="IR131" t="e">
        <f>AND(Liste!#REF!,"AAAAAHd+6vs=")</f>
        <v>#REF!</v>
      </c>
      <c r="IS131" t="e">
        <f>AND(Liste!#REF!,"AAAAAHd+6vw=")</f>
        <v>#REF!</v>
      </c>
      <c r="IT131" t="e">
        <f>AND(Liste!#REF!,"AAAAAHd+6v0=")</f>
        <v>#REF!</v>
      </c>
      <c r="IU131" t="e">
        <f>AND(Liste!#REF!,"AAAAAHd+6v4=")</f>
        <v>#REF!</v>
      </c>
      <c r="IV131" t="e">
        <f>AND(Liste!#REF!,"AAAAAHd+6v8=")</f>
        <v>#REF!</v>
      </c>
    </row>
    <row r="132" spans="1:256" x14ac:dyDescent="0.2">
      <c r="A132" t="e">
        <f>AND(Liste!#REF!,"AAAAAHa0mQA=")</f>
        <v>#REF!</v>
      </c>
      <c r="B132" t="e">
        <f>AND(Liste!#REF!,"AAAAAHa0mQE=")</f>
        <v>#REF!</v>
      </c>
      <c r="C132" t="e">
        <f>AND(Liste!#REF!,"AAAAAHa0mQI=")</f>
        <v>#REF!</v>
      </c>
      <c r="D132" t="e">
        <f>AND(Liste!#REF!,"AAAAAHa0mQM=")</f>
        <v>#REF!</v>
      </c>
      <c r="E132" t="e">
        <f>AND(Liste!#REF!,"AAAAAHa0mQQ=")</f>
        <v>#REF!</v>
      </c>
      <c r="F132" t="e">
        <f>AND(Liste!#REF!,"AAAAAHa0mQU=")</f>
        <v>#REF!</v>
      </c>
      <c r="G132" t="e">
        <f>IF(Liste!#REF!,"AAAAAHa0mQY=",0)</f>
        <v>#REF!</v>
      </c>
      <c r="H132" t="e">
        <f>AND(Liste!#REF!,"AAAAAHa0mQc=")</f>
        <v>#REF!</v>
      </c>
      <c r="I132" t="e">
        <f>AND(Liste!#REF!,"AAAAAHa0mQg=")</f>
        <v>#REF!</v>
      </c>
      <c r="J132" t="e">
        <f>AND(Liste!#REF!,"AAAAAHa0mQk=")</f>
        <v>#REF!</v>
      </c>
      <c r="K132" t="e">
        <f>AND(Liste!#REF!,"AAAAAHa0mQo=")</f>
        <v>#REF!</v>
      </c>
      <c r="L132" t="e">
        <f>AND(Liste!#REF!,"AAAAAHa0mQs=")</f>
        <v>#REF!</v>
      </c>
      <c r="M132" t="e">
        <f>AND(Liste!#REF!,"AAAAAHa0mQw=")</f>
        <v>#REF!</v>
      </c>
      <c r="N132" t="e">
        <f>AND(Liste!#REF!,"AAAAAHa0mQ0=")</f>
        <v>#REF!</v>
      </c>
      <c r="O132" t="e">
        <f>AND(Liste!#REF!,"AAAAAHa0mQ4=")</f>
        <v>#REF!</v>
      </c>
      <c r="P132" t="e">
        <f>AND(Liste!#REF!,"AAAAAHa0mQ8=")</f>
        <v>#REF!</v>
      </c>
      <c r="Q132" t="e">
        <f>AND(Liste!#REF!,"AAAAAHa0mRA=")</f>
        <v>#REF!</v>
      </c>
      <c r="R132" t="e">
        <f>AND(Liste!#REF!,"AAAAAHa0mRE=")</f>
        <v>#REF!</v>
      </c>
      <c r="S132" t="e">
        <f>AND(Liste!#REF!,"AAAAAHa0mRI=")</f>
        <v>#REF!</v>
      </c>
      <c r="T132" t="e">
        <f>AND(Liste!#REF!,"AAAAAHa0mRM=")</f>
        <v>#REF!</v>
      </c>
      <c r="U132" t="e">
        <f>AND(Liste!#REF!,"AAAAAHa0mRQ=")</f>
        <v>#REF!</v>
      </c>
      <c r="V132" t="e">
        <f>AND(Liste!#REF!,"AAAAAHa0mRU=")</f>
        <v>#REF!</v>
      </c>
      <c r="W132" t="e">
        <f>AND(Liste!#REF!,"AAAAAHa0mRY=")</f>
        <v>#REF!</v>
      </c>
      <c r="X132" t="e">
        <f>AND(Liste!#REF!,"AAAAAHa0mRc=")</f>
        <v>#REF!</v>
      </c>
      <c r="Y132" t="e">
        <f>AND(Liste!#REF!,"AAAAAHa0mRg=")</f>
        <v>#REF!</v>
      </c>
      <c r="Z132" t="e">
        <f>AND(Liste!#REF!,"AAAAAHa0mRk=")</f>
        <v>#REF!</v>
      </c>
      <c r="AA132" t="e">
        <f>AND(Liste!#REF!,"AAAAAHa0mRo=")</f>
        <v>#REF!</v>
      </c>
      <c r="AB132" t="e">
        <f>AND(Liste!#REF!,"AAAAAHa0mRs=")</f>
        <v>#REF!</v>
      </c>
      <c r="AC132" t="e">
        <f>AND(Liste!#REF!,"AAAAAHa0mRw=")</f>
        <v>#REF!</v>
      </c>
      <c r="AD132" t="e">
        <f>AND(Liste!#REF!,"AAAAAHa0mR0=")</f>
        <v>#REF!</v>
      </c>
      <c r="AE132" t="e">
        <f>AND(Liste!#REF!,"AAAAAHa0mR4=")</f>
        <v>#REF!</v>
      </c>
      <c r="AF132" t="e">
        <f>AND(Liste!#REF!,"AAAAAHa0mR8=")</f>
        <v>#REF!</v>
      </c>
      <c r="AG132" t="e">
        <f>AND(Liste!#REF!,"AAAAAHa0mSA=")</f>
        <v>#REF!</v>
      </c>
      <c r="AH132" t="e">
        <f>AND(Liste!#REF!,"AAAAAHa0mSE=")</f>
        <v>#REF!</v>
      </c>
      <c r="AI132" t="e">
        <f>AND(Liste!#REF!,"AAAAAHa0mSI=")</f>
        <v>#REF!</v>
      </c>
      <c r="AJ132" t="e">
        <f>AND(Liste!#REF!,"AAAAAHa0mSM=")</f>
        <v>#REF!</v>
      </c>
      <c r="AK132" t="e">
        <f>AND(Liste!#REF!,"AAAAAHa0mSQ=")</f>
        <v>#REF!</v>
      </c>
      <c r="AL132" t="e">
        <f>IF(Liste!#REF!,"AAAAAHa0mSU=",0)</f>
        <v>#REF!</v>
      </c>
      <c r="AM132" t="e">
        <f>AND(Liste!#REF!,"AAAAAHa0mSY=")</f>
        <v>#REF!</v>
      </c>
      <c r="AN132" t="e">
        <f>AND(Liste!#REF!,"AAAAAHa0mSc=")</f>
        <v>#REF!</v>
      </c>
      <c r="AO132" t="e">
        <f>AND(Liste!#REF!,"AAAAAHa0mSg=")</f>
        <v>#REF!</v>
      </c>
      <c r="AP132" t="e">
        <f>AND(Liste!#REF!,"AAAAAHa0mSk=")</f>
        <v>#REF!</v>
      </c>
      <c r="AQ132" t="e">
        <f>AND(Liste!#REF!,"AAAAAHa0mSo=")</f>
        <v>#REF!</v>
      </c>
      <c r="AR132" t="e">
        <f>AND(Liste!#REF!,"AAAAAHa0mSs=")</f>
        <v>#REF!</v>
      </c>
      <c r="AS132" t="e">
        <f>AND(Liste!#REF!,"AAAAAHa0mSw=")</f>
        <v>#REF!</v>
      </c>
      <c r="AT132" t="e">
        <f>AND(Liste!#REF!,"AAAAAHa0mS0=")</f>
        <v>#REF!</v>
      </c>
      <c r="AU132" t="e">
        <f>AND(Liste!#REF!,"AAAAAHa0mS4=")</f>
        <v>#REF!</v>
      </c>
      <c r="AV132" t="e">
        <f>AND(Liste!#REF!,"AAAAAHa0mS8=")</f>
        <v>#REF!</v>
      </c>
      <c r="AW132" t="e">
        <f>AND(Liste!#REF!,"AAAAAHa0mTA=")</f>
        <v>#REF!</v>
      </c>
      <c r="AX132" t="e">
        <f>AND(Liste!#REF!,"AAAAAHa0mTE=")</f>
        <v>#REF!</v>
      </c>
      <c r="AY132" t="e">
        <f>AND(Liste!#REF!,"AAAAAHa0mTI=")</f>
        <v>#REF!</v>
      </c>
      <c r="AZ132" t="e">
        <f>AND(Liste!#REF!,"AAAAAHa0mTM=")</f>
        <v>#REF!</v>
      </c>
      <c r="BA132" t="e">
        <f>AND(Liste!#REF!,"AAAAAHa0mTQ=")</f>
        <v>#REF!</v>
      </c>
      <c r="BB132" t="e">
        <f>AND(Liste!#REF!,"AAAAAHa0mTU=")</f>
        <v>#REF!</v>
      </c>
      <c r="BC132" t="e">
        <f>AND(Liste!#REF!,"AAAAAHa0mTY=")</f>
        <v>#REF!</v>
      </c>
      <c r="BD132" t="e">
        <f>AND(Liste!#REF!,"AAAAAHa0mTc=")</f>
        <v>#REF!</v>
      </c>
      <c r="BE132" t="e">
        <f>AND(Liste!#REF!,"AAAAAHa0mTg=")</f>
        <v>#REF!</v>
      </c>
      <c r="BF132" t="e">
        <f>AND(Liste!#REF!,"AAAAAHa0mTk=")</f>
        <v>#REF!</v>
      </c>
      <c r="BG132" t="e">
        <f>AND(Liste!#REF!,"AAAAAHa0mTo=")</f>
        <v>#REF!</v>
      </c>
      <c r="BH132" t="e">
        <f>AND(Liste!#REF!,"AAAAAHa0mTs=")</f>
        <v>#REF!</v>
      </c>
      <c r="BI132" t="e">
        <f>AND(Liste!#REF!,"AAAAAHa0mTw=")</f>
        <v>#REF!</v>
      </c>
      <c r="BJ132" t="e">
        <f>AND(Liste!#REF!,"AAAAAHa0mT0=")</f>
        <v>#REF!</v>
      </c>
      <c r="BK132" t="e">
        <f>AND(Liste!#REF!,"AAAAAHa0mT4=")</f>
        <v>#REF!</v>
      </c>
      <c r="BL132" t="e">
        <f>AND(Liste!#REF!,"AAAAAHa0mT8=")</f>
        <v>#REF!</v>
      </c>
      <c r="BM132" t="e">
        <f>AND(Liste!#REF!,"AAAAAHa0mUA=")</f>
        <v>#REF!</v>
      </c>
      <c r="BN132" t="e">
        <f>AND(Liste!#REF!,"AAAAAHa0mUE=")</f>
        <v>#REF!</v>
      </c>
      <c r="BO132" t="e">
        <f>AND(Liste!#REF!,"AAAAAHa0mUI=")</f>
        <v>#REF!</v>
      </c>
      <c r="BP132" t="e">
        <f>AND(Liste!#REF!,"AAAAAHa0mUM=")</f>
        <v>#REF!</v>
      </c>
      <c r="BQ132" t="e">
        <f>IF(Liste!#REF!,"AAAAAHa0mUQ=",0)</f>
        <v>#REF!</v>
      </c>
      <c r="BR132" t="e">
        <f>AND(Liste!#REF!,"AAAAAHa0mUU=")</f>
        <v>#REF!</v>
      </c>
      <c r="BS132" t="e">
        <f>AND(Liste!#REF!,"AAAAAHa0mUY=")</f>
        <v>#REF!</v>
      </c>
      <c r="BT132" t="e">
        <f>AND(Liste!#REF!,"AAAAAHa0mUc=")</f>
        <v>#REF!</v>
      </c>
      <c r="BU132" t="e">
        <f>AND(Liste!#REF!,"AAAAAHa0mUg=")</f>
        <v>#REF!</v>
      </c>
      <c r="BV132" t="e">
        <f>AND(Liste!#REF!,"AAAAAHa0mUk=")</f>
        <v>#REF!</v>
      </c>
      <c r="BW132" t="e">
        <f>AND(Liste!#REF!,"AAAAAHa0mUo=")</f>
        <v>#REF!</v>
      </c>
      <c r="BX132" t="e">
        <f>AND(Liste!#REF!,"AAAAAHa0mUs=")</f>
        <v>#REF!</v>
      </c>
      <c r="BY132" t="e">
        <f>AND(Liste!#REF!,"AAAAAHa0mUw=")</f>
        <v>#REF!</v>
      </c>
      <c r="BZ132" t="e">
        <f>AND(Liste!#REF!,"AAAAAHa0mU0=")</f>
        <v>#REF!</v>
      </c>
      <c r="CA132" t="e">
        <f>AND(Liste!#REF!,"AAAAAHa0mU4=")</f>
        <v>#REF!</v>
      </c>
      <c r="CB132" t="e">
        <f>AND(Liste!#REF!,"AAAAAHa0mU8=")</f>
        <v>#REF!</v>
      </c>
      <c r="CC132" t="e">
        <f>AND(Liste!#REF!,"AAAAAHa0mVA=")</f>
        <v>#REF!</v>
      </c>
      <c r="CD132" t="e">
        <f>AND(Liste!#REF!,"AAAAAHa0mVE=")</f>
        <v>#REF!</v>
      </c>
      <c r="CE132" t="e">
        <f>AND(Liste!#REF!,"AAAAAHa0mVI=")</f>
        <v>#REF!</v>
      </c>
      <c r="CF132" t="e">
        <f>AND(Liste!#REF!,"AAAAAHa0mVM=")</f>
        <v>#REF!</v>
      </c>
      <c r="CG132" t="e">
        <f>AND(Liste!#REF!,"AAAAAHa0mVQ=")</f>
        <v>#REF!</v>
      </c>
      <c r="CH132" t="e">
        <f>AND(Liste!#REF!,"AAAAAHa0mVU=")</f>
        <v>#REF!</v>
      </c>
      <c r="CI132" t="e">
        <f>AND(Liste!#REF!,"AAAAAHa0mVY=")</f>
        <v>#REF!</v>
      </c>
      <c r="CJ132" t="e">
        <f>AND(Liste!#REF!,"AAAAAHa0mVc=")</f>
        <v>#REF!</v>
      </c>
      <c r="CK132" t="e">
        <f>AND(Liste!#REF!,"AAAAAHa0mVg=")</f>
        <v>#REF!</v>
      </c>
      <c r="CL132" t="e">
        <f>AND(Liste!#REF!,"AAAAAHa0mVk=")</f>
        <v>#REF!</v>
      </c>
      <c r="CM132" t="e">
        <f>AND(Liste!#REF!,"AAAAAHa0mVo=")</f>
        <v>#REF!</v>
      </c>
      <c r="CN132" t="e">
        <f>AND(Liste!#REF!,"AAAAAHa0mVs=")</f>
        <v>#REF!</v>
      </c>
      <c r="CO132" t="e">
        <f>AND(Liste!#REF!,"AAAAAHa0mVw=")</f>
        <v>#REF!</v>
      </c>
      <c r="CP132" t="e">
        <f>AND(Liste!#REF!,"AAAAAHa0mV0=")</f>
        <v>#REF!</v>
      </c>
      <c r="CQ132" t="e">
        <f>AND(Liste!#REF!,"AAAAAHa0mV4=")</f>
        <v>#REF!</v>
      </c>
      <c r="CR132" t="e">
        <f>AND(Liste!#REF!,"AAAAAHa0mV8=")</f>
        <v>#REF!</v>
      </c>
      <c r="CS132" t="e">
        <f>AND(Liste!#REF!,"AAAAAHa0mWA=")</f>
        <v>#REF!</v>
      </c>
      <c r="CT132" t="e">
        <f>AND(Liste!#REF!,"AAAAAHa0mWE=")</f>
        <v>#REF!</v>
      </c>
      <c r="CU132" t="e">
        <f>AND(Liste!#REF!,"AAAAAHa0mWI=")</f>
        <v>#REF!</v>
      </c>
      <c r="CV132" t="e">
        <f>IF(Liste!#REF!,"AAAAAHa0mWM=",0)</f>
        <v>#REF!</v>
      </c>
      <c r="CW132" t="e">
        <f>AND(Liste!#REF!,"AAAAAHa0mWQ=")</f>
        <v>#REF!</v>
      </c>
      <c r="CX132" t="e">
        <f>AND(Liste!#REF!,"AAAAAHa0mWU=")</f>
        <v>#REF!</v>
      </c>
      <c r="CY132" t="e">
        <f>AND(Liste!#REF!,"AAAAAHa0mWY=")</f>
        <v>#REF!</v>
      </c>
      <c r="CZ132" t="e">
        <f>AND(Liste!#REF!,"AAAAAHa0mWc=")</f>
        <v>#REF!</v>
      </c>
      <c r="DA132" t="e">
        <f>AND(Liste!#REF!,"AAAAAHa0mWg=")</f>
        <v>#REF!</v>
      </c>
      <c r="DB132" t="e">
        <f>AND(Liste!#REF!,"AAAAAHa0mWk=")</f>
        <v>#REF!</v>
      </c>
      <c r="DC132" t="e">
        <f>AND(Liste!#REF!,"AAAAAHa0mWo=")</f>
        <v>#REF!</v>
      </c>
      <c r="DD132" t="e">
        <f>AND(Liste!#REF!,"AAAAAHa0mWs=")</f>
        <v>#REF!</v>
      </c>
      <c r="DE132" t="e">
        <f>AND(Liste!#REF!,"AAAAAHa0mWw=")</f>
        <v>#REF!</v>
      </c>
      <c r="DF132" t="e">
        <f>AND(Liste!#REF!,"AAAAAHa0mW0=")</f>
        <v>#REF!</v>
      </c>
      <c r="DG132" t="e">
        <f>AND(Liste!#REF!,"AAAAAHa0mW4=")</f>
        <v>#REF!</v>
      </c>
      <c r="DH132" t="e">
        <f>AND(Liste!#REF!,"AAAAAHa0mW8=")</f>
        <v>#REF!</v>
      </c>
      <c r="DI132" t="e">
        <f>AND(Liste!#REF!,"AAAAAHa0mXA=")</f>
        <v>#REF!</v>
      </c>
      <c r="DJ132" t="e">
        <f>AND(Liste!#REF!,"AAAAAHa0mXE=")</f>
        <v>#REF!</v>
      </c>
      <c r="DK132" t="e">
        <f>AND(Liste!#REF!,"AAAAAHa0mXI=")</f>
        <v>#REF!</v>
      </c>
      <c r="DL132" t="e">
        <f>AND(Liste!#REF!,"AAAAAHa0mXM=")</f>
        <v>#REF!</v>
      </c>
      <c r="DM132" t="e">
        <f>AND(Liste!#REF!,"AAAAAHa0mXQ=")</f>
        <v>#REF!</v>
      </c>
      <c r="DN132" t="e">
        <f>AND(Liste!#REF!,"AAAAAHa0mXU=")</f>
        <v>#REF!</v>
      </c>
      <c r="DO132" t="e">
        <f>AND(Liste!#REF!,"AAAAAHa0mXY=")</f>
        <v>#REF!</v>
      </c>
      <c r="DP132" t="e">
        <f>AND(Liste!#REF!,"AAAAAHa0mXc=")</f>
        <v>#REF!</v>
      </c>
      <c r="DQ132" t="e">
        <f>AND(Liste!#REF!,"AAAAAHa0mXg=")</f>
        <v>#REF!</v>
      </c>
      <c r="DR132" t="e">
        <f>AND(Liste!#REF!,"AAAAAHa0mXk=")</f>
        <v>#REF!</v>
      </c>
      <c r="DS132" t="e">
        <f>AND(Liste!#REF!,"AAAAAHa0mXo=")</f>
        <v>#REF!</v>
      </c>
      <c r="DT132" t="e">
        <f>AND(Liste!#REF!,"AAAAAHa0mXs=")</f>
        <v>#REF!</v>
      </c>
      <c r="DU132" t="e">
        <f>AND(Liste!#REF!,"AAAAAHa0mXw=")</f>
        <v>#REF!</v>
      </c>
      <c r="DV132" t="e">
        <f>AND(Liste!#REF!,"AAAAAHa0mX0=")</f>
        <v>#REF!</v>
      </c>
      <c r="DW132" t="e">
        <f>AND(Liste!#REF!,"AAAAAHa0mX4=")</f>
        <v>#REF!</v>
      </c>
      <c r="DX132" t="e">
        <f>AND(Liste!#REF!,"AAAAAHa0mX8=")</f>
        <v>#REF!</v>
      </c>
      <c r="DY132" t="e">
        <f>AND(Liste!#REF!,"AAAAAHa0mYA=")</f>
        <v>#REF!</v>
      </c>
      <c r="DZ132" t="e">
        <f>AND(Liste!#REF!,"AAAAAHa0mYE=")</f>
        <v>#REF!</v>
      </c>
      <c r="EA132" t="e">
        <f>IF(Liste!#REF!,"AAAAAHa0mYI=",0)</f>
        <v>#REF!</v>
      </c>
      <c r="EB132" t="e">
        <f>AND(Liste!#REF!,"AAAAAHa0mYM=")</f>
        <v>#REF!</v>
      </c>
      <c r="EC132" t="e">
        <f>AND(Liste!#REF!,"AAAAAHa0mYQ=")</f>
        <v>#REF!</v>
      </c>
      <c r="ED132" t="e">
        <f>AND(Liste!#REF!,"AAAAAHa0mYU=")</f>
        <v>#REF!</v>
      </c>
      <c r="EE132" t="e">
        <f>AND(Liste!#REF!,"AAAAAHa0mYY=")</f>
        <v>#REF!</v>
      </c>
      <c r="EF132" t="e">
        <f>AND(Liste!#REF!,"AAAAAHa0mYc=")</f>
        <v>#REF!</v>
      </c>
      <c r="EG132" t="e">
        <f>AND(Liste!#REF!,"AAAAAHa0mYg=")</f>
        <v>#REF!</v>
      </c>
      <c r="EH132" t="e">
        <f>AND(Liste!#REF!,"AAAAAHa0mYk=")</f>
        <v>#REF!</v>
      </c>
      <c r="EI132" t="e">
        <f>AND(Liste!#REF!,"AAAAAHa0mYo=")</f>
        <v>#REF!</v>
      </c>
      <c r="EJ132" t="e">
        <f>AND(Liste!#REF!,"AAAAAHa0mYs=")</f>
        <v>#REF!</v>
      </c>
      <c r="EK132" t="e">
        <f>AND(Liste!#REF!,"AAAAAHa0mYw=")</f>
        <v>#REF!</v>
      </c>
      <c r="EL132" t="e">
        <f>AND(Liste!#REF!,"AAAAAHa0mY0=")</f>
        <v>#REF!</v>
      </c>
      <c r="EM132" t="e">
        <f>AND(Liste!#REF!,"AAAAAHa0mY4=")</f>
        <v>#REF!</v>
      </c>
      <c r="EN132" t="e">
        <f>AND(Liste!#REF!,"AAAAAHa0mY8=")</f>
        <v>#REF!</v>
      </c>
      <c r="EO132" t="e">
        <f>AND(Liste!#REF!,"AAAAAHa0mZA=")</f>
        <v>#REF!</v>
      </c>
      <c r="EP132" t="e">
        <f>AND(Liste!#REF!,"AAAAAHa0mZE=")</f>
        <v>#REF!</v>
      </c>
      <c r="EQ132" t="e">
        <f>AND(Liste!#REF!,"AAAAAHa0mZI=")</f>
        <v>#REF!</v>
      </c>
      <c r="ER132" t="e">
        <f>AND(Liste!#REF!,"AAAAAHa0mZM=")</f>
        <v>#REF!</v>
      </c>
      <c r="ES132" t="e">
        <f>AND(Liste!#REF!,"AAAAAHa0mZQ=")</f>
        <v>#REF!</v>
      </c>
      <c r="ET132" t="e">
        <f>AND(Liste!#REF!,"AAAAAHa0mZU=")</f>
        <v>#REF!</v>
      </c>
      <c r="EU132" t="e">
        <f>AND(Liste!#REF!,"AAAAAHa0mZY=")</f>
        <v>#REF!</v>
      </c>
      <c r="EV132" t="e">
        <f>AND(Liste!#REF!,"AAAAAHa0mZc=")</f>
        <v>#REF!</v>
      </c>
      <c r="EW132" t="e">
        <f>AND(Liste!#REF!,"AAAAAHa0mZg=")</f>
        <v>#REF!</v>
      </c>
      <c r="EX132" t="e">
        <f>AND(Liste!#REF!,"AAAAAHa0mZk=")</f>
        <v>#REF!</v>
      </c>
      <c r="EY132" t="e">
        <f>AND(Liste!#REF!,"AAAAAHa0mZo=")</f>
        <v>#REF!</v>
      </c>
      <c r="EZ132" t="e">
        <f>AND(Liste!#REF!,"AAAAAHa0mZs=")</f>
        <v>#REF!</v>
      </c>
      <c r="FA132" t="e">
        <f>AND(Liste!#REF!,"AAAAAHa0mZw=")</f>
        <v>#REF!</v>
      </c>
      <c r="FB132" t="e">
        <f>AND(Liste!#REF!,"AAAAAHa0mZ0=")</f>
        <v>#REF!</v>
      </c>
      <c r="FC132" t="e">
        <f>AND(Liste!#REF!,"AAAAAHa0mZ4=")</f>
        <v>#REF!</v>
      </c>
      <c r="FD132" t="e">
        <f>AND(Liste!#REF!,"AAAAAHa0mZ8=")</f>
        <v>#REF!</v>
      </c>
      <c r="FE132" t="e">
        <f>AND(Liste!#REF!,"AAAAAHa0maA=")</f>
        <v>#REF!</v>
      </c>
      <c r="FF132" t="e">
        <f>IF(Liste!#REF!,"AAAAAHa0maE=",0)</f>
        <v>#REF!</v>
      </c>
      <c r="FG132" t="e">
        <f>AND(Liste!#REF!,"AAAAAHa0maI=")</f>
        <v>#REF!</v>
      </c>
      <c r="FH132" t="e">
        <f>AND(Liste!#REF!,"AAAAAHa0maM=")</f>
        <v>#REF!</v>
      </c>
      <c r="FI132" t="e">
        <f>AND(Liste!#REF!,"AAAAAHa0maQ=")</f>
        <v>#REF!</v>
      </c>
      <c r="FJ132" t="e">
        <f>AND(Liste!#REF!,"AAAAAHa0maU=")</f>
        <v>#REF!</v>
      </c>
      <c r="FK132" t="e">
        <f>AND(Liste!#REF!,"AAAAAHa0maY=")</f>
        <v>#REF!</v>
      </c>
      <c r="FL132" t="e">
        <f>AND(Liste!#REF!,"AAAAAHa0mac=")</f>
        <v>#REF!</v>
      </c>
      <c r="FM132" t="e">
        <f>AND(Liste!#REF!,"AAAAAHa0mag=")</f>
        <v>#REF!</v>
      </c>
      <c r="FN132" t="e">
        <f>AND(Liste!#REF!,"AAAAAHa0mak=")</f>
        <v>#REF!</v>
      </c>
      <c r="FO132" t="e">
        <f>AND(Liste!#REF!,"AAAAAHa0mao=")</f>
        <v>#REF!</v>
      </c>
      <c r="FP132" t="e">
        <f>AND(Liste!#REF!,"AAAAAHa0mas=")</f>
        <v>#REF!</v>
      </c>
      <c r="FQ132" t="e">
        <f>AND(Liste!#REF!,"AAAAAHa0maw=")</f>
        <v>#REF!</v>
      </c>
      <c r="FR132" t="e">
        <f>AND(Liste!#REF!,"AAAAAHa0ma0=")</f>
        <v>#REF!</v>
      </c>
      <c r="FS132" t="e">
        <f>AND(Liste!#REF!,"AAAAAHa0ma4=")</f>
        <v>#REF!</v>
      </c>
      <c r="FT132" t="e">
        <f>AND(Liste!#REF!,"AAAAAHa0ma8=")</f>
        <v>#REF!</v>
      </c>
      <c r="FU132" t="e">
        <f>AND(Liste!#REF!,"AAAAAHa0mbA=")</f>
        <v>#REF!</v>
      </c>
      <c r="FV132" t="e">
        <f>AND(Liste!#REF!,"AAAAAHa0mbE=")</f>
        <v>#REF!</v>
      </c>
      <c r="FW132" t="e">
        <f>AND(Liste!#REF!,"AAAAAHa0mbI=")</f>
        <v>#REF!</v>
      </c>
      <c r="FX132" t="e">
        <f>AND(Liste!#REF!,"AAAAAHa0mbM=")</f>
        <v>#REF!</v>
      </c>
      <c r="FY132" t="e">
        <f>AND(Liste!#REF!,"AAAAAHa0mbQ=")</f>
        <v>#REF!</v>
      </c>
      <c r="FZ132" t="e">
        <f>AND(Liste!#REF!,"AAAAAHa0mbU=")</f>
        <v>#REF!</v>
      </c>
      <c r="GA132" t="e">
        <f>AND(Liste!#REF!,"AAAAAHa0mbY=")</f>
        <v>#REF!</v>
      </c>
      <c r="GB132" t="e">
        <f>AND(Liste!#REF!,"AAAAAHa0mbc=")</f>
        <v>#REF!</v>
      </c>
      <c r="GC132" t="e">
        <f>AND(Liste!#REF!,"AAAAAHa0mbg=")</f>
        <v>#REF!</v>
      </c>
      <c r="GD132" t="e">
        <f>AND(Liste!#REF!,"AAAAAHa0mbk=")</f>
        <v>#REF!</v>
      </c>
      <c r="GE132" t="e">
        <f>AND(Liste!#REF!,"AAAAAHa0mbo=")</f>
        <v>#REF!</v>
      </c>
      <c r="GF132" t="e">
        <f>AND(Liste!#REF!,"AAAAAHa0mbs=")</f>
        <v>#REF!</v>
      </c>
      <c r="GG132" t="e">
        <f>AND(Liste!#REF!,"AAAAAHa0mbw=")</f>
        <v>#REF!</v>
      </c>
      <c r="GH132" t="e">
        <f>AND(Liste!#REF!,"AAAAAHa0mb0=")</f>
        <v>#REF!</v>
      </c>
      <c r="GI132" t="e">
        <f>AND(Liste!#REF!,"AAAAAHa0mb4=")</f>
        <v>#REF!</v>
      </c>
      <c r="GJ132" t="e">
        <f>AND(Liste!#REF!,"AAAAAHa0mb8=")</f>
        <v>#REF!</v>
      </c>
      <c r="GK132" t="e">
        <f>IF(Liste!#REF!,"AAAAAHa0mcA=",0)</f>
        <v>#REF!</v>
      </c>
      <c r="GL132" t="e">
        <f>AND(Liste!#REF!,"AAAAAHa0mcE=")</f>
        <v>#REF!</v>
      </c>
      <c r="GM132" t="e">
        <f>AND(Liste!#REF!,"AAAAAHa0mcI=")</f>
        <v>#REF!</v>
      </c>
      <c r="GN132" t="e">
        <f>AND(Liste!#REF!,"AAAAAHa0mcM=")</f>
        <v>#REF!</v>
      </c>
      <c r="GO132" t="e">
        <f>AND(Liste!#REF!,"AAAAAHa0mcQ=")</f>
        <v>#REF!</v>
      </c>
      <c r="GP132" t="e">
        <f>AND(Liste!#REF!,"AAAAAHa0mcU=")</f>
        <v>#REF!</v>
      </c>
      <c r="GQ132" t="e">
        <f>AND(Liste!#REF!,"AAAAAHa0mcY=")</f>
        <v>#REF!</v>
      </c>
      <c r="GR132" t="e">
        <f>AND(Liste!#REF!,"AAAAAHa0mcc=")</f>
        <v>#REF!</v>
      </c>
      <c r="GS132" t="e">
        <f>AND(Liste!#REF!,"AAAAAHa0mcg=")</f>
        <v>#REF!</v>
      </c>
      <c r="GT132" t="e">
        <f>AND(Liste!#REF!,"AAAAAHa0mck=")</f>
        <v>#REF!</v>
      </c>
      <c r="GU132" t="e">
        <f>AND(Liste!#REF!,"AAAAAHa0mco=")</f>
        <v>#REF!</v>
      </c>
      <c r="GV132" t="e">
        <f>AND(Liste!#REF!,"AAAAAHa0mcs=")</f>
        <v>#REF!</v>
      </c>
      <c r="GW132" t="e">
        <f>AND(Liste!#REF!,"AAAAAHa0mcw=")</f>
        <v>#REF!</v>
      </c>
      <c r="GX132" t="e">
        <f>AND(Liste!#REF!,"AAAAAHa0mc0=")</f>
        <v>#REF!</v>
      </c>
      <c r="GY132" t="e">
        <f>AND(Liste!#REF!,"AAAAAHa0mc4=")</f>
        <v>#REF!</v>
      </c>
      <c r="GZ132" t="e">
        <f>AND(Liste!#REF!,"AAAAAHa0mc8=")</f>
        <v>#REF!</v>
      </c>
      <c r="HA132" t="e">
        <f>AND(Liste!#REF!,"AAAAAHa0mdA=")</f>
        <v>#REF!</v>
      </c>
      <c r="HB132" t="e">
        <f>AND(Liste!#REF!,"AAAAAHa0mdE=")</f>
        <v>#REF!</v>
      </c>
      <c r="HC132" t="e">
        <f>AND(Liste!#REF!,"AAAAAHa0mdI=")</f>
        <v>#REF!</v>
      </c>
      <c r="HD132" t="e">
        <f>AND(Liste!#REF!,"AAAAAHa0mdM=")</f>
        <v>#REF!</v>
      </c>
      <c r="HE132" t="e">
        <f>AND(Liste!#REF!,"AAAAAHa0mdQ=")</f>
        <v>#REF!</v>
      </c>
      <c r="HF132" t="e">
        <f>AND(Liste!#REF!,"AAAAAHa0mdU=")</f>
        <v>#REF!</v>
      </c>
      <c r="HG132" t="e">
        <f>AND(Liste!#REF!,"AAAAAHa0mdY=")</f>
        <v>#REF!</v>
      </c>
      <c r="HH132" t="e">
        <f>AND(Liste!#REF!,"AAAAAHa0mdc=")</f>
        <v>#REF!</v>
      </c>
      <c r="HI132" t="e">
        <f>AND(Liste!#REF!,"AAAAAHa0mdg=")</f>
        <v>#REF!</v>
      </c>
      <c r="HJ132" t="e">
        <f>AND(Liste!#REF!,"AAAAAHa0mdk=")</f>
        <v>#REF!</v>
      </c>
      <c r="HK132" t="e">
        <f>AND(Liste!#REF!,"AAAAAHa0mdo=")</f>
        <v>#REF!</v>
      </c>
      <c r="HL132" t="e">
        <f>AND(Liste!#REF!,"AAAAAHa0mds=")</f>
        <v>#REF!</v>
      </c>
      <c r="HM132" t="e">
        <f>AND(Liste!#REF!,"AAAAAHa0mdw=")</f>
        <v>#REF!</v>
      </c>
      <c r="HN132" t="e">
        <f>AND(Liste!#REF!,"AAAAAHa0md0=")</f>
        <v>#REF!</v>
      </c>
      <c r="HO132" t="e">
        <f>AND(Liste!#REF!,"AAAAAHa0md4=")</f>
        <v>#REF!</v>
      </c>
      <c r="HP132" t="e">
        <f>IF(Liste!#REF!,"AAAAAHa0md8=",0)</f>
        <v>#REF!</v>
      </c>
      <c r="HQ132" t="e">
        <f>AND(Liste!#REF!,"AAAAAHa0meA=")</f>
        <v>#REF!</v>
      </c>
      <c r="HR132" t="e">
        <f>AND(Liste!#REF!,"AAAAAHa0meE=")</f>
        <v>#REF!</v>
      </c>
      <c r="HS132" t="e">
        <f>AND(Liste!#REF!,"AAAAAHa0meI=")</f>
        <v>#REF!</v>
      </c>
      <c r="HT132" t="e">
        <f>AND(Liste!#REF!,"AAAAAHa0meM=")</f>
        <v>#REF!</v>
      </c>
      <c r="HU132" t="e">
        <f>AND(Liste!#REF!,"AAAAAHa0meQ=")</f>
        <v>#REF!</v>
      </c>
      <c r="HV132" t="e">
        <f>AND(Liste!#REF!,"AAAAAHa0meU=")</f>
        <v>#REF!</v>
      </c>
      <c r="HW132" t="e">
        <f>AND(Liste!#REF!,"AAAAAHa0meY=")</f>
        <v>#REF!</v>
      </c>
      <c r="HX132" t="e">
        <f>AND(Liste!#REF!,"AAAAAHa0mec=")</f>
        <v>#REF!</v>
      </c>
      <c r="HY132" t="e">
        <f>AND(Liste!#REF!,"AAAAAHa0meg=")</f>
        <v>#REF!</v>
      </c>
      <c r="HZ132" t="e">
        <f>AND(Liste!#REF!,"AAAAAHa0mek=")</f>
        <v>#REF!</v>
      </c>
      <c r="IA132" t="e">
        <f>AND(Liste!#REF!,"AAAAAHa0meo=")</f>
        <v>#REF!</v>
      </c>
      <c r="IB132" t="e">
        <f>AND(Liste!#REF!,"AAAAAHa0mes=")</f>
        <v>#REF!</v>
      </c>
      <c r="IC132" t="e">
        <f>AND(Liste!#REF!,"AAAAAHa0mew=")</f>
        <v>#REF!</v>
      </c>
      <c r="ID132" t="e">
        <f>AND(Liste!#REF!,"AAAAAHa0me0=")</f>
        <v>#REF!</v>
      </c>
      <c r="IE132" t="e">
        <f>AND(Liste!#REF!,"AAAAAHa0me4=")</f>
        <v>#REF!</v>
      </c>
      <c r="IF132" t="e">
        <f>AND(Liste!#REF!,"AAAAAHa0me8=")</f>
        <v>#REF!</v>
      </c>
      <c r="IG132" t="e">
        <f>AND(Liste!#REF!,"AAAAAHa0mfA=")</f>
        <v>#REF!</v>
      </c>
      <c r="IH132" t="e">
        <f>AND(Liste!#REF!,"AAAAAHa0mfE=")</f>
        <v>#REF!</v>
      </c>
      <c r="II132" t="e">
        <f>AND(Liste!#REF!,"AAAAAHa0mfI=")</f>
        <v>#REF!</v>
      </c>
      <c r="IJ132" t="e">
        <f>AND(Liste!#REF!,"AAAAAHa0mfM=")</f>
        <v>#REF!</v>
      </c>
      <c r="IK132" t="e">
        <f>AND(Liste!#REF!,"AAAAAHa0mfQ=")</f>
        <v>#REF!</v>
      </c>
      <c r="IL132" t="e">
        <f>AND(Liste!#REF!,"AAAAAHa0mfU=")</f>
        <v>#REF!</v>
      </c>
      <c r="IM132" t="e">
        <f>AND(Liste!#REF!,"AAAAAHa0mfY=")</f>
        <v>#REF!</v>
      </c>
      <c r="IN132" t="e">
        <f>AND(Liste!#REF!,"AAAAAHa0mfc=")</f>
        <v>#REF!</v>
      </c>
      <c r="IO132" t="e">
        <f>AND(Liste!#REF!,"AAAAAHa0mfg=")</f>
        <v>#REF!</v>
      </c>
      <c r="IP132" t="e">
        <f>AND(Liste!#REF!,"AAAAAHa0mfk=")</f>
        <v>#REF!</v>
      </c>
      <c r="IQ132" t="e">
        <f>AND(Liste!#REF!,"AAAAAHa0mfo=")</f>
        <v>#REF!</v>
      </c>
      <c r="IR132" t="e">
        <f>AND(Liste!#REF!,"AAAAAHa0mfs=")</f>
        <v>#REF!</v>
      </c>
      <c r="IS132" t="e">
        <f>AND(Liste!#REF!,"AAAAAHa0mfw=")</f>
        <v>#REF!</v>
      </c>
      <c r="IT132" t="e">
        <f>AND(Liste!#REF!,"AAAAAHa0mf0=")</f>
        <v>#REF!</v>
      </c>
      <c r="IU132" t="e">
        <f>IF(Liste!#REF!,"AAAAAHa0mf4=",0)</f>
        <v>#REF!</v>
      </c>
      <c r="IV132" t="e">
        <f>AND(Liste!#REF!,"AAAAAHa0mf8=")</f>
        <v>#REF!</v>
      </c>
    </row>
    <row r="133" spans="1:256" x14ac:dyDescent="0.2">
      <c r="A133" t="e">
        <f>AND(Liste!#REF!,"AAAAAF/e7QA=")</f>
        <v>#REF!</v>
      </c>
      <c r="B133" t="e">
        <f>AND(Liste!#REF!,"AAAAAF/e7QE=")</f>
        <v>#REF!</v>
      </c>
      <c r="C133" t="e">
        <f>AND(Liste!#REF!,"AAAAAF/e7QI=")</f>
        <v>#REF!</v>
      </c>
      <c r="D133" t="e">
        <f>AND(Liste!#REF!,"AAAAAF/e7QM=")</f>
        <v>#REF!</v>
      </c>
      <c r="E133" t="e">
        <f>AND(Liste!#REF!,"AAAAAF/e7QQ=")</f>
        <v>#REF!</v>
      </c>
      <c r="F133" t="e">
        <f>AND(Liste!#REF!,"AAAAAF/e7QU=")</f>
        <v>#REF!</v>
      </c>
      <c r="G133" t="e">
        <f>AND(Liste!#REF!,"AAAAAF/e7QY=")</f>
        <v>#REF!</v>
      </c>
      <c r="H133" t="e">
        <f>AND(Liste!#REF!,"AAAAAF/e7Qc=")</f>
        <v>#REF!</v>
      </c>
      <c r="I133" t="e">
        <f>AND(Liste!#REF!,"AAAAAF/e7Qg=")</f>
        <v>#REF!</v>
      </c>
      <c r="J133" t="e">
        <f>AND(Liste!#REF!,"AAAAAF/e7Qk=")</f>
        <v>#REF!</v>
      </c>
      <c r="K133" t="e">
        <f>AND(Liste!#REF!,"AAAAAF/e7Qo=")</f>
        <v>#REF!</v>
      </c>
      <c r="L133" t="e">
        <f>AND(Liste!#REF!,"AAAAAF/e7Qs=")</f>
        <v>#REF!</v>
      </c>
      <c r="M133" t="e">
        <f>AND(Liste!#REF!,"AAAAAF/e7Qw=")</f>
        <v>#REF!</v>
      </c>
      <c r="N133" t="e">
        <f>AND(Liste!#REF!,"AAAAAF/e7Q0=")</f>
        <v>#REF!</v>
      </c>
      <c r="O133" t="e">
        <f>AND(Liste!#REF!,"AAAAAF/e7Q4=")</f>
        <v>#REF!</v>
      </c>
      <c r="P133" t="e">
        <f>AND(Liste!#REF!,"AAAAAF/e7Q8=")</f>
        <v>#REF!</v>
      </c>
      <c r="Q133" t="e">
        <f>AND(Liste!#REF!,"AAAAAF/e7RA=")</f>
        <v>#REF!</v>
      </c>
      <c r="R133" t="e">
        <f>AND(Liste!#REF!,"AAAAAF/e7RE=")</f>
        <v>#REF!</v>
      </c>
      <c r="S133" t="e">
        <f>AND(Liste!#REF!,"AAAAAF/e7RI=")</f>
        <v>#REF!</v>
      </c>
      <c r="T133" t="e">
        <f>AND(Liste!#REF!,"AAAAAF/e7RM=")</f>
        <v>#REF!</v>
      </c>
      <c r="U133" t="e">
        <f>AND(Liste!#REF!,"AAAAAF/e7RQ=")</f>
        <v>#REF!</v>
      </c>
      <c r="V133" t="e">
        <f>AND(Liste!#REF!,"AAAAAF/e7RU=")</f>
        <v>#REF!</v>
      </c>
      <c r="W133" t="e">
        <f>AND(Liste!#REF!,"AAAAAF/e7RY=")</f>
        <v>#REF!</v>
      </c>
      <c r="X133" t="e">
        <f>AND(Liste!#REF!,"AAAAAF/e7Rc=")</f>
        <v>#REF!</v>
      </c>
      <c r="Y133" t="e">
        <f>AND(Liste!#REF!,"AAAAAF/e7Rg=")</f>
        <v>#REF!</v>
      </c>
      <c r="Z133" t="e">
        <f>AND(Liste!#REF!,"AAAAAF/e7Rk=")</f>
        <v>#REF!</v>
      </c>
      <c r="AA133" t="e">
        <f>AND(Liste!#REF!,"AAAAAF/e7Ro=")</f>
        <v>#REF!</v>
      </c>
      <c r="AB133" t="e">
        <f>AND(Liste!#REF!,"AAAAAF/e7Rs=")</f>
        <v>#REF!</v>
      </c>
      <c r="AC133" t="e">
        <f>AND(Liste!#REF!,"AAAAAF/e7Rw=")</f>
        <v>#REF!</v>
      </c>
      <c r="AD133" t="e">
        <f>IF(Liste!#REF!,"AAAAAF/e7R0=",0)</f>
        <v>#REF!</v>
      </c>
      <c r="AE133" t="e">
        <f>AND(Liste!#REF!,"AAAAAF/e7R4=")</f>
        <v>#REF!</v>
      </c>
      <c r="AF133" t="e">
        <f>AND(Liste!#REF!,"AAAAAF/e7R8=")</f>
        <v>#REF!</v>
      </c>
      <c r="AG133" t="e">
        <f>AND(Liste!#REF!,"AAAAAF/e7SA=")</f>
        <v>#REF!</v>
      </c>
      <c r="AH133" t="e">
        <f>AND(Liste!#REF!,"AAAAAF/e7SE=")</f>
        <v>#REF!</v>
      </c>
      <c r="AI133" t="e">
        <f>AND(Liste!#REF!,"AAAAAF/e7SI=")</f>
        <v>#REF!</v>
      </c>
      <c r="AJ133" t="e">
        <f>AND(Liste!#REF!,"AAAAAF/e7SM=")</f>
        <v>#REF!</v>
      </c>
      <c r="AK133" t="e">
        <f>AND(Liste!#REF!,"AAAAAF/e7SQ=")</f>
        <v>#REF!</v>
      </c>
      <c r="AL133" t="e">
        <f>AND(Liste!#REF!,"AAAAAF/e7SU=")</f>
        <v>#REF!</v>
      </c>
      <c r="AM133" t="e">
        <f>AND(Liste!#REF!,"AAAAAF/e7SY=")</f>
        <v>#REF!</v>
      </c>
      <c r="AN133" t="e">
        <f>AND(Liste!#REF!,"AAAAAF/e7Sc=")</f>
        <v>#REF!</v>
      </c>
      <c r="AO133" t="e">
        <f>AND(Liste!#REF!,"AAAAAF/e7Sg=")</f>
        <v>#REF!</v>
      </c>
      <c r="AP133" t="e">
        <f>AND(Liste!#REF!,"AAAAAF/e7Sk=")</f>
        <v>#REF!</v>
      </c>
      <c r="AQ133" t="e">
        <f>AND(Liste!#REF!,"AAAAAF/e7So=")</f>
        <v>#REF!</v>
      </c>
      <c r="AR133" t="e">
        <f>AND(Liste!#REF!,"AAAAAF/e7Ss=")</f>
        <v>#REF!</v>
      </c>
      <c r="AS133" t="e">
        <f>AND(Liste!#REF!,"AAAAAF/e7Sw=")</f>
        <v>#REF!</v>
      </c>
      <c r="AT133" t="e">
        <f>AND(Liste!#REF!,"AAAAAF/e7S0=")</f>
        <v>#REF!</v>
      </c>
      <c r="AU133" t="e">
        <f>AND(Liste!#REF!,"AAAAAF/e7S4=")</f>
        <v>#REF!</v>
      </c>
      <c r="AV133" t="e">
        <f>AND(Liste!#REF!,"AAAAAF/e7S8=")</f>
        <v>#REF!</v>
      </c>
      <c r="AW133" t="e">
        <f>AND(Liste!#REF!,"AAAAAF/e7TA=")</f>
        <v>#REF!</v>
      </c>
      <c r="AX133" t="e">
        <f>AND(Liste!#REF!,"AAAAAF/e7TE=")</f>
        <v>#REF!</v>
      </c>
      <c r="AY133" t="e">
        <f>AND(Liste!#REF!,"AAAAAF/e7TI=")</f>
        <v>#REF!</v>
      </c>
      <c r="AZ133" t="e">
        <f>AND(Liste!#REF!,"AAAAAF/e7TM=")</f>
        <v>#REF!</v>
      </c>
      <c r="BA133" t="e">
        <f>AND(Liste!#REF!,"AAAAAF/e7TQ=")</f>
        <v>#REF!</v>
      </c>
      <c r="BB133" t="e">
        <f>AND(Liste!#REF!,"AAAAAF/e7TU=")</f>
        <v>#REF!</v>
      </c>
      <c r="BC133" t="e">
        <f>AND(Liste!#REF!,"AAAAAF/e7TY=")</f>
        <v>#REF!</v>
      </c>
      <c r="BD133" t="e">
        <f>AND(Liste!#REF!,"AAAAAF/e7Tc=")</f>
        <v>#REF!</v>
      </c>
      <c r="BE133" t="e">
        <f>AND(Liste!#REF!,"AAAAAF/e7Tg=")</f>
        <v>#REF!</v>
      </c>
      <c r="BF133" t="e">
        <f>AND(Liste!#REF!,"AAAAAF/e7Tk=")</f>
        <v>#REF!</v>
      </c>
      <c r="BG133" t="e">
        <f>AND(Liste!#REF!,"AAAAAF/e7To=")</f>
        <v>#REF!</v>
      </c>
      <c r="BH133" t="e">
        <f>AND(Liste!#REF!,"AAAAAF/e7Ts=")</f>
        <v>#REF!</v>
      </c>
      <c r="BI133" t="e">
        <f>IF(Liste!#REF!,"AAAAAF/e7Tw=",0)</f>
        <v>#REF!</v>
      </c>
      <c r="BJ133" t="e">
        <f>AND(Liste!#REF!,"AAAAAF/e7T0=")</f>
        <v>#REF!</v>
      </c>
      <c r="BK133" t="e">
        <f>AND(Liste!#REF!,"AAAAAF/e7T4=")</f>
        <v>#REF!</v>
      </c>
      <c r="BL133" t="e">
        <f>AND(Liste!#REF!,"AAAAAF/e7T8=")</f>
        <v>#REF!</v>
      </c>
      <c r="BM133" t="e">
        <f>AND(Liste!#REF!,"AAAAAF/e7UA=")</f>
        <v>#REF!</v>
      </c>
      <c r="BN133" t="e">
        <f>AND(Liste!#REF!,"AAAAAF/e7UE=")</f>
        <v>#REF!</v>
      </c>
      <c r="BO133" t="e">
        <f>AND(Liste!#REF!,"AAAAAF/e7UI=")</f>
        <v>#REF!</v>
      </c>
      <c r="BP133" t="e">
        <f>AND(Liste!#REF!,"AAAAAF/e7UM=")</f>
        <v>#REF!</v>
      </c>
      <c r="BQ133" t="e">
        <f>AND(Liste!#REF!,"AAAAAF/e7UQ=")</f>
        <v>#REF!</v>
      </c>
      <c r="BR133" t="e">
        <f>AND(Liste!#REF!,"AAAAAF/e7UU=")</f>
        <v>#REF!</v>
      </c>
      <c r="BS133" t="e">
        <f>AND(Liste!#REF!,"AAAAAF/e7UY=")</f>
        <v>#REF!</v>
      </c>
      <c r="BT133" t="e">
        <f>AND(Liste!#REF!,"AAAAAF/e7Uc=")</f>
        <v>#REF!</v>
      </c>
      <c r="BU133" t="e">
        <f>AND(Liste!#REF!,"AAAAAF/e7Ug=")</f>
        <v>#REF!</v>
      </c>
      <c r="BV133" t="e">
        <f>AND(Liste!#REF!,"AAAAAF/e7Uk=")</f>
        <v>#REF!</v>
      </c>
      <c r="BW133" t="e">
        <f>AND(Liste!#REF!,"AAAAAF/e7Uo=")</f>
        <v>#REF!</v>
      </c>
      <c r="BX133" t="e">
        <f>AND(Liste!#REF!,"AAAAAF/e7Us=")</f>
        <v>#REF!</v>
      </c>
      <c r="BY133" t="e">
        <f>AND(Liste!#REF!,"AAAAAF/e7Uw=")</f>
        <v>#REF!</v>
      </c>
      <c r="BZ133" t="e">
        <f>AND(Liste!#REF!,"AAAAAF/e7U0=")</f>
        <v>#REF!</v>
      </c>
      <c r="CA133" t="e">
        <f>AND(Liste!#REF!,"AAAAAF/e7U4=")</f>
        <v>#REF!</v>
      </c>
      <c r="CB133" t="e">
        <f>AND(Liste!#REF!,"AAAAAF/e7U8=")</f>
        <v>#REF!</v>
      </c>
      <c r="CC133" t="e">
        <f>AND(Liste!#REF!,"AAAAAF/e7VA=")</f>
        <v>#REF!</v>
      </c>
      <c r="CD133" t="e">
        <f>AND(Liste!#REF!,"AAAAAF/e7VE=")</f>
        <v>#REF!</v>
      </c>
      <c r="CE133" t="e">
        <f>AND(Liste!#REF!,"AAAAAF/e7VI=")</f>
        <v>#REF!</v>
      </c>
      <c r="CF133" t="e">
        <f>AND(Liste!#REF!,"AAAAAF/e7VM=")</f>
        <v>#REF!</v>
      </c>
      <c r="CG133" t="e">
        <f>AND(Liste!#REF!,"AAAAAF/e7VQ=")</f>
        <v>#REF!</v>
      </c>
      <c r="CH133" t="e">
        <f>AND(Liste!#REF!,"AAAAAF/e7VU=")</f>
        <v>#REF!</v>
      </c>
      <c r="CI133" t="e">
        <f>AND(Liste!#REF!,"AAAAAF/e7VY=")</f>
        <v>#REF!</v>
      </c>
      <c r="CJ133" t="e">
        <f>AND(Liste!#REF!,"AAAAAF/e7Vc=")</f>
        <v>#REF!</v>
      </c>
      <c r="CK133" t="e">
        <f>AND(Liste!#REF!,"AAAAAF/e7Vg=")</f>
        <v>#REF!</v>
      </c>
      <c r="CL133" t="e">
        <f>AND(Liste!#REF!,"AAAAAF/e7Vk=")</f>
        <v>#REF!</v>
      </c>
      <c r="CM133" t="e">
        <f>AND(Liste!#REF!,"AAAAAF/e7Vo=")</f>
        <v>#REF!</v>
      </c>
      <c r="CN133" t="e">
        <f>IF(Liste!#REF!,"AAAAAF/e7Vs=",0)</f>
        <v>#REF!</v>
      </c>
      <c r="CO133" t="e">
        <f>AND(Liste!#REF!,"AAAAAF/e7Vw=")</f>
        <v>#REF!</v>
      </c>
      <c r="CP133" t="e">
        <f>AND(Liste!#REF!,"AAAAAF/e7V0=")</f>
        <v>#REF!</v>
      </c>
      <c r="CQ133" t="e">
        <f>AND(Liste!#REF!,"AAAAAF/e7V4=")</f>
        <v>#REF!</v>
      </c>
      <c r="CR133" t="e">
        <f>AND(Liste!#REF!,"AAAAAF/e7V8=")</f>
        <v>#REF!</v>
      </c>
      <c r="CS133" t="e">
        <f>AND(Liste!#REF!,"AAAAAF/e7WA=")</f>
        <v>#REF!</v>
      </c>
      <c r="CT133" t="e">
        <f>AND(Liste!#REF!,"AAAAAF/e7WE=")</f>
        <v>#REF!</v>
      </c>
      <c r="CU133" t="e">
        <f>AND(Liste!#REF!,"AAAAAF/e7WI=")</f>
        <v>#REF!</v>
      </c>
      <c r="CV133" t="e">
        <f>AND(Liste!#REF!,"AAAAAF/e7WM=")</f>
        <v>#REF!</v>
      </c>
      <c r="CW133" t="e">
        <f>AND(Liste!#REF!,"AAAAAF/e7WQ=")</f>
        <v>#REF!</v>
      </c>
      <c r="CX133" t="e">
        <f>AND(Liste!#REF!,"AAAAAF/e7WU=")</f>
        <v>#REF!</v>
      </c>
      <c r="CY133" t="e">
        <f>AND(Liste!#REF!,"AAAAAF/e7WY=")</f>
        <v>#REF!</v>
      </c>
      <c r="CZ133" t="e">
        <f>AND(Liste!#REF!,"AAAAAF/e7Wc=")</f>
        <v>#REF!</v>
      </c>
      <c r="DA133" t="e">
        <f>AND(Liste!#REF!,"AAAAAF/e7Wg=")</f>
        <v>#REF!</v>
      </c>
      <c r="DB133" t="e">
        <f>AND(Liste!#REF!,"AAAAAF/e7Wk=")</f>
        <v>#REF!</v>
      </c>
      <c r="DC133" t="e">
        <f>AND(Liste!#REF!,"AAAAAF/e7Wo=")</f>
        <v>#REF!</v>
      </c>
      <c r="DD133" t="e">
        <f>AND(Liste!#REF!,"AAAAAF/e7Ws=")</f>
        <v>#REF!</v>
      </c>
      <c r="DE133" t="e">
        <f>AND(Liste!#REF!,"AAAAAF/e7Ww=")</f>
        <v>#REF!</v>
      </c>
      <c r="DF133" t="e">
        <f>AND(Liste!#REF!,"AAAAAF/e7W0=")</f>
        <v>#REF!</v>
      </c>
      <c r="DG133" t="e">
        <f>AND(Liste!#REF!,"AAAAAF/e7W4=")</f>
        <v>#REF!</v>
      </c>
      <c r="DH133" t="e">
        <f>AND(Liste!#REF!,"AAAAAF/e7W8=")</f>
        <v>#REF!</v>
      </c>
      <c r="DI133" t="e">
        <f>AND(Liste!#REF!,"AAAAAF/e7XA=")</f>
        <v>#REF!</v>
      </c>
      <c r="DJ133" t="e">
        <f>AND(Liste!#REF!,"AAAAAF/e7XE=")</f>
        <v>#REF!</v>
      </c>
      <c r="DK133" t="e">
        <f>AND(Liste!#REF!,"AAAAAF/e7XI=")</f>
        <v>#REF!</v>
      </c>
      <c r="DL133" t="e">
        <f>AND(Liste!#REF!,"AAAAAF/e7XM=")</f>
        <v>#REF!</v>
      </c>
      <c r="DM133" t="e">
        <f>AND(Liste!#REF!,"AAAAAF/e7XQ=")</f>
        <v>#REF!</v>
      </c>
      <c r="DN133" t="e">
        <f>AND(Liste!#REF!,"AAAAAF/e7XU=")</f>
        <v>#REF!</v>
      </c>
      <c r="DO133" t="e">
        <f>AND(Liste!#REF!,"AAAAAF/e7XY=")</f>
        <v>#REF!</v>
      </c>
      <c r="DP133" t="e">
        <f>AND(Liste!#REF!,"AAAAAF/e7Xc=")</f>
        <v>#REF!</v>
      </c>
      <c r="DQ133" t="e">
        <f>AND(Liste!#REF!,"AAAAAF/e7Xg=")</f>
        <v>#REF!</v>
      </c>
      <c r="DR133" t="e">
        <f>AND(Liste!#REF!,"AAAAAF/e7Xk=")</f>
        <v>#REF!</v>
      </c>
      <c r="DS133" t="e">
        <f>IF(Liste!#REF!,"AAAAAF/e7Xo=",0)</f>
        <v>#REF!</v>
      </c>
      <c r="DT133" t="e">
        <f>AND(Liste!#REF!,"AAAAAF/e7Xs=")</f>
        <v>#REF!</v>
      </c>
      <c r="DU133" t="e">
        <f>AND(Liste!#REF!,"AAAAAF/e7Xw=")</f>
        <v>#REF!</v>
      </c>
      <c r="DV133" t="e">
        <f>AND(Liste!#REF!,"AAAAAF/e7X0=")</f>
        <v>#REF!</v>
      </c>
      <c r="DW133" t="e">
        <f>AND(Liste!#REF!,"AAAAAF/e7X4=")</f>
        <v>#REF!</v>
      </c>
      <c r="DX133" t="e">
        <f>AND(Liste!#REF!,"AAAAAF/e7X8=")</f>
        <v>#REF!</v>
      </c>
      <c r="DY133" t="e">
        <f>AND(Liste!#REF!,"AAAAAF/e7YA=")</f>
        <v>#REF!</v>
      </c>
      <c r="DZ133" t="e">
        <f>AND(Liste!#REF!,"AAAAAF/e7YE=")</f>
        <v>#REF!</v>
      </c>
      <c r="EA133" t="e">
        <f>AND(Liste!#REF!,"AAAAAF/e7YI=")</f>
        <v>#REF!</v>
      </c>
      <c r="EB133" t="e">
        <f>AND(Liste!#REF!,"AAAAAF/e7YM=")</f>
        <v>#REF!</v>
      </c>
      <c r="EC133" t="e">
        <f>AND(Liste!#REF!,"AAAAAF/e7YQ=")</f>
        <v>#REF!</v>
      </c>
      <c r="ED133" t="e">
        <f>AND(Liste!#REF!,"AAAAAF/e7YU=")</f>
        <v>#REF!</v>
      </c>
      <c r="EE133" t="e">
        <f>AND(Liste!#REF!,"AAAAAF/e7YY=")</f>
        <v>#REF!</v>
      </c>
      <c r="EF133" t="e">
        <f>AND(Liste!#REF!,"AAAAAF/e7Yc=")</f>
        <v>#REF!</v>
      </c>
      <c r="EG133" t="e">
        <f>AND(Liste!#REF!,"AAAAAF/e7Yg=")</f>
        <v>#REF!</v>
      </c>
      <c r="EH133" t="e">
        <f>AND(Liste!#REF!,"AAAAAF/e7Yk=")</f>
        <v>#REF!</v>
      </c>
      <c r="EI133" t="e">
        <f>AND(Liste!#REF!,"AAAAAF/e7Yo=")</f>
        <v>#REF!</v>
      </c>
      <c r="EJ133" t="e">
        <f>AND(Liste!#REF!,"AAAAAF/e7Ys=")</f>
        <v>#REF!</v>
      </c>
      <c r="EK133" t="e">
        <f>AND(Liste!#REF!,"AAAAAF/e7Yw=")</f>
        <v>#REF!</v>
      </c>
      <c r="EL133" t="e">
        <f>AND(Liste!#REF!,"AAAAAF/e7Y0=")</f>
        <v>#REF!</v>
      </c>
      <c r="EM133" t="e">
        <f>AND(Liste!#REF!,"AAAAAF/e7Y4=")</f>
        <v>#REF!</v>
      </c>
      <c r="EN133" t="e">
        <f>AND(Liste!#REF!,"AAAAAF/e7Y8=")</f>
        <v>#REF!</v>
      </c>
      <c r="EO133" t="e">
        <f>AND(Liste!#REF!,"AAAAAF/e7ZA=")</f>
        <v>#REF!</v>
      </c>
      <c r="EP133" t="e">
        <f>AND(Liste!#REF!,"AAAAAF/e7ZE=")</f>
        <v>#REF!</v>
      </c>
      <c r="EQ133" t="e">
        <f>AND(Liste!#REF!,"AAAAAF/e7ZI=")</f>
        <v>#REF!</v>
      </c>
      <c r="ER133" t="e">
        <f>AND(Liste!#REF!,"AAAAAF/e7ZM=")</f>
        <v>#REF!</v>
      </c>
      <c r="ES133" t="e">
        <f>AND(Liste!#REF!,"AAAAAF/e7ZQ=")</f>
        <v>#REF!</v>
      </c>
      <c r="ET133" t="e">
        <f>AND(Liste!#REF!,"AAAAAF/e7ZU=")</f>
        <v>#REF!</v>
      </c>
      <c r="EU133" t="e">
        <f>AND(Liste!#REF!,"AAAAAF/e7ZY=")</f>
        <v>#REF!</v>
      </c>
      <c r="EV133" t="e">
        <f>AND(Liste!#REF!,"AAAAAF/e7Zc=")</f>
        <v>#REF!</v>
      </c>
      <c r="EW133" t="e">
        <f>AND(Liste!#REF!,"AAAAAF/e7Zg=")</f>
        <v>#REF!</v>
      </c>
      <c r="EX133" t="e">
        <f>IF(Liste!#REF!,"AAAAAF/e7Zk=",0)</f>
        <v>#REF!</v>
      </c>
      <c r="EY133" t="e">
        <f>AND(Liste!#REF!,"AAAAAF/e7Zo=")</f>
        <v>#REF!</v>
      </c>
      <c r="EZ133" t="e">
        <f>AND(Liste!#REF!,"AAAAAF/e7Zs=")</f>
        <v>#REF!</v>
      </c>
      <c r="FA133" t="e">
        <f>AND(Liste!#REF!,"AAAAAF/e7Zw=")</f>
        <v>#REF!</v>
      </c>
      <c r="FB133" t="e">
        <f>AND(Liste!#REF!,"AAAAAF/e7Z0=")</f>
        <v>#REF!</v>
      </c>
      <c r="FC133" t="e">
        <f>AND(Liste!#REF!,"AAAAAF/e7Z4=")</f>
        <v>#REF!</v>
      </c>
      <c r="FD133" t="e">
        <f>AND(Liste!#REF!,"AAAAAF/e7Z8=")</f>
        <v>#REF!</v>
      </c>
      <c r="FE133" t="e">
        <f>AND(Liste!#REF!,"AAAAAF/e7aA=")</f>
        <v>#REF!</v>
      </c>
      <c r="FF133" t="e">
        <f>AND(Liste!#REF!,"AAAAAF/e7aE=")</f>
        <v>#REF!</v>
      </c>
      <c r="FG133" t="e">
        <f>AND(Liste!#REF!,"AAAAAF/e7aI=")</f>
        <v>#REF!</v>
      </c>
      <c r="FH133" t="e">
        <f>AND(Liste!#REF!,"AAAAAF/e7aM=")</f>
        <v>#REF!</v>
      </c>
      <c r="FI133" t="e">
        <f>AND(Liste!#REF!,"AAAAAF/e7aQ=")</f>
        <v>#REF!</v>
      </c>
      <c r="FJ133" t="e">
        <f>AND(Liste!#REF!,"AAAAAF/e7aU=")</f>
        <v>#REF!</v>
      </c>
      <c r="FK133" t="e">
        <f>AND(Liste!#REF!,"AAAAAF/e7aY=")</f>
        <v>#REF!</v>
      </c>
      <c r="FL133" t="e">
        <f>AND(Liste!#REF!,"AAAAAF/e7ac=")</f>
        <v>#REF!</v>
      </c>
      <c r="FM133" t="e">
        <f>AND(Liste!#REF!,"AAAAAF/e7ag=")</f>
        <v>#REF!</v>
      </c>
      <c r="FN133" t="e">
        <f>AND(Liste!#REF!,"AAAAAF/e7ak=")</f>
        <v>#REF!</v>
      </c>
      <c r="FO133" t="e">
        <f>AND(Liste!#REF!,"AAAAAF/e7ao=")</f>
        <v>#REF!</v>
      </c>
      <c r="FP133" t="e">
        <f>AND(Liste!#REF!,"AAAAAF/e7as=")</f>
        <v>#REF!</v>
      </c>
      <c r="FQ133" t="e">
        <f>AND(Liste!#REF!,"AAAAAF/e7aw=")</f>
        <v>#REF!</v>
      </c>
      <c r="FR133" t="e">
        <f>AND(Liste!#REF!,"AAAAAF/e7a0=")</f>
        <v>#REF!</v>
      </c>
      <c r="FS133" t="e">
        <f>AND(Liste!#REF!,"AAAAAF/e7a4=")</f>
        <v>#REF!</v>
      </c>
      <c r="FT133" t="e">
        <f>AND(Liste!#REF!,"AAAAAF/e7a8=")</f>
        <v>#REF!</v>
      </c>
      <c r="FU133" t="e">
        <f>AND(Liste!#REF!,"AAAAAF/e7bA=")</f>
        <v>#REF!</v>
      </c>
      <c r="FV133" t="e">
        <f>AND(Liste!#REF!,"AAAAAF/e7bE=")</f>
        <v>#REF!</v>
      </c>
      <c r="FW133" t="e">
        <f>AND(Liste!#REF!,"AAAAAF/e7bI=")</f>
        <v>#REF!</v>
      </c>
      <c r="FX133" t="e">
        <f>AND(Liste!#REF!,"AAAAAF/e7bM=")</f>
        <v>#REF!</v>
      </c>
      <c r="FY133" t="e">
        <f>AND(Liste!#REF!,"AAAAAF/e7bQ=")</f>
        <v>#REF!</v>
      </c>
      <c r="FZ133" t="e">
        <f>AND(Liste!#REF!,"AAAAAF/e7bU=")</f>
        <v>#REF!</v>
      </c>
      <c r="GA133" t="e">
        <f>AND(Liste!#REF!,"AAAAAF/e7bY=")</f>
        <v>#REF!</v>
      </c>
      <c r="GB133" t="e">
        <f>AND(Liste!#REF!,"AAAAAF/e7bc=")</f>
        <v>#REF!</v>
      </c>
      <c r="GC133" t="e">
        <f>IF(Liste!#REF!,"AAAAAF/e7bg=",0)</f>
        <v>#REF!</v>
      </c>
      <c r="GD133" t="e">
        <f>AND(Liste!#REF!,"AAAAAF/e7bk=")</f>
        <v>#REF!</v>
      </c>
      <c r="GE133" t="e">
        <f>AND(Liste!#REF!,"AAAAAF/e7bo=")</f>
        <v>#REF!</v>
      </c>
      <c r="GF133" t="e">
        <f>AND(Liste!#REF!,"AAAAAF/e7bs=")</f>
        <v>#REF!</v>
      </c>
      <c r="GG133" t="e">
        <f>AND(Liste!#REF!,"AAAAAF/e7bw=")</f>
        <v>#REF!</v>
      </c>
      <c r="GH133" t="e">
        <f>AND(Liste!#REF!,"AAAAAF/e7b0=")</f>
        <v>#REF!</v>
      </c>
      <c r="GI133" t="e">
        <f>AND(Liste!#REF!,"AAAAAF/e7b4=")</f>
        <v>#REF!</v>
      </c>
      <c r="GJ133" t="e">
        <f>AND(Liste!#REF!,"AAAAAF/e7b8=")</f>
        <v>#REF!</v>
      </c>
      <c r="GK133" t="e">
        <f>AND(Liste!#REF!,"AAAAAF/e7cA=")</f>
        <v>#REF!</v>
      </c>
      <c r="GL133" t="e">
        <f>AND(Liste!#REF!,"AAAAAF/e7cE=")</f>
        <v>#REF!</v>
      </c>
      <c r="GM133" t="e">
        <f>AND(Liste!#REF!,"AAAAAF/e7cI=")</f>
        <v>#REF!</v>
      </c>
      <c r="GN133" t="e">
        <f>AND(Liste!#REF!,"AAAAAF/e7cM=")</f>
        <v>#REF!</v>
      </c>
      <c r="GO133" t="e">
        <f>AND(Liste!#REF!,"AAAAAF/e7cQ=")</f>
        <v>#REF!</v>
      </c>
      <c r="GP133" t="e">
        <f>AND(Liste!#REF!,"AAAAAF/e7cU=")</f>
        <v>#REF!</v>
      </c>
      <c r="GQ133" t="e">
        <f>AND(Liste!#REF!,"AAAAAF/e7cY=")</f>
        <v>#REF!</v>
      </c>
      <c r="GR133" t="e">
        <f>AND(Liste!#REF!,"AAAAAF/e7cc=")</f>
        <v>#REF!</v>
      </c>
      <c r="GS133" t="e">
        <f>AND(Liste!#REF!,"AAAAAF/e7cg=")</f>
        <v>#REF!</v>
      </c>
      <c r="GT133" t="e">
        <f>AND(Liste!#REF!,"AAAAAF/e7ck=")</f>
        <v>#REF!</v>
      </c>
      <c r="GU133" t="e">
        <f>AND(Liste!#REF!,"AAAAAF/e7co=")</f>
        <v>#REF!</v>
      </c>
      <c r="GV133" t="e">
        <f>AND(Liste!#REF!,"AAAAAF/e7cs=")</f>
        <v>#REF!</v>
      </c>
      <c r="GW133" t="e">
        <f>AND(Liste!#REF!,"AAAAAF/e7cw=")</f>
        <v>#REF!</v>
      </c>
      <c r="GX133" t="e">
        <f>AND(Liste!#REF!,"AAAAAF/e7c0=")</f>
        <v>#REF!</v>
      </c>
      <c r="GY133" t="e">
        <f>AND(Liste!#REF!,"AAAAAF/e7c4=")</f>
        <v>#REF!</v>
      </c>
      <c r="GZ133" t="e">
        <f>AND(Liste!#REF!,"AAAAAF/e7c8=")</f>
        <v>#REF!</v>
      </c>
      <c r="HA133" t="e">
        <f>AND(Liste!#REF!,"AAAAAF/e7dA=")</f>
        <v>#REF!</v>
      </c>
      <c r="HB133" t="e">
        <f>AND(Liste!#REF!,"AAAAAF/e7dE=")</f>
        <v>#REF!</v>
      </c>
      <c r="HC133" t="e">
        <f>AND(Liste!#REF!,"AAAAAF/e7dI=")</f>
        <v>#REF!</v>
      </c>
      <c r="HD133" t="e">
        <f>AND(Liste!#REF!,"AAAAAF/e7dM=")</f>
        <v>#REF!</v>
      </c>
      <c r="HE133" t="e">
        <f>AND(Liste!#REF!,"AAAAAF/e7dQ=")</f>
        <v>#REF!</v>
      </c>
      <c r="HF133" t="e">
        <f>AND(Liste!#REF!,"AAAAAF/e7dU=")</f>
        <v>#REF!</v>
      </c>
      <c r="HG133" t="e">
        <f>AND(Liste!#REF!,"AAAAAF/e7dY=")</f>
        <v>#REF!</v>
      </c>
      <c r="HH133" t="e">
        <f>IF(Liste!#REF!,"AAAAAF/e7dc=",0)</f>
        <v>#REF!</v>
      </c>
      <c r="HI133" t="e">
        <f>AND(Liste!#REF!,"AAAAAF/e7dg=")</f>
        <v>#REF!</v>
      </c>
      <c r="HJ133" t="e">
        <f>AND(Liste!#REF!,"AAAAAF/e7dk=")</f>
        <v>#REF!</v>
      </c>
      <c r="HK133" t="e">
        <f>AND(Liste!#REF!,"AAAAAF/e7do=")</f>
        <v>#REF!</v>
      </c>
      <c r="HL133" t="e">
        <f>AND(Liste!#REF!,"AAAAAF/e7ds=")</f>
        <v>#REF!</v>
      </c>
      <c r="HM133" t="e">
        <f>AND(Liste!#REF!,"AAAAAF/e7dw=")</f>
        <v>#REF!</v>
      </c>
      <c r="HN133" t="e">
        <f>AND(Liste!#REF!,"AAAAAF/e7d0=")</f>
        <v>#REF!</v>
      </c>
      <c r="HO133" t="e">
        <f>AND(Liste!#REF!,"AAAAAF/e7d4=")</f>
        <v>#REF!</v>
      </c>
      <c r="HP133" t="e">
        <f>AND(Liste!#REF!,"AAAAAF/e7d8=")</f>
        <v>#REF!</v>
      </c>
      <c r="HQ133" t="e">
        <f>AND(Liste!#REF!,"AAAAAF/e7eA=")</f>
        <v>#REF!</v>
      </c>
      <c r="HR133" t="e">
        <f>AND(Liste!#REF!,"AAAAAF/e7eE=")</f>
        <v>#REF!</v>
      </c>
      <c r="HS133" t="e">
        <f>AND(Liste!#REF!,"AAAAAF/e7eI=")</f>
        <v>#REF!</v>
      </c>
      <c r="HT133" t="e">
        <f>AND(Liste!#REF!,"AAAAAF/e7eM=")</f>
        <v>#REF!</v>
      </c>
      <c r="HU133" t="e">
        <f>AND(Liste!#REF!,"AAAAAF/e7eQ=")</f>
        <v>#REF!</v>
      </c>
      <c r="HV133" t="e">
        <f>AND(Liste!#REF!,"AAAAAF/e7eU=")</f>
        <v>#REF!</v>
      </c>
      <c r="HW133" t="e">
        <f>AND(Liste!#REF!,"AAAAAF/e7eY=")</f>
        <v>#REF!</v>
      </c>
      <c r="HX133" t="e">
        <f>AND(Liste!#REF!,"AAAAAF/e7ec=")</f>
        <v>#REF!</v>
      </c>
      <c r="HY133" t="e">
        <f>AND(Liste!#REF!,"AAAAAF/e7eg=")</f>
        <v>#REF!</v>
      </c>
      <c r="HZ133" t="e">
        <f>AND(Liste!#REF!,"AAAAAF/e7ek=")</f>
        <v>#REF!</v>
      </c>
      <c r="IA133" t="e">
        <f>AND(Liste!#REF!,"AAAAAF/e7eo=")</f>
        <v>#REF!</v>
      </c>
      <c r="IB133" t="e">
        <f>AND(Liste!#REF!,"AAAAAF/e7es=")</f>
        <v>#REF!</v>
      </c>
      <c r="IC133" t="e">
        <f>AND(Liste!#REF!,"AAAAAF/e7ew=")</f>
        <v>#REF!</v>
      </c>
      <c r="ID133" t="e">
        <f>AND(Liste!#REF!,"AAAAAF/e7e0=")</f>
        <v>#REF!</v>
      </c>
      <c r="IE133" t="e">
        <f>AND(Liste!#REF!,"AAAAAF/e7e4=")</f>
        <v>#REF!</v>
      </c>
      <c r="IF133" t="e">
        <f>AND(Liste!#REF!,"AAAAAF/e7e8=")</f>
        <v>#REF!</v>
      </c>
      <c r="IG133" t="e">
        <f>AND(Liste!#REF!,"AAAAAF/e7fA=")</f>
        <v>#REF!</v>
      </c>
      <c r="IH133" t="e">
        <f>AND(Liste!#REF!,"AAAAAF/e7fE=")</f>
        <v>#REF!</v>
      </c>
      <c r="II133" t="e">
        <f>AND(Liste!#REF!,"AAAAAF/e7fI=")</f>
        <v>#REF!</v>
      </c>
      <c r="IJ133" t="e">
        <f>AND(Liste!#REF!,"AAAAAF/e7fM=")</f>
        <v>#REF!</v>
      </c>
      <c r="IK133" t="e">
        <f>AND(Liste!#REF!,"AAAAAF/e7fQ=")</f>
        <v>#REF!</v>
      </c>
      <c r="IL133" t="e">
        <f>AND(Liste!#REF!,"AAAAAF/e7fU=")</f>
        <v>#REF!</v>
      </c>
      <c r="IM133" t="e">
        <f>IF(Liste!#REF!,"AAAAAF/e7fY=",0)</f>
        <v>#REF!</v>
      </c>
      <c r="IN133" t="e">
        <f>AND(Liste!#REF!,"AAAAAF/e7fc=")</f>
        <v>#REF!</v>
      </c>
      <c r="IO133" t="e">
        <f>AND(Liste!#REF!,"AAAAAF/e7fg=")</f>
        <v>#REF!</v>
      </c>
      <c r="IP133" t="e">
        <f>AND(Liste!#REF!,"AAAAAF/e7fk=")</f>
        <v>#REF!</v>
      </c>
      <c r="IQ133" t="e">
        <f>AND(Liste!#REF!,"AAAAAF/e7fo=")</f>
        <v>#REF!</v>
      </c>
      <c r="IR133" t="e">
        <f>AND(Liste!#REF!,"AAAAAF/e7fs=")</f>
        <v>#REF!</v>
      </c>
      <c r="IS133" t="e">
        <f>AND(Liste!#REF!,"AAAAAF/e7fw=")</f>
        <v>#REF!</v>
      </c>
      <c r="IT133" t="e">
        <f>AND(Liste!#REF!,"AAAAAF/e7f0=")</f>
        <v>#REF!</v>
      </c>
      <c r="IU133" t="e">
        <f>AND(Liste!#REF!,"AAAAAF/e7f4=")</f>
        <v>#REF!</v>
      </c>
      <c r="IV133" t="e">
        <f>AND(Liste!#REF!,"AAAAAF/e7f8=")</f>
        <v>#REF!</v>
      </c>
    </row>
    <row r="134" spans="1:256" x14ac:dyDescent="0.2">
      <c r="A134" t="e">
        <f>AND(Liste!#REF!,"AAAAAH+97wA=")</f>
        <v>#REF!</v>
      </c>
      <c r="B134" t="e">
        <f>AND(Liste!#REF!,"AAAAAH+97wE=")</f>
        <v>#REF!</v>
      </c>
      <c r="C134" t="e">
        <f>AND(Liste!#REF!,"AAAAAH+97wI=")</f>
        <v>#REF!</v>
      </c>
      <c r="D134" t="e">
        <f>AND(Liste!#REF!,"AAAAAH+97wM=")</f>
        <v>#REF!</v>
      </c>
      <c r="E134" t="e">
        <f>AND(Liste!#REF!,"AAAAAH+97wQ=")</f>
        <v>#REF!</v>
      </c>
      <c r="F134" t="e">
        <f>AND(Liste!#REF!,"AAAAAH+97wU=")</f>
        <v>#REF!</v>
      </c>
      <c r="G134" t="e">
        <f>AND(Liste!#REF!,"AAAAAH+97wY=")</f>
        <v>#REF!</v>
      </c>
      <c r="H134" t="e">
        <f>AND(Liste!#REF!,"AAAAAH+97wc=")</f>
        <v>#REF!</v>
      </c>
      <c r="I134" t="e">
        <f>AND(Liste!#REF!,"AAAAAH+97wg=")</f>
        <v>#REF!</v>
      </c>
      <c r="J134" t="e">
        <f>AND(Liste!#REF!,"AAAAAH+97wk=")</f>
        <v>#REF!</v>
      </c>
      <c r="K134" t="e">
        <f>AND(Liste!#REF!,"AAAAAH+97wo=")</f>
        <v>#REF!</v>
      </c>
      <c r="L134" t="e">
        <f>AND(Liste!#REF!,"AAAAAH+97ws=")</f>
        <v>#REF!</v>
      </c>
      <c r="M134" t="e">
        <f>AND(Liste!#REF!,"AAAAAH+97ww=")</f>
        <v>#REF!</v>
      </c>
      <c r="N134" t="e">
        <f>AND(Liste!#REF!,"AAAAAH+97w0=")</f>
        <v>#REF!</v>
      </c>
      <c r="O134" t="e">
        <f>AND(Liste!#REF!,"AAAAAH+97w4=")</f>
        <v>#REF!</v>
      </c>
      <c r="P134" t="e">
        <f>AND(Liste!#REF!,"AAAAAH+97w8=")</f>
        <v>#REF!</v>
      </c>
      <c r="Q134" t="e">
        <f>AND(Liste!#REF!,"AAAAAH+97xA=")</f>
        <v>#REF!</v>
      </c>
      <c r="R134" t="e">
        <f>AND(Liste!#REF!,"AAAAAH+97xE=")</f>
        <v>#REF!</v>
      </c>
      <c r="S134" t="e">
        <f>AND(Liste!#REF!,"AAAAAH+97xI=")</f>
        <v>#REF!</v>
      </c>
      <c r="T134" t="e">
        <f>AND(Liste!#REF!,"AAAAAH+97xM=")</f>
        <v>#REF!</v>
      </c>
      <c r="U134" t="e">
        <f>AND(Liste!#REF!,"AAAAAH+97xQ=")</f>
        <v>#REF!</v>
      </c>
      <c r="V134" t="e">
        <f>IF(Liste!#REF!,"AAAAAH+97xU=",0)</f>
        <v>#REF!</v>
      </c>
      <c r="W134" t="e">
        <f>AND(Liste!#REF!,"AAAAAH+97xY=")</f>
        <v>#REF!</v>
      </c>
      <c r="X134" t="e">
        <f>AND(Liste!#REF!,"AAAAAH+97xc=")</f>
        <v>#REF!</v>
      </c>
      <c r="Y134" t="e">
        <f>AND(Liste!#REF!,"AAAAAH+97xg=")</f>
        <v>#REF!</v>
      </c>
      <c r="Z134" t="e">
        <f>AND(Liste!#REF!,"AAAAAH+97xk=")</f>
        <v>#REF!</v>
      </c>
      <c r="AA134" t="e">
        <f>AND(Liste!#REF!,"AAAAAH+97xo=")</f>
        <v>#REF!</v>
      </c>
      <c r="AB134" t="e">
        <f>AND(Liste!#REF!,"AAAAAH+97xs=")</f>
        <v>#REF!</v>
      </c>
      <c r="AC134" t="e">
        <f>AND(Liste!#REF!,"AAAAAH+97xw=")</f>
        <v>#REF!</v>
      </c>
      <c r="AD134" t="e">
        <f>AND(Liste!#REF!,"AAAAAH+97x0=")</f>
        <v>#REF!</v>
      </c>
      <c r="AE134" t="e">
        <f>AND(Liste!#REF!,"AAAAAH+97x4=")</f>
        <v>#REF!</v>
      </c>
      <c r="AF134" t="e">
        <f>AND(Liste!#REF!,"AAAAAH+97x8=")</f>
        <v>#REF!</v>
      </c>
      <c r="AG134" t="e">
        <f>AND(Liste!#REF!,"AAAAAH+97yA=")</f>
        <v>#REF!</v>
      </c>
      <c r="AH134" t="e">
        <f>AND(Liste!#REF!,"AAAAAH+97yE=")</f>
        <v>#REF!</v>
      </c>
      <c r="AI134" t="e">
        <f>AND(Liste!#REF!,"AAAAAH+97yI=")</f>
        <v>#REF!</v>
      </c>
      <c r="AJ134" t="e">
        <f>AND(Liste!#REF!,"AAAAAH+97yM=")</f>
        <v>#REF!</v>
      </c>
      <c r="AK134" t="e">
        <f>AND(Liste!#REF!,"AAAAAH+97yQ=")</f>
        <v>#REF!</v>
      </c>
      <c r="AL134" t="e">
        <f>AND(Liste!#REF!,"AAAAAH+97yU=")</f>
        <v>#REF!</v>
      </c>
      <c r="AM134" t="e">
        <f>AND(Liste!#REF!,"AAAAAH+97yY=")</f>
        <v>#REF!</v>
      </c>
      <c r="AN134" t="e">
        <f>AND(Liste!#REF!,"AAAAAH+97yc=")</f>
        <v>#REF!</v>
      </c>
      <c r="AO134" t="e">
        <f>AND(Liste!#REF!,"AAAAAH+97yg=")</f>
        <v>#REF!</v>
      </c>
      <c r="AP134" t="e">
        <f>AND(Liste!#REF!,"AAAAAH+97yk=")</f>
        <v>#REF!</v>
      </c>
      <c r="AQ134" t="e">
        <f>AND(Liste!#REF!,"AAAAAH+97yo=")</f>
        <v>#REF!</v>
      </c>
      <c r="AR134" t="e">
        <f>AND(Liste!#REF!,"AAAAAH+97ys=")</f>
        <v>#REF!</v>
      </c>
      <c r="AS134" t="e">
        <f>AND(Liste!#REF!,"AAAAAH+97yw=")</f>
        <v>#REF!</v>
      </c>
      <c r="AT134" t="e">
        <f>AND(Liste!#REF!,"AAAAAH+97y0=")</f>
        <v>#REF!</v>
      </c>
      <c r="AU134" t="e">
        <f>AND(Liste!#REF!,"AAAAAH+97y4=")</f>
        <v>#REF!</v>
      </c>
      <c r="AV134" t="e">
        <f>AND(Liste!#REF!,"AAAAAH+97y8=")</f>
        <v>#REF!</v>
      </c>
      <c r="AW134" t="e">
        <f>AND(Liste!#REF!,"AAAAAH+97zA=")</f>
        <v>#REF!</v>
      </c>
      <c r="AX134" t="e">
        <f>AND(Liste!#REF!,"AAAAAH+97zE=")</f>
        <v>#REF!</v>
      </c>
      <c r="AY134" t="e">
        <f>AND(Liste!#REF!,"AAAAAH+97zI=")</f>
        <v>#REF!</v>
      </c>
      <c r="AZ134" t="e">
        <f>AND(Liste!#REF!,"AAAAAH+97zM=")</f>
        <v>#REF!</v>
      </c>
      <c r="BA134" t="e">
        <f>IF(Liste!#REF!,"AAAAAH+97zQ=",0)</f>
        <v>#REF!</v>
      </c>
      <c r="BB134" t="e">
        <f>AND(Liste!#REF!,"AAAAAH+97zU=")</f>
        <v>#REF!</v>
      </c>
      <c r="BC134" t="e">
        <f>AND(Liste!#REF!,"AAAAAH+97zY=")</f>
        <v>#REF!</v>
      </c>
      <c r="BD134" t="e">
        <f>AND(Liste!#REF!,"AAAAAH+97zc=")</f>
        <v>#REF!</v>
      </c>
      <c r="BE134" t="e">
        <f>AND(Liste!#REF!,"AAAAAH+97zg=")</f>
        <v>#REF!</v>
      </c>
      <c r="BF134" t="e">
        <f>AND(Liste!#REF!,"AAAAAH+97zk=")</f>
        <v>#REF!</v>
      </c>
      <c r="BG134" t="e">
        <f>AND(Liste!#REF!,"AAAAAH+97zo=")</f>
        <v>#REF!</v>
      </c>
      <c r="BH134" t="e">
        <f>AND(Liste!#REF!,"AAAAAH+97zs=")</f>
        <v>#REF!</v>
      </c>
      <c r="BI134" t="e">
        <f>AND(Liste!#REF!,"AAAAAH+97zw=")</f>
        <v>#REF!</v>
      </c>
      <c r="BJ134" t="e">
        <f>AND(Liste!#REF!,"AAAAAH+97z0=")</f>
        <v>#REF!</v>
      </c>
      <c r="BK134" t="e">
        <f>AND(Liste!#REF!,"AAAAAH+97z4=")</f>
        <v>#REF!</v>
      </c>
      <c r="BL134" t="e">
        <f>AND(Liste!#REF!,"AAAAAH+97z8=")</f>
        <v>#REF!</v>
      </c>
      <c r="BM134" t="e">
        <f>AND(Liste!#REF!,"AAAAAH+970A=")</f>
        <v>#REF!</v>
      </c>
      <c r="BN134" t="e">
        <f>AND(Liste!#REF!,"AAAAAH+970E=")</f>
        <v>#REF!</v>
      </c>
      <c r="BO134" t="e">
        <f>AND(Liste!#REF!,"AAAAAH+970I=")</f>
        <v>#REF!</v>
      </c>
      <c r="BP134" t="e">
        <f>AND(Liste!#REF!,"AAAAAH+970M=")</f>
        <v>#REF!</v>
      </c>
      <c r="BQ134" t="e">
        <f>AND(Liste!#REF!,"AAAAAH+970Q=")</f>
        <v>#REF!</v>
      </c>
      <c r="BR134" t="e">
        <f>AND(Liste!#REF!,"AAAAAH+970U=")</f>
        <v>#REF!</v>
      </c>
      <c r="BS134" t="e">
        <f>AND(Liste!#REF!,"AAAAAH+970Y=")</f>
        <v>#REF!</v>
      </c>
      <c r="BT134" t="e">
        <f>AND(Liste!#REF!,"AAAAAH+970c=")</f>
        <v>#REF!</v>
      </c>
      <c r="BU134" t="e">
        <f>AND(Liste!#REF!,"AAAAAH+970g=")</f>
        <v>#REF!</v>
      </c>
      <c r="BV134" t="e">
        <f>AND(Liste!#REF!,"AAAAAH+970k=")</f>
        <v>#REF!</v>
      </c>
      <c r="BW134" t="e">
        <f>AND(Liste!#REF!,"AAAAAH+970o=")</f>
        <v>#REF!</v>
      </c>
      <c r="BX134" t="e">
        <f>AND(Liste!#REF!,"AAAAAH+970s=")</f>
        <v>#REF!</v>
      </c>
      <c r="BY134" t="e">
        <f>AND(Liste!#REF!,"AAAAAH+970w=")</f>
        <v>#REF!</v>
      </c>
      <c r="BZ134" t="e">
        <f>AND(Liste!#REF!,"AAAAAH+9700=")</f>
        <v>#REF!</v>
      </c>
      <c r="CA134" t="e">
        <f>AND(Liste!#REF!,"AAAAAH+9704=")</f>
        <v>#REF!</v>
      </c>
      <c r="CB134" t="e">
        <f>AND(Liste!#REF!,"AAAAAH+9708=")</f>
        <v>#REF!</v>
      </c>
      <c r="CC134" t="e">
        <f>AND(Liste!#REF!,"AAAAAH+971A=")</f>
        <v>#REF!</v>
      </c>
      <c r="CD134" t="e">
        <f>AND(Liste!#REF!,"AAAAAH+971E=")</f>
        <v>#REF!</v>
      </c>
      <c r="CE134" t="e">
        <f>AND(Liste!#REF!,"AAAAAH+971I=")</f>
        <v>#REF!</v>
      </c>
      <c r="CF134" t="e">
        <f>IF(Liste!#REF!,"AAAAAH+971M=",0)</f>
        <v>#REF!</v>
      </c>
      <c r="CG134" t="e">
        <f>AND(Liste!#REF!,"AAAAAH+971Q=")</f>
        <v>#REF!</v>
      </c>
      <c r="CH134" t="e">
        <f>AND(Liste!#REF!,"AAAAAH+971U=")</f>
        <v>#REF!</v>
      </c>
      <c r="CI134" t="e">
        <f>AND(Liste!#REF!,"AAAAAH+971Y=")</f>
        <v>#REF!</v>
      </c>
      <c r="CJ134" t="e">
        <f>AND(Liste!#REF!,"AAAAAH+971c=")</f>
        <v>#REF!</v>
      </c>
      <c r="CK134" t="e">
        <f>AND(Liste!#REF!,"AAAAAH+971g=")</f>
        <v>#REF!</v>
      </c>
      <c r="CL134" t="e">
        <f>AND(Liste!#REF!,"AAAAAH+971k=")</f>
        <v>#REF!</v>
      </c>
      <c r="CM134" t="e">
        <f>AND(Liste!#REF!,"AAAAAH+971o=")</f>
        <v>#REF!</v>
      </c>
      <c r="CN134" t="e">
        <f>AND(Liste!#REF!,"AAAAAH+971s=")</f>
        <v>#REF!</v>
      </c>
      <c r="CO134" t="e">
        <f>AND(Liste!#REF!,"AAAAAH+971w=")</f>
        <v>#REF!</v>
      </c>
      <c r="CP134" t="e">
        <f>AND(Liste!#REF!,"AAAAAH+9710=")</f>
        <v>#REF!</v>
      </c>
      <c r="CQ134" t="e">
        <f>AND(Liste!#REF!,"AAAAAH+9714=")</f>
        <v>#REF!</v>
      </c>
      <c r="CR134" t="e">
        <f>AND(Liste!#REF!,"AAAAAH+9718=")</f>
        <v>#REF!</v>
      </c>
      <c r="CS134" t="e">
        <f>AND(Liste!#REF!,"AAAAAH+972A=")</f>
        <v>#REF!</v>
      </c>
      <c r="CT134" t="e">
        <f>AND(Liste!#REF!,"AAAAAH+972E=")</f>
        <v>#REF!</v>
      </c>
      <c r="CU134" t="e">
        <f>AND(Liste!#REF!,"AAAAAH+972I=")</f>
        <v>#REF!</v>
      </c>
      <c r="CV134" t="e">
        <f>AND(Liste!#REF!,"AAAAAH+972M=")</f>
        <v>#REF!</v>
      </c>
      <c r="CW134" t="e">
        <f>AND(Liste!#REF!,"AAAAAH+972Q=")</f>
        <v>#REF!</v>
      </c>
      <c r="CX134" t="e">
        <f>AND(Liste!#REF!,"AAAAAH+972U=")</f>
        <v>#REF!</v>
      </c>
      <c r="CY134" t="e">
        <f>AND(Liste!#REF!,"AAAAAH+972Y=")</f>
        <v>#REF!</v>
      </c>
      <c r="CZ134" t="e">
        <f>AND(Liste!#REF!,"AAAAAH+972c=")</f>
        <v>#REF!</v>
      </c>
      <c r="DA134" t="e">
        <f>AND(Liste!#REF!,"AAAAAH+972g=")</f>
        <v>#REF!</v>
      </c>
      <c r="DB134" t="e">
        <f>AND(Liste!#REF!,"AAAAAH+972k=")</f>
        <v>#REF!</v>
      </c>
      <c r="DC134" t="e">
        <f>AND(Liste!#REF!,"AAAAAH+972o=")</f>
        <v>#REF!</v>
      </c>
      <c r="DD134" t="e">
        <f>AND(Liste!#REF!,"AAAAAH+972s=")</f>
        <v>#REF!</v>
      </c>
      <c r="DE134" t="e">
        <f>AND(Liste!#REF!,"AAAAAH+972w=")</f>
        <v>#REF!</v>
      </c>
      <c r="DF134" t="e">
        <f>AND(Liste!#REF!,"AAAAAH+9720=")</f>
        <v>#REF!</v>
      </c>
      <c r="DG134" t="e">
        <f>AND(Liste!#REF!,"AAAAAH+9724=")</f>
        <v>#REF!</v>
      </c>
      <c r="DH134" t="e">
        <f>AND(Liste!#REF!,"AAAAAH+9728=")</f>
        <v>#REF!</v>
      </c>
      <c r="DI134" t="e">
        <f>AND(Liste!#REF!,"AAAAAH+973A=")</f>
        <v>#REF!</v>
      </c>
      <c r="DJ134" t="e">
        <f>AND(Liste!#REF!,"AAAAAH+973E=")</f>
        <v>#REF!</v>
      </c>
      <c r="DK134" t="e">
        <f>IF(Liste!#REF!,"AAAAAH+973I=",0)</f>
        <v>#REF!</v>
      </c>
      <c r="DL134" t="e">
        <f>AND(Liste!#REF!,"AAAAAH+973M=")</f>
        <v>#REF!</v>
      </c>
      <c r="DM134" t="e">
        <f>AND(Liste!#REF!,"AAAAAH+973Q=")</f>
        <v>#REF!</v>
      </c>
      <c r="DN134" t="e">
        <f>AND(Liste!#REF!,"AAAAAH+973U=")</f>
        <v>#REF!</v>
      </c>
      <c r="DO134" t="e">
        <f>AND(Liste!#REF!,"AAAAAH+973Y=")</f>
        <v>#REF!</v>
      </c>
      <c r="DP134" t="e">
        <f>AND(Liste!#REF!,"AAAAAH+973c=")</f>
        <v>#REF!</v>
      </c>
      <c r="DQ134" t="e">
        <f>AND(Liste!#REF!,"AAAAAH+973g=")</f>
        <v>#REF!</v>
      </c>
      <c r="DR134" t="e">
        <f>AND(Liste!#REF!,"AAAAAH+973k=")</f>
        <v>#REF!</v>
      </c>
      <c r="DS134" t="e">
        <f>AND(Liste!#REF!,"AAAAAH+973o=")</f>
        <v>#REF!</v>
      </c>
      <c r="DT134" t="e">
        <f>AND(Liste!#REF!,"AAAAAH+973s=")</f>
        <v>#REF!</v>
      </c>
      <c r="DU134" t="e">
        <f>AND(Liste!#REF!,"AAAAAH+973w=")</f>
        <v>#REF!</v>
      </c>
      <c r="DV134" t="e">
        <f>AND(Liste!#REF!,"AAAAAH+9730=")</f>
        <v>#REF!</v>
      </c>
      <c r="DW134" t="e">
        <f>AND(Liste!#REF!,"AAAAAH+9734=")</f>
        <v>#REF!</v>
      </c>
      <c r="DX134" t="e">
        <f>AND(Liste!#REF!,"AAAAAH+9738=")</f>
        <v>#REF!</v>
      </c>
      <c r="DY134" t="e">
        <f>AND(Liste!#REF!,"AAAAAH+974A=")</f>
        <v>#REF!</v>
      </c>
      <c r="DZ134" t="e">
        <f>AND(Liste!#REF!,"AAAAAH+974E=")</f>
        <v>#REF!</v>
      </c>
      <c r="EA134" t="e">
        <f>AND(Liste!#REF!,"AAAAAH+974I=")</f>
        <v>#REF!</v>
      </c>
      <c r="EB134" t="e">
        <f>AND(Liste!#REF!,"AAAAAH+974M=")</f>
        <v>#REF!</v>
      </c>
      <c r="EC134" t="e">
        <f>AND(Liste!#REF!,"AAAAAH+974Q=")</f>
        <v>#REF!</v>
      </c>
      <c r="ED134" t="e">
        <f>AND(Liste!#REF!,"AAAAAH+974U=")</f>
        <v>#REF!</v>
      </c>
      <c r="EE134" t="e">
        <f>AND(Liste!#REF!,"AAAAAH+974Y=")</f>
        <v>#REF!</v>
      </c>
      <c r="EF134" t="e">
        <f>AND(Liste!#REF!,"AAAAAH+974c=")</f>
        <v>#REF!</v>
      </c>
      <c r="EG134" t="e">
        <f>AND(Liste!#REF!,"AAAAAH+974g=")</f>
        <v>#REF!</v>
      </c>
      <c r="EH134" t="e">
        <f>AND(Liste!#REF!,"AAAAAH+974k=")</f>
        <v>#REF!</v>
      </c>
      <c r="EI134" t="e">
        <f>AND(Liste!#REF!,"AAAAAH+974o=")</f>
        <v>#REF!</v>
      </c>
      <c r="EJ134" t="e">
        <f>AND(Liste!#REF!,"AAAAAH+974s=")</f>
        <v>#REF!</v>
      </c>
      <c r="EK134" t="e">
        <f>AND(Liste!#REF!,"AAAAAH+974w=")</f>
        <v>#REF!</v>
      </c>
      <c r="EL134" t="e">
        <f>AND(Liste!#REF!,"AAAAAH+9740=")</f>
        <v>#REF!</v>
      </c>
      <c r="EM134" t="e">
        <f>AND(Liste!#REF!,"AAAAAH+9744=")</f>
        <v>#REF!</v>
      </c>
      <c r="EN134" t="e">
        <f>AND(Liste!#REF!,"AAAAAH+9748=")</f>
        <v>#REF!</v>
      </c>
      <c r="EO134" t="e">
        <f>AND(Liste!#REF!,"AAAAAH+975A=")</f>
        <v>#REF!</v>
      </c>
      <c r="EP134" t="e">
        <f>IF(Liste!#REF!,"AAAAAH+975E=",0)</f>
        <v>#REF!</v>
      </c>
      <c r="EQ134" t="e">
        <f>AND(Liste!#REF!,"AAAAAH+975I=")</f>
        <v>#REF!</v>
      </c>
      <c r="ER134" t="e">
        <f>AND(Liste!#REF!,"AAAAAH+975M=")</f>
        <v>#REF!</v>
      </c>
      <c r="ES134" t="e">
        <f>AND(Liste!#REF!,"AAAAAH+975Q=")</f>
        <v>#REF!</v>
      </c>
      <c r="ET134" t="e">
        <f>AND(Liste!#REF!,"AAAAAH+975U=")</f>
        <v>#REF!</v>
      </c>
      <c r="EU134" t="e">
        <f>AND(Liste!#REF!,"AAAAAH+975Y=")</f>
        <v>#REF!</v>
      </c>
      <c r="EV134" t="e">
        <f>AND(Liste!#REF!,"AAAAAH+975c=")</f>
        <v>#REF!</v>
      </c>
      <c r="EW134" t="e">
        <f>AND(Liste!#REF!,"AAAAAH+975g=")</f>
        <v>#REF!</v>
      </c>
      <c r="EX134" t="e">
        <f>AND(Liste!#REF!,"AAAAAH+975k=")</f>
        <v>#REF!</v>
      </c>
      <c r="EY134" t="e">
        <f>AND(Liste!#REF!,"AAAAAH+975o=")</f>
        <v>#REF!</v>
      </c>
      <c r="EZ134" t="e">
        <f>AND(Liste!#REF!,"AAAAAH+975s=")</f>
        <v>#REF!</v>
      </c>
      <c r="FA134" t="e">
        <f>AND(Liste!#REF!,"AAAAAH+975w=")</f>
        <v>#REF!</v>
      </c>
      <c r="FB134" t="e">
        <f>AND(Liste!#REF!,"AAAAAH+9750=")</f>
        <v>#REF!</v>
      </c>
      <c r="FC134" t="e">
        <f>AND(Liste!#REF!,"AAAAAH+9754=")</f>
        <v>#REF!</v>
      </c>
      <c r="FD134" t="e">
        <f>AND(Liste!#REF!,"AAAAAH+9758=")</f>
        <v>#REF!</v>
      </c>
      <c r="FE134" t="e">
        <f>AND(Liste!#REF!,"AAAAAH+976A=")</f>
        <v>#REF!</v>
      </c>
      <c r="FF134" t="e">
        <f>AND(Liste!#REF!,"AAAAAH+976E=")</f>
        <v>#REF!</v>
      </c>
      <c r="FG134" t="e">
        <f>AND(Liste!#REF!,"AAAAAH+976I=")</f>
        <v>#REF!</v>
      </c>
      <c r="FH134" t="e">
        <f>AND(Liste!#REF!,"AAAAAH+976M=")</f>
        <v>#REF!</v>
      </c>
      <c r="FI134" t="e">
        <f>AND(Liste!#REF!,"AAAAAH+976Q=")</f>
        <v>#REF!</v>
      </c>
      <c r="FJ134" t="e">
        <f>AND(Liste!#REF!,"AAAAAH+976U=")</f>
        <v>#REF!</v>
      </c>
      <c r="FK134" t="e">
        <f>AND(Liste!#REF!,"AAAAAH+976Y=")</f>
        <v>#REF!</v>
      </c>
      <c r="FL134" t="e">
        <f>AND(Liste!#REF!,"AAAAAH+976c=")</f>
        <v>#REF!</v>
      </c>
      <c r="FM134" t="e">
        <f>AND(Liste!#REF!,"AAAAAH+976g=")</f>
        <v>#REF!</v>
      </c>
      <c r="FN134" t="e">
        <f>AND(Liste!#REF!,"AAAAAH+976k=")</f>
        <v>#REF!</v>
      </c>
      <c r="FO134" t="e">
        <f>AND(Liste!#REF!,"AAAAAH+976o=")</f>
        <v>#REF!</v>
      </c>
      <c r="FP134" t="e">
        <f>AND(Liste!#REF!,"AAAAAH+976s=")</f>
        <v>#REF!</v>
      </c>
      <c r="FQ134" t="e">
        <f>AND(Liste!#REF!,"AAAAAH+976w=")</f>
        <v>#REF!</v>
      </c>
      <c r="FR134" t="e">
        <f>AND(Liste!#REF!,"AAAAAH+9760=")</f>
        <v>#REF!</v>
      </c>
      <c r="FS134" t="e">
        <f>AND(Liste!#REF!,"AAAAAH+9764=")</f>
        <v>#REF!</v>
      </c>
      <c r="FT134" t="e">
        <f>AND(Liste!#REF!,"AAAAAH+9768=")</f>
        <v>#REF!</v>
      </c>
      <c r="FU134" t="e">
        <f>IF(Liste!#REF!,"AAAAAH+977A=",0)</f>
        <v>#REF!</v>
      </c>
      <c r="FV134" t="e">
        <f>AND(Liste!#REF!,"AAAAAH+977E=")</f>
        <v>#REF!</v>
      </c>
      <c r="FW134" t="e">
        <f>AND(Liste!#REF!,"AAAAAH+977I=")</f>
        <v>#REF!</v>
      </c>
      <c r="FX134" t="e">
        <f>AND(Liste!#REF!,"AAAAAH+977M=")</f>
        <v>#REF!</v>
      </c>
      <c r="FY134" t="e">
        <f>AND(Liste!#REF!,"AAAAAH+977Q=")</f>
        <v>#REF!</v>
      </c>
      <c r="FZ134" t="e">
        <f>AND(Liste!#REF!,"AAAAAH+977U=")</f>
        <v>#REF!</v>
      </c>
      <c r="GA134" t="e">
        <f>AND(Liste!#REF!,"AAAAAH+977Y=")</f>
        <v>#REF!</v>
      </c>
      <c r="GB134" t="e">
        <f>AND(Liste!#REF!,"AAAAAH+977c=")</f>
        <v>#REF!</v>
      </c>
      <c r="GC134" t="e">
        <f>AND(Liste!#REF!,"AAAAAH+977g=")</f>
        <v>#REF!</v>
      </c>
      <c r="GD134" t="e">
        <f>AND(Liste!#REF!,"AAAAAH+977k=")</f>
        <v>#REF!</v>
      </c>
      <c r="GE134" t="e">
        <f>AND(Liste!#REF!,"AAAAAH+977o=")</f>
        <v>#REF!</v>
      </c>
      <c r="GF134" t="e">
        <f>AND(Liste!#REF!,"AAAAAH+977s=")</f>
        <v>#REF!</v>
      </c>
      <c r="GG134" t="e">
        <f>AND(Liste!#REF!,"AAAAAH+977w=")</f>
        <v>#REF!</v>
      </c>
      <c r="GH134" t="e">
        <f>AND(Liste!#REF!,"AAAAAH+9770=")</f>
        <v>#REF!</v>
      </c>
      <c r="GI134" t="e">
        <f>AND(Liste!#REF!,"AAAAAH+9774=")</f>
        <v>#REF!</v>
      </c>
      <c r="GJ134" t="e">
        <f>AND(Liste!#REF!,"AAAAAH+9778=")</f>
        <v>#REF!</v>
      </c>
      <c r="GK134" t="e">
        <f>AND(Liste!#REF!,"AAAAAH+978A=")</f>
        <v>#REF!</v>
      </c>
      <c r="GL134" t="e">
        <f>AND(Liste!#REF!,"AAAAAH+978E=")</f>
        <v>#REF!</v>
      </c>
      <c r="GM134" t="e">
        <f>AND(Liste!#REF!,"AAAAAH+978I=")</f>
        <v>#REF!</v>
      </c>
      <c r="GN134" t="e">
        <f>AND(Liste!#REF!,"AAAAAH+978M=")</f>
        <v>#REF!</v>
      </c>
      <c r="GO134" t="e">
        <f>AND(Liste!#REF!,"AAAAAH+978Q=")</f>
        <v>#REF!</v>
      </c>
      <c r="GP134" t="e">
        <f>AND(Liste!#REF!,"AAAAAH+978U=")</f>
        <v>#REF!</v>
      </c>
      <c r="GQ134" t="e">
        <f>AND(Liste!#REF!,"AAAAAH+978Y=")</f>
        <v>#REF!</v>
      </c>
      <c r="GR134" t="e">
        <f>AND(Liste!#REF!,"AAAAAH+978c=")</f>
        <v>#REF!</v>
      </c>
      <c r="GS134" t="e">
        <f>AND(Liste!#REF!,"AAAAAH+978g=")</f>
        <v>#REF!</v>
      </c>
      <c r="GT134" t="e">
        <f>AND(Liste!#REF!,"AAAAAH+978k=")</f>
        <v>#REF!</v>
      </c>
      <c r="GU134" t="e">
        <f>AND(Liste!#REF!,"AAAAAH+978o=")</f>
        <v>#REF!</v>
      </c>
      <c r="GV134" t="e">
        <f>AND(Liste!#REF!,"AAAAAH+978s=")</f>
        <v>#REF!</v>
      </c>
      <c r="GW134" t="e">
        <f>AND(Liste!#REF!,"AAAAAH+978w=")</f>
        <v>#REF!</v>
      </c>
      <c r="GX134" t="e">
        <f>AND(Liste!#REF!,"AAAAAH+9780=")</f>
        <v>#REF!</v>
      </c>
      <c r="GY134" t="e">
        <f>AND(Liste!#REF!,"AAAAAH+9784=")</f>
        <v>#REF!</v>
      </c>
      <c r="GZ134" t="e">
        <f>IF(Liste!#REF!,"AAAAAH+9788=",0)</f>
        <v>#REF!</v>
      </c>
      <c r="HA134" t="e">
        <f>AND(Liste!#REF!,"AAAAAH+979A=")</f>
        <v>#REF!</v>
      </c>
      <c r="HB134" t="e">
        <f>AND(Liste!#REF!,"AAAAAH+979E=")</f>
        <v>#REF!</v>
      </c>
      <c r="HC134" t="e">
        <f>AND(Liste!#REF!,"AAAAAH+979I=")</f>
        <v>#REF!</v>
      </c>
      <c r="HD134" t="e">
        <f>AND(Liste!#REF!,"AAAAAH+979M=")</f>
        <v>#REF!</v>
      </c>
      <c r="HE134" t="e">
        <f>AND(Liste!#REF!,"AAAAAH+979Q=")</f>
        <v>#REF!</v>
      </c>
      <c r="HF134" t="e">
        <f>AND(Liste!#REF!,"AAAAAH+979U=")</f>
        <v>#REF!</v>
      </c>
      <c r="HG134" t="e">
        <f>AND(Liste!#REF!,"AAAAAH+979Y=")</f>
        <v>#REF!</v>
      </c>
      <c r="HH134" t="e">
        <f>AND(Liste!#REF!,"AAAAAH+979c=")</f>
        <v>#REF!</v>
      </c>
      <c r="HI134" t="e">
        <f>AND(Liste!#REF!,"AAAAAH+979g=")</f>
        <v>#REF!</v>
      </c>
      <c r="HJ134" t="e">
        <f>AND(Liste!#REF!,"AAAAAH+979k=")</f>
        <v>#REF!</v>
      </c>
      <c r="HK134" t="e">
        <f>AND(Liste!#REF!,"AAAAAH+979o=")</f>
        <v>#REF!</v>
      </c>
      <c r="HL134" t="e">
        <f>AND(Liste!#REF!,"AAAAAH+979s=")</f>
        <v>#REF!</v>
      </c>
      <c r="HM134" t="e">
        <f>AND(Liste!#REF!,"AAAAAH+979w=")</f>
        <v>#REF!</v>
      </c>
      <c r="HN134" t="e">
        <f>AND(Liste!#REF!,"AAAAAH+9790=")</f>
        <v>#REF!</v>
      </c>
      <c r="HO134" t="e">
        <f>AND(Liste!#REF!,"AAAAAH+9794=")</f>
        <v>#REF!</v>
      </c>
      <c r="HP134" t="e">
        <f>AND(Liste!#REF!,"AAAAAH+9798=")</f>
        <v>#REF!</v>
      </c>
      <c r="HQ134" t="e">
        <f>AND(Liste!#REF!,"AAAAAH+97+A=")</f>
        <v>#REF!</v>
      </c>
      <c r="HR134" t="e">
        <f>AND(Liste!#REF!,"AAAAAH+97+E=")</f>
        <v>#REF!</v>
      </c>
      <c r="HS134" t="e">
        <f>AND(Liste!#REF!,"AAAAAH+97+I=")</f>
        <v>#REF!</v>
      </c>
      <c r="HT134" t="e">
        <f>AND(Liste!#REF!,"AAAAAH+97+M=")</f>
        <v>#REF!</v>
      </c>
      <c r="HU134" t="e">
        <f>AND(Liste!#REF!,"AAAAAH+97+Q=")</f>
        <v>#REF!</v>
      </c>
      <c r="HV134" t="e">
        <f>AND(Liste!#REF!,"AAAAAH+97+U=")</f>
        <v>#REF!</v>
      </c>
      <c r="HW134" t="e">
        <f>AND(Liste!#REF!,"AAAAAH+97+Y=")</f>
        <v>#REF!</v>
      </c>
      <c r="HX134" t="e">
        <f>AND(Liste!#REF!,"AAAAAH+97+c=")</f>
        <v>#REF!</v>
      </c>
      <c r="HY134" t="e">
        <f>AND(Liste!#REF!,"AAAAAH+97+g=")</f>
        <v>#REF!</v>
      </c>
      <c r="HZ134" t="e">
        <f>AND(Liste!#REF!,"AAAAAH+97+k=")</f>
        <v>#REF!</v>
      </c>
      <c r="IA134" t="e">
        <f>AND(Liste!#REF!,"AAAAAH+97+o=")</f>
        <v>#REF!</v>
      </c>
      <c r="IB134" t="e">
        <f>AND(Liste!#REF!,"AAAAAH+97+s=")</f>
        <v>#REF!</v>
      </c>
      <c r="IC134" t="e">
        <f>AND(Liste!#REF!,"AAAAAH+97+w=")</f>
        <v>#REF!</v>
      </c>
      <c r="ID134" t="e">
        <f>AND(Liste!#REF!,"AAAAAH+97+0=")</f>
        <v>#REF!</v>
      </c>
      <c r="IE134" t="e">
        <f>IF(Liste!#REF!,"AAAAAH+97+4=",0)</f>
        <v>#REF!</v>
      </c>
      <c r="IF134" t="e">
        <f>AND(Liste!#REF!,"AAAAAH+97+8=")</f>
        <v>#REF!</v>
      </c>
      <c r="IG134" t="e">
        <f>AND(Liste!#REF!,"AAAAAH+97/A=")</f>
        <v>#REF!</v>
      </c>
      <c r="IH134" t="e">
        <f>AND(Liste!#REF!,"AAAAAH+97/E=")</f>
        <v>#REF!</v>
      </c>
      <c r="II134" t="e">
        <f>AND(Liste!#REF!,"AAAAAH+97/I=")</f>
        <v>#REF!</v>
      </c>
      <c r="IJ134" t="e">
        <f>AND(Liste!#REF!,"AAAAAH+97/M=")</f>
        <v>#REF!</v>
      </c>
      <c r="IK134" t="e">
        <f>AND(Liste!#REF!,"AAAAAH+97/Q=")</f>
        <v>#REF!</v>
      </c>
      <c r="IL134" t="e">
        <f>AND(Liste!#REF!,"AAAAAH+97/U=")</f>
        <v>#REF!</v>
      </c>
      <c r="IM134" t="e">
        <f>AND(Liste!#REF!,"AAAAAH+97/Y=")</f>
        <v>#REF!</v>
      </c>
      <c r="IN134" t="e">
        <f>AND(Liste!#REF!,"AAAAAH+97/c=")</f>
        <v>#REF!</v>
      </c>
      <c r="IO134" t="e">
        <f>AND(Liste!#REF!,"AAAAAH+97/g=")</f>
        <v>#REF!</v>
      </c>
      <c r="IP134" t="e">
        <f>AND(Liste!#REF!,"AAAAAH+97/k=")</f>
        <v>#REF!</v>
      </c>
      <c r="IQ134" t="e">
        <f>AND(Liste!#REF!,"AAAAAH+97/o=")</f>
        <v>#REF!</v>
      </c>
      <c r="IR134" t="e">
        <f>AND(Liste!#REF!,"AAAAAH+97/s=")</f>
        <v>#REF!</v>
      </c>
      <c r="IS134" t="e">
        <f>AND(Liste!#REF!,"AAAAAH+97/w=")</f>
        <v>#REF!</v>
      </c>
      <c r="IT134" t="e">
        <f>AND(Liste!#REF!,"AAAAAH+97/0=")</f>
        <v>#REF!</v>
      </c>
      <c r="IU134" t="e">
        <f>AND(Liste!#REF!,"AAAAAH+97/4=")</f>
        <v>#REF!</v>
      </c>
      <c r="IV134" t="e">
        <f>AND(Liste!#REF!,"AAAAAH+97/8=")</f>
        <v>#REF!</v>
      </c>
    </row>
    <row r="135" spans="1:256" x14ac:dyDescent="0.2">
      <c r="A135" t="e">
        <f>AND(Liste!#REF!,"AAAAAH3/6wA=")</f>
        <v>#REF!</v>
      </c>
      <c r="B135" t="e">
        <f>AND(Liste!#REF!,"AAAAAH3/6wE=")</f>
        <v>#REF!</v>
      </c>
      <c r="C135" t="e">
        <f>AND(Liste!#REF!,"AAAAAH3/6wI=")</f>
        <v>#REF!</v>
      </c>
      <c r="D135" t="e">
        <f>AND(Liste!#REF!,"AAAAAH3/6wM=")</f>
        <v>#REF!</v>
      </c>
      <c r="E135" t="e">
        <f>AND(Liste!#REF!,"AAAAAH3/6wQ=")</f>
        <v>#REF!</v>
      </c>
      <c r="F135" t="e">
        <f>AND(Liste!#REF!,"AAAAAH3/6wU=")</f>
        <v>#REF!</v>
      </c>
      <c r="G135" t="e">
        <f>AND(Liste!#REF!,"AAAAAH3/6wY=")</f>
        <v>#REF!</v>
      </c>
      <c r="H135" t="e">
        <f>AND(Liste!#REF!,"AAAAAH3/6wc=")</f>
        <v>#REF!</v>
      </c>
      <c r="I135" t="e">
        <f>AND(Liste!#REF!,"AAAAAH3/6wg=")</f>
        <v>#REF!</v>
      </c>
      <c r="J135" t="e">
        <f>AND(Liste!#REF!,"AAAAAH3/6wk=")</f>
        <v>#REF!</v>
      </c>
      <c r="K135" t="e">
        <f>AND(Liste!#REF!,"AAAAAH3/6wo=")</f>
        <v>#REF!</v>
      </c>
      <c r="L135" t="e">
        <f>AND(Liste!#REF!,"AAAAAH3/6ws=")</f>
        <v>#REF!</v>
      </c>
      <c r="M135" t="e">
        <f>AND(Liste!#REF!,"AAAAAH3/6ww=")</f>
        <v>#REF!</v>
      </c>
      <c r="N135" t="e">
        <f>IF(Liste!#REF!,"AAAAAH3/6w0=",0)</f>
        <v>#REF!</v>
      </c>
      <c r="O135" t="e">
        <f>AND(Liste!#REF!,"AAAAAH3/6w4=")</f>
        <v>#REF!</v>
      </c>
      <c r="P135" t="e">
        <f>AND(Liste!#REF!,"AAAAAH3/6w8=")</f>
        <v>#REF!</v>
      </c>
      <c r="Q135" t="e">
        <f>AND(Liste!#REF!,"AAAAAH3/6xA=")</f>
        <v>#REF!</v>
      </c>
      <c r="R135" t="e">
        <f>AND(Liste!#REF!,"AAAAAH3/6xE=")</f>
        <v>#REF!</v>
      </c>
      <c r="S135" t="e">
        <f>AND(Liste!#REF!,"AAAAAH3/6xI=")</f>
        <v>#REF!</v>
      </c>
      <c r="T135" t="e">
        <f>AND(Liste!#REF!,"AAAAAH3/6xM=")</f>
        <v>#REF!</v>
      </c>
      <c r="U135" t="e">
        <f>AND(Liste!#REF!,"AAAAAH3/6xQ=")</f>
        <v>#REF!</v>
      </c>
      <c r="V135" t="e">
        <f>AND(Liste!#REF!,"AAAAAH3/6xU=")</f>
        <v>#REF!</v>
      </c>
      <c r="W135" t="e">
        <f>AND(Liste!#REF!,"AAAAAH3/6xY=")</f>
        <v>#REF!</v>
      </c>
      <c r="X135" t="e">
        <f>AND(Liste!#REF!,"AAAAAH3/6xc=")</f>
        <v>#REF!</v>
      </c>
      <c r="Y135" t="e">
        <f>AND(Liste!#REF!,"AAAAAH3/6xg=")</f>
        <v>#REF!</v>
      </c>
      <c r="Z135" t="e">
        <f>AND(Liste!#REF!,"AAAAAH3/6xk=")</f>
        <v>#REF!</v>
      </c>
      <c r="AA135" t="e">
        <f>AND(Liste!#REF!,"AAAAAH3/6xo=")</f>
        <v>#REF!</v>
      </c>
      <c r="AB135" t="e">
        <f>AND(Liste!#REF!,"AAAAAH3/6xs=")</f>
        <v>#REF!</v>
      </c>
      <c r="AC135" t="e">
        <f>AND(Liste!#REF!,"AAAAAH3/6xw=")</f>
        <v>#REF!</v>
      </c>
      <c r="AD135" t="e">
        <f>AND(Liste!#REF!,"AAAAAH3/6x0=")</f>
        <v>#REF!</v>
      </c>
      <c r="AE135" t="e">
        <f>AND(Liste!#REF!,"AAAAAH3/6x4=")</f>
        <v>#REF!</v>
      </c>
      <c r="AF135" t="e">
        <f>AND(Liste!#REF!,"AAAAAH3/6x8=")</f>
        <v>#REF!</v>
      </c>
      <c r="AG135" t="e">
        <f>AND(Liste!#REF!,"AAAAAH3/6yA=")</f>
        <v>#REF!</v>
      </c>
      <c r="AH135" t="e">
        <f>AND(Liste!#REF!,"AAAAAH3/6yE=")</f>
        <v>#REF!</v>
      </c>
      <c r="AI135" t="e">
        <f>AND(Liste!#REF!,"AAAAAH3/6yI=")</f>
        <v>#REF!</v>
      </c>
      <c r="AJ135" t="e">
        <f>AND(Liste!#REF!,"AAAAAH3/6yM=")</f>
        <v>#REF!</v>
      </c>
      <c r="AK135" t="e">
        <f>AND(Liste!#REF!,"AAAAAH3/6yQ=")</f>
        <v>#REF!</v>
      </c>
      <c r="AL135" t="e">
        <f>AND(Liste!#REF!,"AAAAAH3/6yU=")</f>
        <v>#REF!</v>
      </c>
      <c r="AM135" t="e">
        <f>AND(Liste!#REF!,"AAAAAH3/6yY=")</f>
        <v>#REF!</v>
      </c>
      <c r="AN135" t="e">
        <f>AND(Liste!#REF!,"AAAAAH3/6yc=")</f>
        <v>#REF!</v>
      </c>
      <c r="AO135" t="e">
        <f>AND(Liste!#REF!,"AAAAAH3/6yg=")</f>
        <v>#REF!</v>
      </c>
      <c r="AP135" t="e">
        <f>AND(Liste!#REF!,"AAAAAH3/6yk=")</f>
        <v>#REF!</v>
      </c>
      <c r="AQ135" t="e">
        <f>AND(Liste!#REF!,"AAAAAH3/6yo=")</f>
        <v>#REF!</v>
      </c>
      <c r="AR135" t="e">
        <f>AND(Liste!#REF!,"AAAAAH3/6ys=")</f>
        <v>#REF!</v>
      </c>
      <c r="AS135" t="e">
        <f>IF(Liste!#REF!,"AAAAAH3/6yw=",0)</f>
        <v>#REF!</v>
      </c>
      <c r="AT135" t="e">
        <f>AND(Liste!#REF!,"AAAAAH3/6y0=")</f>
        <v>#REF!</v>
      </c>
      <c r="AU135" t="e">
        <f>AND(Liste!#REF!,"AAAAAH3/6y4=")</f>
        <v>#REF!</v>
      </c>
      <c r="AV135" t="e">
        <f>AND(Liste!#REF!,"AAAAAH3/6y8=")</f>
        <v>#REF!</v>
      </c>
      <c r="AW135" t="e">
        <f>AND(Liste!#REF!,"AAAAAH3/6zA=")</f>
        <v>#REF!</v>
      </c>
      <c r="AX135" t="e">
        <f>AND(Liste!#REF!,"AAAAAH3/6zE=")</f>
        <v>#REF!</v>
      </c>
      <c r="AY135" t="e">
        <f>AND(Liste!#REF!,"AAAAAH3/6zI=")</f>
        <v>#REF!</v>
      </c>
      <c r="AZ135" t="e">
        <f>AND(Liste!#REF!,"AAAAAH3/6zM=")</f>
        <v>#REF!</v>
      </c>
      <c r="BA135" t="e">
        <f>AND(Liste!#REF!,"AAAAAH3/6zQ=")</f>
        <v>#REF!</v>
      </c>
      <c r="BB135" t="e">
        <f>AND(Liste!#REF!,"AAAAAH3/6zU=")</f>
        <v>#REF!</v>
      </c>
      <c r="BC135" t="e">
        <f>AND(Liste!#REF!,"AAAAAH3/6zY=")</f>
        <v>#REF!</v>
      </c>
      <c r="BD135" t="e">
        <f>AND(Liste!#REF!,"AAAAAH3/6zc=")</f>
        <v>#REF!</v>
      </c>
      <c r="BE135" t="e">
        <f>AND(Liste!#REF!,"AAAAAH3/6zg=")</f>
        <v>#REF!</v>
      </c>
      <c r="BF135" t="e">
        <f>AND(Liste!#REF!,"AAAAAH3/6zk=")</f>
        <v>#REF!</v>
      </c>
      <c r="BG135" t="e">
        <f>AND(Liste!#REF!,"AAAAAH3/6zo=")</f>
        <v>#REF!</v>
      </c>
      <c r="BH135" t="e">
        <f>AND(Liste!#REF!,"AAAAAH3/6zs=")</f>
        <v>#REF!</v>
      </c>
      <c r="BI135" t="e">
        <f>AND(Liste!#REF!,"AAAAAH3/6zw=")</f>
        <v>#REF!</v>
      </c>
      <c r="BJ135" t="e">
        <f>AND(Liste!#REF!,"AAAAAH3/6z0=")</f>
        <v>#REF!</v>
      </c>
      <c r="BK135" t="e">
        <f>AND(Liste!#REF!,"AAAAAH3/6z4=")</f>
        <v>#REF!</v>
      </c>
      <c r="BL135" t="e">
        <f>AND(Liste!#REF!,"AAAAAH3/6z8=")</f>
        <v>#REF!</v>
      </c>
      <c r="BM135" t="e">
        <f>AND(Liste!#REF!,"AAAAAH3/60A=")</f>
        <v>#REF!</v>
      </c>
      <c r="BN135" t="e">
        <f>AND(Liste!#REF!,"AAAAAH3/60E=")</f>
        <v>#REF!</v>
      </c>
      <c r="BO135" t="e">
        <f>AND(Liste!#REF!,"AAAAAH3/60I=")</f>
        <v>#REF!</v>
      </c>
      <c r="BP135" t="e">
        <f>AND(Liste!#REF!,"AAAAAH3/60M=")</f>
        <v>#REF!</v>
      </c>
      <c r="BQ135" t="e">
        <f>AND(Liste!#REF!,"AAAAAH3/60Q=")</f>
        <v>#REF!</v>
      </c>
      <c r="BR135" t="e">
        <f>AND(Liste!#REF!,"AAAAAH3/60U=")</f>
        <v>#REF!</v>
      </c>
      <c r="BS135" t="e">
        <f>AND(Liste!#REF!,"AAAAAH3/60Y=")</f>
        <v>#REF!</v>
      </c>
      <c r="BT135" t="e">
        <f>AND(Liste!#REF!,"AAAAAH3/60c=")</f>
        <v>#REF!</v>
      </c>
      <c r="BU135" t="e">
        <f>AND(Liste!#REF!,"AAAAAH3/60g=")</f>
        <v>#REF!</v>
      </c>
      <c r="BV135" t="e">
        <f>AND(Liste!#REF!,"AAAAAH3/60k=")</f>
        <v>#REF!</v>
      </c>
      <c r="BW135" t="e">
        <f>AND(Liste!#REF!,"AAAAAH3/60o=")</f>
        <v>#REF!</v>
      </c>
      <c r="BX135" t="e">
        <f>IF(Liste!#REF!,"AAAAAH3/60s=",0)</f>
        <v>#REF!</v>
      </c>
      <c r="BY135" t="e">
        <f>AND(Liste!#REF!,"AAAAAH3/60w=")</f>
        <v>#REF!</v>
      </c>
      <c r="BZ135" t="e">
        <f>AND(Liste!#REF!,"AAAAAH3/600=")</f>
        <v>#REF!</v>
      </c>
      <c r="CA135" t="e">
        <f>AND(Liste!#REF!,"AAAAAH3/604=")</f>
        <v>#REF!</v>
      </c>
      <c r="CB135" t="e">
        <f>AND(Liste!#REF!,"AAAAAH3/608=")</f>
        <v>#REF!</v>
      </c>
      <c r="CC135" t="e">
        <f>AND(Liste!#REF!,"AAAAAH3/61A=")</f>
        <v>#REF!</v>
      </c>
      <c r="CD135" t="e">
        <f>AND(Liste!#REF!,"AAAAAH3/61E=")</f>
        <v>#REF!</v>
      </c>
      <c r="CE135" t="e">
        <f>AND(Liste!#REF!,"AAAAAH3/61I=")</f>
        <v>#REF!</v>
      </c>
      <c r="CF135" t="e">
        <f>AND(Liste!#REF!,"AAAAAH3/61M=")</f>
        <v>#REF!</v>
      </c>
      <c r="CG135" t="e">
        <f>AND(Liste!#REF!,"AAAAAH3/61Q=")</f>
        <v>#REF!</v>
      </c>
      <c r="CH135" t="e">
        <f>AND(Liste!#REF!,"AAAAAH3/61U=")</f>
        <v>#REF!</v>
      </c>
      <c r="CI135" t="e">
        <f>AND(Liste!#REF!,"AAAAAH3/61Y=")</f>
        <v>#REF!</v>
      </c>
      <c r="CJ135" t="e">
        <f>AND(Liste!#REF!,"AAAAAH3/61c=")</f>
        <v>#REF!</v>
      </c>
      <c r="CK135" t="e">
        <f>AND(Liste!#REF!,"AAAAAH3/61g=")</f>
        <v>#REF!</v>
      </c>
      <c r="CL135" t="e">
        <f>AND(Liste!#REF!,"AAAAAH3/61k=")</f>
        <v>#REF!</v>
      </c>
      <c r="CM135" t="e">
        <f>AND(Liste!#REF!,"AAAAAH3/61o=")</f>
        <v>#REF!</v>
      </c>
      <c r="CN135" t="e">
        <f>AND(Liste!#REF!,"AAAAAH3/61s=")</f>
        <v>#REF!</v>
      </c>
      <c r="CO135" t="e">
        <f>AND(Liste!#REF!,"AAAAAH3/61w=")</f>
        <v>#REF!</v>
      </c>
      <c r="CP135" t="e">
        <f>AND(Liste!#REF!,"AAAAAH3/610=")</f>
        <v>#REF!</v>
      </c>
      <c r="CQ135" t="e">
        <f>AND(Liste!#REF!,"AAAAAH3/614=")</f>
        <v>#REF!</v>
      </c>
      <c r="CR135" t="e">
        <f>AND(Liste!#REF!,"AAAAAH3/618=")</f>
        <v>#REF!</v>
      </c>
      <c r="CS135" t="e">
        <f>AND(Liste!#REF!,"AAAAAH3/62A=")</f>
        <v>#REF!</v>
      </c>
      <c r="CT135" t="e">
        <f>AND(Liste!#REF!,"AAAAAH3/62E=")</f>
        <v>#REF!</v>
      </c>
      <c r="CU135" t="e">
        <f>AND(Liste!#REF!,"AAAAAH3/62I=")</f>
        <v>#REF!</v>
      </c>
      <c r="CV135" t="e">
        <f>AND(Liste!#REF!,"AAAAAH3/62M=")</f>
        <v>#REF!</v>
      </c>
      <c r="CW135" t="e">
        <f>AND(Liste!#REF!,"AAAAAH3/62Q=")</f>
        <v>#REF!</v>
      </c>
      <c r="CX135" t="e">
        <f>AND(Liste!#REF!,"AAAAAH3/62U=")</f>
        <v>#REF!</v>
      </c>
      <c r="CY135" t="e">
        <f>AND(Liste!#REF!,"AAAAAH3/62Y=")</f>
        <v>#REF!</v>
      </c>
      <c r="CZ135" t="e">
        <f>AND(Liste!#REF!,"AAAAAH3/62c=")</f>
        <v>#REF!</v>
      </c>
      <c r="DA135" t="e">
        <f>AND(Liste!#REF!,"AAAAAH3/62g=")</f>
        <v>#REF!</v>
      </c>
      <c r="DB135" t="e">
        <f>AND(Liste!#REF!,"AAAAAH3/62k=")</f>
        <v>#REF!</v>
      </c>
      <c r="DC135" t="e">
        <f>IF(Liste!#REF!,"AAAAAH3/62o=",0)</f>
        <v>#REF!</v>
      </c>
      <c r="DD135" t="e">
        <f>AND(Liste!#REF!,"AAAAAH3/62s=")</f>
        <v>#REF!</v>
      </c>
      <c r="DE135" t="e">
        <f>AND(Liste!#REF!,"AAAAAH3/62w=")</f>
        <v>#REF!</v>
      </c>
      <c r="DF135" t="e">
        <f>AND(Liste!#REF!,"AAAAAH3/620=")</f>
        <v>#REF!</v>
      </c>
      <c r="DG135" t="e">
        <f>AND(Liste!#REF!,"AAAAAH3/624=")</f>
        <v>#REF!</v>
      </c>
      <c r="DH135" t="e">
        <f>AND(Liste!#REF!,"AAAAAH3/628=")</f>
        <v>#REF!</v>
      </c>
      <c r="DI135" t="e">
        <f>AND(Liste!#REF!,"AAAAAH3/63A=")</f>
        <v>#REF!</v>
      </c>
      <c r="DJ135" t="e">
        <f>AND(Liste!#REF!,"AAAAAH3/63E=")</f>
        <v>#REF!</v>
      </c>
      <c r="DK135" t="e">
        <f>AND(Liste!#REF!,"AAAAAH3/63I=")</f>
        <v>#REF!</v>
      </c>
      <c r="DL135" t="e">
        <f>AND(Liste!#REF!,"AAAAAH3/63M=")</f>
        <v>#REF!</v>
      </c>
      <c r="DM135" t="e">
        <f>AND(Liste!#REF!,"AAAAAH3/63Q=")</f>
        <v>#REF!</v>
      </c>
      <c r="DN135" t="e">
        <f>AND(Liste!#REF!,"AAAAAH3/63U=")</f>
        <v>#REF!</v>
      </c>
      <c r="DO135" t="e">
        <f>AND(Liste!#REF!,"AAAAAH3/63Y=")</f>
        <v>#REF!</v>
      </c>
      <c r="DP135" t="e">
        <f>AND(Liste!#REF!,"AAAAAH3/63c=")</f>
        <v>#REF!</v>
      </c>
      <c r="DQ135" t="e">
        <f>AND(Liste!#REF!,"AAAAAH3/63g=")</f>
        <v>#REF!</v>
      </c>
      <c r="DR135" t="e">
        <f>AND(Liste!#REF!,"AAAAAH3/63k=")</f>
        <v>#REF!</v>
      </c>
      <c r="DS135" t="e">
        <f>AND(Liste!#REF!,"AAAAAH3/63o=")</f>
        <v>#REF!</v>
      </c>
      <c r="DT135" t="e">
        <f>AND(Liste!#REF!,"AAAAAH3/63s=")</f>
        <v>#REF!</v>
      </c>
      <c r="DU135" t="e">
        <f>AND(Liste!#REF!,"AAAAAH3/63w=")</f>
        <v>#REF!</v>
      </c>
      <c r="DV135" t="e">
        <f>AND(Liste!#REF!,"AAAAAH3/630=")</f>
        <v>#REF!</v>
      </c>
      <c r="DW135" t="e">
        <f>AND(Liste!#REF!,"AAAAAH3/634=")</f>
        <v>#REF!</v>
      </c>
      <c r="DX135" t="e">
        <f>AND(Liste!#REF!,"AAAAAH3/638=")</f>
        <v>#REF!</v>
      </c>
      <c r="DY135" t="e">
        <f>AND(Liste!#REF!,"AAAAAH3/64A=")</f>
        <v>#REF!</v>
      </c>
      <c r="DZ135" t="e">
        <f>AND(Liste!#REF!,"AAAAAH3/64E=")</f>
        <v>#REF!</v>
      </c>
      <c r="EA135" t="e">
        <f>AND(Liste!#REF!,"AAAAAH3/64I=")</f>
        <v>#REF!</v>
      </c>
      <c r="EB135" t="e">
        <f>AND(Liste!#REF!,"AAAAAH3/64M=")</f>
        <v>#REF!</v>
      </c>
      <c r="EC135" t="e">
        <f>AND(Liste!#REF!,"AAAAAH3/64Q=")</f>
        <v>#REF!</v>
      </c>
      <c r="ED135" t="e">
        <f>AND(Liste!#REF!,"AAAAAH3/64U=")</f>
        <v>#REF!</v>
      </c>
      <c r="EE135" t="e">
        <f>AND(Liste!#REF!,"AAAAAH3/64Y=")</f>
        <v>#REF!</v>
      </c>
      <c r="EF135" t="e">
        <f>AND(Liste!#REF!,"AAAAAH3/64c=")</f>
        <v>#REF!</v>
      </c>
      <c r="EG135" t="e">
        <f>AND(Liste!#REF!,"AAAAAH3/64g=")</f>
        <v>#REF!</v>
      </c>
      <c r="EH135" t="e">
        <f>IF(Liste!#REF!,"AAAAAH3/64k=",0)</f>
        <v>#REF!</v>
      </c>
      <c r="EI135" t="e">
        <f>AND(Liste!#REF!,"AAAAAH3/64o=")</f>
        <v>#REF!</v>
      </c>
      <c r="EJ135" t="e">
        <f>AND(Liste!#REF!,"AAAAAH3/64s=")</f>
        <v>#REF!</v>
      </c>
      <c r="EK135" t="e">
        <f>AND(Liste!#REF!,"AAAAAH3/64w=")</f>
        <v>#REF!</v>
      </c>
      <c r="EL135" t="e">
        <f>AND(Liste!#REF!,"AAAAAH3/640=")</f>
        <v>#REF!</v>
      </c>
      <c r="EM135" t="e">
        <f>AND(Liste!#REF!,"AAAAAH3/644=")</f>
        <v>#REF!</v>
      </c>
      <c r="EN135" t="e">
        <f>AND(Liste!#REF!,"AAAAAH3/648=")</f>
        <v>#REF!</v>
      </c>
      <c r="EO135" t="e">
        <f>AND(Liste!#REF!,"AAAAAH3/65A=")</f>
        <v>#REF!</v>
      </c>
      <c r="EP135" t="e">
        <f>AND(Liste!#REF!,"AAAAAH3/65E=")</f>
        <v>#REF!</v>
      </c>
      <c r="EQ135" t="e">
        <f>AND(Liste!#REF!,"AAAAAH3/65I=")</f>
        <v>#REF!</v>
      </c>
      <c r="ER135" t="e">
        <f>AND(Liste!#REF!,"AAAAAH3/65M=")</f>
        <v>#REF!</v>
      </c>
      <c r="ES135" t="e">
        <f>AND(Liste!#REF!,"AAAAAH3/65Q=")</f>
        <v>#REF!</v>
      </c>
      <c r="ET135" t="e">
        <f>AND(Liste!#REF!,"AAAAAH3/65U=")</f>
        <v>#REF!</v>
      </c>
      <c r="EU135" t="e">
        <f>AND(Liste!#REF!,"AAAAAH3/65Y=")</f>
        <v>#REF!</v>
      </c>
      <c r="EV135" t="e">
        <f>AND(Liste!#REF!,"AAAAAH3/65c=")</f>
        <v>#REF!</v>
      </c>
      <c r="EW135" t="e">
        <f>AND(Liste!#REF!,"AAAAAH3/65g=")</f>
        <v>#REF!</v>
      </c>
      <c r="EX135" t="e">
        <f>AND(Liste!#REF!,"AAAAAH3/65k=")</f>
        <v>#REF!</v>
      </c>
      <c r="EY135" t="e">
        <f>AND(Liste!#REF!,"AAAAAH3/65o=")</f>
        <v>#REF!</v>
      </c>
      <c r="EZ135" t="e">
        <f>AND(Liste!#REF!,"AAAAAH3/65s=")</f>
        <v>#REF!</v>
      </c>
      <c r="FA135" t="e">
        <f>AND(Liste!#REF!,"AAAAAH3/65w=")</f>
        <v>#REF!</v>
      </c>
      <c r="FB135" t="e">
        <f>AND(Liste!#REF!,"AAAAAH3/650=")</f>
        <v>#REF!</v>
      </c>
      <c r="FC135" t="e">
        <f>AND(Liste!#REF!,"AAAAAH3/654=")</f>
        <v>#REF!</v>
      </c>
      <c r="FD135" t="e">
        <f>AND(Liste!#REF!,"AAAAAH3/658=")</f>
        <v>#REF!</v>
      </c>
      <c r="FE135" t="e">
        <f>AND(Liste!#REF!,"AAAAAH3/66A=")</f>
        <v>#REF!</v>
      </c>
      <c r="FF135" t="e">
        <f>AND(Liste!#REF!,"AAAAAH3/66E=")</f>
        <v>#REF!</v>
      </c>
      <c r="FG135" t="e">
        <f>AND(Liste!#REF!,"AAAAAH3/66I=")</f>
        <v>#REF!</v>
      </c>
      <c r="FH135" t="e">
        <f>AND(Liste!#REF!,"AAAAAH3/66M=")</f>
        <v>#REF!</v>
      </c>
      <c r="FI135" t="e">
        <f>AND(Liste!#REF!,"AAAAAH3/66Q=")</f>
        <v>#REF!</v>
      </c>
      <c r="FJ135" t="e">
        <f>AND(Liste!#REF!,"AAAAAH3/66U=")</f>
        <v>#REF!</v>
      </c>
      <c r="FK135" t="e">
        <f>AND(Liste!#REF!,"AAAAAH3/66Y=")</f>
        <v>#REF!</v>
      </c>
      <c r="FL135" t="e">
        <f>AND(Liste!#REF!,"AAAAAH3/66c=")</f>
        <v>#REF!</v>
      </c>
      <c r="FM135" t="e">
        <f>IF(Liste!#REF!,"AAAAAH3/66g=",0)</f>
        <v>#REF!</v>
      </c>
      <c r="FN135" t="e">
        <f>AND(Liste!#REF!,"AAAAAH3/66k=")</f>
        <v>#REF!</v>
      </c>
      <c r="FO135" t="e">
        <f>AND(Liste!#REF!,"AAAAAH3/66o=")</f>
        <v>#REF!</v>
      </c>
      <c r="FP135" t="e">
        <f>AND(Liste!#REF!,"AAAAAH3/66s=")</f>
        <v>#REF!</v>
      </c>
      <c r="FQ135" t="e">
        <f>AND(Liste!#REF!,"AAAAAH3/66w=")</f>
        <v>#REF!</v>
      </c>
      <c r="FR135" t="e">
        <f>AND(Liste!#REF!,"AAAAAH3/660=")</f>
        <v>#REF!</v>
      </c>
      <c r="FS135" t="e">
        <f>AND(Liste!#REF!,"AAAAAH3/664=")</f>
        <v>#REF!</v>
      </c>
      <c r="FT135" t="e">
        <f>AND(Liste!#REF!,"AAAAAH3/668=")</f>
        <v>#REF!</v>
      </c>
      <c r="FU135" t="e">
        <f>AND(Liste!#REF!,"AAAAAH3/67A=")</f>
        <v>#REF!</v>
      </c>
      <c r="FV135" t="e">
        <f>AND(Liste!#REF!,"AAAAAH3/67E=")</f>
        <v>#REF!</v>
      </c>
      <c r="FW135" t="e">
        <f>AND(Liste!#REF!,"AAAAAH3/67I=")</f>
        <v>#REF!</v>
      </c>
      <c r="FX135" t="e">
        <f>AND(Liste!#REF!,"AAAAAH3/67M=")</f>
        <v>#REF!</v>
      </c>
      <c r="FY135" t="e">
        <f>AND(Liste!#REF!,"AAAAAH3/67Q=")</f>
        <v>#REF!</v>
      </c>
      <c r="FZ135" t="e">
        <f>AND(Liste!#REF!,"AAAAAH3/67U=")</f>
        <v>#REF!</v>
      </c>
      <c r="GA135" t="e">
        <f>AND(Liste!#REF!,"AAAAAH3/67Y=")</f>
        <v>#REF!</v>
      </c>
      <c r="GB135" t="e">
        <f>AND(Liste!#REF!,"AAAAAH3/67c=")</f>
        <v>#REF!</v>
      </c>
      <c r="GC135" t="e">
        <f>AND(Liste!#REF!,"AAAAAH3/67g=")</f>
        <v>#REF!</v>
      </c>
      <c r="GD135" t="e">
        <f>AND(Liste!#REF!,"AAAAAH3/67k=")</f>
        <v>#REF!</v>
      </c>
      <c r="GE135" t="e">
        <f>AND(Liste!#REF!,"AAAAAH3/67o=")</f>
        <v>#REF!</v>
      </c>
      <c r="GF135" t="e">
        <f>AND(Liste!#REF!,"AAAAAH3/67s=")</f>
        <v>#REF!</v>
      </c>
      <c r="GG135" t="e">
        <f>AND(Liste!#REF!,"AAAAAH3/67w=")</f>
        <v>#REF!</v>
      </c>
      <c r="GH135" t="e">
        <f>AND(Liste!#REF!,"AAAAAH3/670=")</f>
        <v>#REF!</v>
      </c>
      <c r="GI135" t="e">
        <f>AND(Liste!#REF!,"AAAAAH3/674=")</f>
        <v>#REF!</v>
      </c>
      <c r="GJ135" t="e">
        <f>AND(Liste!#REF!,"AAAAAH3/678=")</f>
        <v>#REF!</v>
      </c>
      <c r="GK135" t="e">
        <f>AND(Liste!#REF!,"AAAAAH3/68A=")</f>
        <v>#REF!</v>
      </c>
      <c r="GL135" t="e">
        <f>AND(Liste!#REF!,"AAAAAH3/68E=")</f>
        <v>#REF!</v>
      </c>
      <c r="GM135" t="e">
        <f>AND(Liste!#REF!,"AAAAAH3/68I=")</f>
        <v>#REF!</v>
      </c>
      <c r="GN135" t="e">
        <f>AND(Liste!#REF!,"AAAAAH3/68M=")</f>
        <v>#REF!</v>
      </c>
      <c r="GO135" t="e">
        <f>AND(Liste!#REF!,"AAAAAH3/68Q=")</f>
        <v>#REF!</v>
      </c>
      <c r="GP135" t="e">
        <f>AND(Liste!#REF!,"AAAAAH3/68U=")</f>
        <v>#REF!</v>
      </c>
      <c r="GQ135" t="e">
        <f>AND(Liste!#REF!,"AAAAAH3/68Y=")</f>
        <v>#REF!</v>
      </c>
      <c r="GR135" t="e">
        <f>IF(Liste!#REF!,"AAAAAH3/68c=",0)</f>
        <v>#REF!</v>
      </c>
      <c r="GS135" t="e">
        <f>AND(Liste!#REF!,"AAAAAH3/68g=")</f>
        <v>#REF!</v>
      </c>
      <c r="GT135" t="e">
        <f>AND(Liste!#REF!,"AAAAAH3/68k=")</f>
        <v>#REF!</v>
      </c>
      <c r="GU135" t="e">
        <f>AND(Liste!#REF!,"AAAAAH3/68o=")</f>
        <v>#REF!</v>
      </c>
      <c r="GV135" t="e">
        <f>AND(Liste!#REF!,"AAAAAH3/68s=")</f>
        <v>#REF!</v>
      </c>
      <c r="GW135" t="e">
        <f>AND(Liste!#REF!,"AAAAAH3/68w=")</f>
        <v>#REF!</v>
      </c>
      <c r="GX135" t="e">
        <f>AND(Liste!#REF!,"AAAAAH3/680=")</f>
        <v>#REF!</v>
      </c>
      <c r="GY135" t="e">
        <f>AND(Liste!#REF!,"AAAAAH3/684=")</f>
        <v>#REF!</v>
      </c>
      <c r="GZ135" t="e">
        <f>AND(Liste!#REF!,"AAAAAH3/688=")</f>
        <v>#REF!</v>
      </c>
      <c r="HA135" t="e">
        <f>AND(Liste!#REF!,"AAAAAH3/69A=")</f>
        <v>#REF!</v>
      </c>
      <c r="HB135" t="e">
        <f>AND(Liste!#REF!,"AAAAAH3/69E=")</f>
        <v>#REF!</v>
      </c>
      <c r="HC135" t="e">
        <f>AND(Liste!#REF!,"AAAAAH3/69I=")</f>
        <v>#REF!</v>
      </c>
      <c r="HD135" t="e">
        <f>AND(Liste!#REF!,"AAAAAH3/69M=")</f>
        <v>#REF!</v>
      </c>
      <c r="HE135" t="e">
        <f>AND(Liste!#REF!,"AAAAAH3/69Q=")</f>
        <v>#REF!</v>
      </c>
      <c r="HF135" t="e">
        <f>AND(Liste!#REF!,"AAAAAH3/69U=")</f>
        <v>#REF!</v>
      </c>
      <c r="HG135" t="e">
        <f>AND(Liste!#REF!,"AAAAAH3/69Y=")</f>
        <v>#REF!</v>
      </c>
      <c r="HH135" t="e">
        <f>AND(Liste!#REF!,"AAAAAH3/69c=")</f>
        <v>#REF!</v>
      </c>
      <c r="HI135" t="e">
        <f>AND(Liste!#REF!,"AAAAAH3/69g=")</f>
        <v>#REF!</v>
      </c>
      <c r="HJ135" t="e">
        <f>AND(Liste!#REF!,"AAAAAH3/69k=")</f>
        <v>#REF!</v>
      </c>
      <c r="HK135" t="e">
        <f>AND(Liste!#REF!,"AAAAAH3/69o=")</f>
        <v>#REF!</v>
      </c>
      <c r="HL135" t="e">
        <f>AND(Liste!#REF!,"AAAAAH3/69s=")</f>
        <v>#REF!</v>
      </c>
      <c r="HM135" t="e">
        <f>AND(Liste!#REF!,"AAAAAH3/69w=")</f>
        <v>#REF!</v>
      </c>
      <c r="HN135" t="e">
        <f>AND(Liste!#REF!,"AAAAAH3/690=")</f>
        <v>#REF!</v>
      </c>
      <c r="HO135" t="e">
        <f>AND(Liste!#REF!,"AAAAAH3/694=")</f>
        <v>#REF!</v>
      </c>
      <c r="HP135" t="e">
        <f>AND(Liste!#REF!,"AAAAAH3/698=")</f>
        <v>#REF!</v>
      </c>
      <c r="HQ135" t="e">
        <f>AND(Liste!#REF!,"AAAAAH3/6+A=")</f>
        <v>#REF!</v>
      </c>
      <c r="HR135" t="e">
        <f>AND(Liste!#REF!,"AAAAAH3/6+E=")</f>
        <v>#REF!</v>
      </c>
      <c r="HS135" t="e">
        <f>AND(Liste!#REF!,"AAAAAH3/6+I=")</f>
        <v>#REF!</v>
      </c>
      <c r="HT135" t="e">
        <f>AND(Liste!#REF!,"AAAAAH3/6+M=")</f>
        <v>#REF!</v>
      </c>
      <c r="HU135" t="e">
        <f>AND(Liste!#REF!,"AAAAAH3/6+Q=")</f>
        <v>#REF!</v>
      </c>
      <c r="HV135" t="e">
        <f>AND(Liste!#REF!,"AAAAAH3/6+U=")</f>
        <v>#REF!</v>
      </c>
      <c r="HW135" t="e">
        <f>IF(Liste!#REF!,"AAAAAH3/6+Y=",0)</f>
        <v>#REF!</v>
      </c>
      <c r="HX135" t="e">
        <f>AND(Liste!#REF!,"AAAAAH3/6+c=")</f>
        <v>#REF!</v>
      </c>
      <c r="HY135" t="e">
        <f>AND(Liste!#REF!,"AAAAAH3/6+g=")</f>
        <v>#REF!</v>
      </c>
      <c r="HZ135" t="e">
        <f>AND(Liste!#REF!,"AAAAAH3/6+k=")</f>
        <v>#REF!</v>
      </c>
      <c r="IA135" t="e">
        <f>AND(Liste!#REF!,"AAAAAH3/6+o=")</f>
        <v>#REF!</v>
      </c>
      <c r="IB135" t="e">
        <f>AND(Liste!#REF!,"AAAAAH3/6+s=")</f>
        <v>#REF!</v>
      </c>
      <c r="IC135" t="e">
        <f>AND(Liste!#REF!,"AAAAAH3/6+w=")</f>
        <v>#REF!</v>
      </c>
      <c r="ID135" t="e">
        <f>AND(Liste!#REF!,"AAAAAH3/6+0=")</f>
        <v>#REF!</v>
      </c>
      <c r="IE135" t="e">
        <f>AND(Liste!#REF!,"AAAAAH3/6+4=")</f>
        <v>#REF!</v>
      </c>
      <c r="IF135" t="e">
        <f>AND(Liste!#REF!,"AAAAAH3/6+8=")</f>
        <v>#REF!</v>
      </c>
      <c r="IG135" t="e">
        <f>AND(Liste!#REF!,"AAAAAH3/6/A=")</f>
        <v>#REF!</v>
      </c>
      <c r="IH135" t="e">
        <f>AND(Liste!#REF!,"AAAAAH3/6/E=")</f>
        <v>#REF!</v>
      </c>
      <c r="II135" t="e">
        <f>AND(Liste!#REF!,"AAAAAH3/6/I=")</f>
        <v>#REF!</v>
      </c>
      <c r="IJ135" t="e">
        <f>AND(Liste!#REF!,"AAAAAH3/6/M=")</f>
        <v>#REF!</v>
      </c>
      <c r="IK135" t="e">
        <f>AND(Liste!#REF!,"AAAAAH3/6/Q=")</f>
        <v>#REF!</v>
      </c>
      <c r="IL135" t="e">
        <f>AND(Liste!#REF!,"AAAAAH3/6/U=")</f>
        <v>#REF!</v>
      </c>
      <c r="IM135" t="e">
        <f>AND(Liste!#REF!,"AAAAAH3/6/Y=")</f>
        <v>#REF!</v>
      </c>
      <c r="IN135" t="e">
        <f>AND(Liste!#REF!,"AAAAAH3/6/c=")</f>
        <v>#REF!</v>
      </c>
      <c r="IO135" t="e">
        <f>AND(Liste!#REF!,"AAAAAH3/6/g=")</f>
        <v>#REF!</v>
      </c>
      <c r="IP135" t="e">
        <f>AND(Liste!#REF!,"AAAAAH3/6/k=")</f>
        <v>#REF!</v>
      </c>
      <c r="IQ135" t="e">
        <f>AND(Liste!#REF!,"AAAAAH3/6/o=")</f>
        <v>#REF!</v>
      </c>
      <c r="IR135" t="e">
        <f>AND(Liste!#REF!,"AAAAAH3/6/s=")</f>
        <v>#REF!</v>
      </c>
      <c r="IS135" t="e">
        <f>AND(Liste!#REF!,"AAAAAH3/6/w=")</f>
        <v>#REF!</v>
      </c>
      <c r="IT135" t="e">
        <f>AND(Liste!#REF!,"AAAAAH3/6/0=")</f>
        <v>#REF!</v>
      </c>
      <c r="IU135" t="e">
        <f>AND(Liste!#REF!,"AAAAAH3/6/4=")</f>
        <v>#REF!</v>
      </c>
      <c r="IV135" t="e">
        <f>AND(Liste!#REF!,"AAAAAH3/6/8=")</f>
        <v>#REF!</v>
      </c>
    </row>
    <row r="136" spans="1:256" x14ac:dyDescent="0.2">
      <c r="A136" t="e">
        <f>AND(Liste!#REF!,"AAAAAE/HDQA=")</f>
        <v>#REF!</v>
      </c>
      <c r="B136" t="e">
        <f>AND(Liste!#REF!,"AAAAAE/HDQE=")</f>
        <v>#REF!</v>
      </c>
      <c r="C136" t="e">
        <f>AND(Liste!#REF!,"AAAAAE/HDQI=")</f>
        <v>#REF!</v>
      </c>
      <c r="D136" t="e">
        <f>AND(Liste!#REF!,"AAAAAE/HDQM=")</f>
        <v>#REF!</v>
      </c>
      <c r="E136" t="e">
        <f>AND(Liste!#REF!,"AAAAAE/HDQQ=")</f>
        <v>#REF!</v>
      </c>
      <c r="F136" t="e">
        <f>IF(Liste!#REF!,"AAAAAE/HDQU=",0)</f>
        <v>#REF!</v>
      </c>
      <c r="G136" t="e">
        <f>AND(Liste!#REF!,"AAAAAE/HDQY=")</f>
        <v>#REF!</v>
      </c>
      <c r="H136" t="e">
        <f>AND(Liste!#REF!,"AAAAAE/HDQc=")</f>
        <v>#REF!</v>
      </c>
      <c r="I136" t="e">
        <f>AND(Liste!#REF!,"AAAAAE/HDQg=")</f>
        <v>#REF!</v>
      </c>
      <c r="J136" t="e">
        <f>AND(Liste!#REF!,"AAAAAE/HDQk=")</f>
        <v>#REF!</v>
      </c>
      <c r="K136" t="e">
        <f>AND(Liste!#REF!,"AAAAAE/HDQo=")</f>
        <v>#REF!</v>
      </c>
      <c r="L136" t="e">
        <f>AND(Liste!#REF!,"AAAAAE/HDQs=")</f>
        <v>#REF!</v>
      </c>
      <c r="M136" t="e">
        <f>AND(Liste!#REF!,"AAAAAE/HDQw=")</f>
        <v>#REF!</v>
      </c>
      <c r="N136" t="e">
        <f>AND(Liste!#REF!,"AAAAAE/HDQ0=")</f>
        <v>#REF!</v>
      </c>
      <c r="O136" t="e">
        <f>AND(Liste!#REF!,"AAAAAE/HDQ4=")</f>
        <v>#REF!</v>
      </c>
      <c r="P136" t="e">
        <f>AND(Liste!#REF!,"AAAAAE/HDQ8=")</f>
        <v>#REF!</v>
      </c>
      <c r="Q136" t="e">
        <f>AND(Liste!#REF!,"AAAAAE/HDRA=")</f>
        <v>#REF!</v>
      </c>
      <c r="R136" t="e">
        <f>AND(Liste!#REF!,"AAAAAE/HDRE=")</f>
        <v>#REF!</v>
      </c>
      <c r="S136" t="e">
        <f>AND(Liste!#REF!,"AAAAAE/HDRI=")</f>
        <v>#REF!</v>
      </c>
      <c r="T136" t="e">
        <f>AND(Liste!#REF!,"AAAAAE/HDRM=")</f>
        <v>#REF!</v>
      </c>
      <c r="U136" t="e">
        <f>AND(Liste!#REF!,"AAAAAE/HDRQ=")</f>
        <v>#REF!</v>
      </c>
      <c r="V136" t="e">
        <f>AND(Liste!#REF!,"AAAAAE/HDRU=")</f>
        <v>#REF!</v>
      </c>
      <c r="W136" t="e">
        <f>AND(Liste!#REF!,"AAAAAE/HDRY=")</f>
        <v>#REF!</v>
      </c>
      <c r="X136" t="e">
        <f>AND(Liste!#REF!,"AAAAAE/HDRc=")</f>
        <v>#REF!</v>
      </c>
      <c r="Y136" t="e">
        <f>AND(Liste!#REF!,"AAAAAE/HDRg=")</f>
        <v>#REF!</v>
      </c>
      <c r="Z136" t="e">
        <f>AND(Liste!#REF!,"AAAAAE/HDRk=")</f>
        <v>#REF!</v>
      </c>
      <c r="AA136" t="e">
        <f>AND(Liste!#REF!,"AAAAAE/HDRo=")</f>
        <v>#REF!</v>
      </c>
      <c r="AB136" t="e">
        <f>AND(Liste!#REF!,"AAAAAE/HDRs=")</f>
        <v>#REF!</v>
      </c>
      <c r="AC136" t="e">
        <f>AND(Liste!#REF!,"AAAAAE/HDRw=")</f>
        <v>#REF!</v>
      </c>
      <c r="AD136" t="e">
        <f>AND(Liste!#REF!,"AAAAAE/HDR0=")</f>
        <v>#REF!</v>
      </c>
      <c r="AE136" t="e">
        <f>AND(Liste!#REF!,"AAAAAE/HDR4=")</f>
        <v>#REF!</v>
      </c>
      <c r="AF136" t="e">
        <f>AND(Liste!#REF!,"AAAAAE/HDR8=")</f>
        <v>#REF!</v>
      </c>
      <c r="AG136" t="e">
        <f>AND(Liste!#REF!,"AAAAAE/HDSA=")</f>
        <v>#REF!</v>
      </c>
      <c r="AH136" t="e">
        <f>AND(Liste!#REF!,"AAAAAE/HDSE=")</f>
        <v>#REF!</v>
      </c>
      <c r="AI136" t="e">
        <f>AND(Liste!#REF!,"AAAAAE/HDSI=")</f>
        <v>#REF!</v>
      </c>
      <c r="AJ136" t="e">
        <f>AND(Liste!#REF!,"AAAAAE/HDSM=")</f>
        <v>#REF!</v>
      </c>
      <c r="AK136" t="e">
        <f>IF(Liste!#REF!,"AAAAAE/HDSQ=",0)</f>
        <v>#REF!</v>
      </c>
      <c r="AL136" t="e">
        <f>IF(Liste!#REF!,"AAAAAE/HDSU=",0)</f>
        <v>#REF!</v>
      </c>
      <c r="AM136" t="str">
        <f>IF(Liste!A:A,"AAAAAE/HDSY=",0)</f>
        <v>AAAAAE/HDSY=</v>
      </c>
      <c r="AN136" t="e">
        <f>IF(Liste!C:C,"AAAAAE/HDSc=",0)</f>
        <v>#VALUE!</v>
      </c>
      <c r="AO136" t="e">
        <f>IF(Liste!D:D,"AAAAAE/HDSg=",0)</f>
        <v>#VALUE!</v>
      </c>
      <c r="AP136" t="e">
        <f>IF(Liste!E:E,"AAAAAE/HDSk=",0)</f>
        <v>#VALUE!</v>
      </c>
      <c r="AQ136">
        <f>IF(Liste!F:F,"AAAAAE/HDSo=",0)</f>
        <v>0</v>
      </c>
      <c r="AR136">
        <f>IF(Liste!G:G,"AAAAAE/HDSs=",0)</f>
        <v>0</v>
      </c>
      <c r="AS136">
        <f>IF(Liste!H:H,"AAAAAE/HDSw=",0)</f>
        <v>0</v>
      </c>
      <c r="AT136">
        <f>IF(Liste!I:I,"AAAAAE/HDS0=",0)</f>
        <v>0</v>
      </c>
      <c r="AU136">
        <f>IF(Liste!J:J,"AAAAAE/HDS4=",0)</f>
        <v>0</v>
      </c>
      <c r="AV136" t="e">
        <f>IF(Liste!#REF!,"AAAAAE/HDS8=",0)</f>
        <v>#REF!</v>
      </c>
      <c r="AW136" t="e">
        <f>IF(Liste!#REF!,"AAAAAE/HDTA=",0)</f>
        <v>#REF!</v>
      </c>
      <c r="AX136" t="e">
        <f>IF(Liste!#REF!,"AAAAAE/HDTE=",0)</f>
        <v>#REF!</v>
      </c>
      <c r="AY136" t="e">
        <f>IF(Liste!#REF!,"AAAAAE/HDTI=",0)</f>
        <v>#REF!</v>
      </c>
      <c r="AZ136" t="e">
        <f>IF(Liste!#REF!,"AAAAAE/HDTM=",0)</f>
        <v>#REF!</v>
      </c>
      <c r="BA136" t="e">
        <f>IF(Liste!#REF!,"AAAAAE/HDTQ=",0)</f>
        <v>#REF!</v>
      </c>
      <c r="BB136" t="e">
        <f>IF(Liste!#REF!,"AAAAAE/HDTU=",0)</f>
        <v>#REF!</v>
      </c>
      <c r="BC136" t="e">
        <f>IF(Liste!#REF!,"AAAAAE/HDTY=",0)</f>
        <v>#REF!</v>
      </c>
      <c r="BD136" t="e">
        <f>IF(Liste!#REF!,"AAAAAE/HDTc=",0)</f>
        <v>#REF!</v>
      </c>
      <c r="BE136" t="e">
        <f>IF(Liste!#REF!,"AAAAAE/HDTg=",0)</f>
        <v>#REF!</v>
      </c>
      <c r="BF136" t="e">
        <f>IF(Liste!#REF!,"AAAAAE/HDTk=",0)</f>
        <v>#REF!</v>
      </c>
      <c r="BG136" t="e">
        <f>IF(Liste!#REF!,"AAAAAE/HDTo=",0)</f>
        <v>#REF!</v>
      </c>
      <c r="BH136" t="e">
        <f>IF(Liste!#REF!,"AAAAAE/HDTs=",0)</f>
        <v>#REF!</v>
      </c>
      <c r="BI136" t="e">
        <f>IF(Liste!#REF!,"AAAAAE/HDTw=",0)</f>
        <v>#REF!</v>
      </c>
      <c r="BJ136" t="e">
        <f>IF(Liste!#REF!,"AAAAAE/HDT0=",0)</f>
        <v>#REF!</v>
      </c>
      <c r="BK136" t="e">
        <f>IF(Liste!#REF!,"AAAAAE/HDT4=",0)</f>
        <v>#REF!</v>
      </c>
      <c r="BL136" t="e">
        <f>IF(Liste!#REF!,"AAAAAE/HDT8=",0)</f>
        <v>#REF!</v>
      </c>
      <c r="BM136" t="e">
        <f>IF(Liste!#REF!,"AAAAAE/HDUA=",0)</f>
        <v>#REF!</v>
      </c>
      <c r="BN136" t="e">
        <f>IF(Liste!#REF!,"AAAAAE/HDUE=",0)</f>
        <v>#REF!</v>
      </c>
      <c r="BO136" t="e">
        <f>IF(Liste!#REF!,"AAAAAE/HDUI=",0)</f>
        <v>#REF!</v>
      </c>
      <c r="BP136" t="e">
        <f>IF(Liste!#REF!,"AAAAAE/HDUM=",0)</f>
        <v>#REF!</v>
      </c>
      <c r="BQ136" t="e">
        <f>IF(#REF!,"AAAAAE/HDUQ=",0)</f>
        <v>#REF!</v>
      </c>
      <c r="BR136" t="e">
        <f>AND(#REF!,"AAAAAE/HDUU=")</f>
        <v>#REF!</v>
      </c>
      <c r="BS136" t="e">
        <f>AND(#REF!,"AAAAAE/HDUY=")</f>
        <v>#REF!</v>
      </c>
      <c r="BT136" t="e">
        <f>AND(#REF!,"AAAAAE/HDUc=")</f>
        <v>#REF!</v>
      </c>
      <c r="BU136" t="e">
        <f>AND(#REF!,"AAAAAE/HDUg=")</f>
        <v>#REF!</v>
      </c>
      <c r="BV136" t="e">
        <f>AND(#REF!,"AAAAAE/HDUk=")</f>
        <v>#REF!</v>
      </c>
      <c r="BW136" t="e">
        <f>AND(#REF!,"AAAAAE/HDUo=")</f>
        <v>#REF!</v>
      </c>
      <c r="BX136" t="e">
        <f>AND(#REF!,"AAAAAE/HDUs=")</f>
        <v>#REF!</v>
      </c>
      <c r="BY136" t="e">
        <f>AND(#REF!,"AAAAAE/HDUw=")</f>
        <v>#REF!</v>
      </c>
      <c r="BZ136" t="e">
        <f>AND(#REF!,"AAAAAE/HDU0=")</f>
        <v>#REF!</v>
      </c>
      <c r="CA136" t="e">
        <f>AND(#REF!,"AAAAAE/HDU4=")</f>
        <v>#REF!</v>
      </c>
      <c r="CB136" t="e">
        <f>AND(#REF!,"AAAAAE/HDU8=")</f>
        <v>#REF!</v>
      </c>
      <c r="CC136" t="e">
        <f>AND(#REF!,"AAAAAE/HDVA=")</f>
        <v>#REF!</v>
      </c>
      <c r="CD136" t="e">
        <f>AND(#REF!,"AAAAAE/HDVE=")</f>
        <v>#REF!</v>
      </c>
      <c r="CE136" t="e">
        <f>AND(#REF!,"AAAAAE/HDVI=")</f>
        <v>#REF!</v>
      </c>
      <c r="CF136" t="e">
        <f>AND(#REF!,"AAAAAE/HDVM=")</f>
        <v>#REF!</v>
      </c>
      <c r="CG136" t="e">
        <f>AND(#REF!,"AAAAAE/HDVQ=")</f>
        <v>#REF!</v>
      </c>
      <c r="CH136" t="e">
        <f>AND(#REF!,"AAAAAE/HDVU=")</f>
        <v>#REF!</v>
      </c>
      <c r="CI136" t="e">
        <f>AND(#REF!,"AAAAAE/HDVY=")</f>
        <v>#REF!</v>
      </c>
      <c r="CJ136" t="e">
        <f>AND(#REF!,"AAAAAE/HDVc=")</f>
        <v>#REF!</v>
      </c>
      <c r="CK136" t="e">
        <f>AND(#REF!,"AAAAAE/HDVg=")</f>
        <v>#REF!</v>
      </c>
      <c r="CL136" t="e">
        <f>AND(#REF!,"AAAAAE/HDVk=")</f>
        <v>#REF!</v>
      </c>
      <c r="CM136" t="e">
        <f>AND(#REF!,"AAAAAE/HDVo=")</f>
        <v>#REF!</v>
      </c>
      <c r="CN136" t="e">
        <f>AND(#REF!,"AAAAAE/HDVs=")</f>
        <v>#REF!</v>
      </c>
      <c r="CO136" t="e">
        <f>AND(#REF!,"AAAAAE/HDVw=")</f>
        <v>#REF!</v>
      </c>
      <c r="CP136" t="e">
        <f>AND(#REF!,"AAAAAE/HDV0=")</f>
        <v>#REF!</v>
      </c>
      <c r="CQ136" t="e">
        <f>AND(#REF!,"AAAAAE/HDV4=")</f>
        <v>#REF!</v>
      </c>
      <c r="CR136" t="e">
        <f>AND(#REF!,"AAAAAE/HDV8=")</f>
        <v>#REF!</v>
      </c>
      <c r="CS136" t="e">
        <f>AND(#REF!,"AAAAAE/HDWA=")</f>
        <v>#REF!</v>
      </c>
      <c r="CT136" t="e">
        <f>AND(#REF!,"AAAAAE/HDWE=")</f>
        <v>#REF!</v>
      </c>
      <c r="CU136" t="e">
        <f>AND(#REF!,"AAAAAE/HDWI=")</f>
        <v>#REF!</v>
      </c>
      <c r="CV136" t="e">
        <f>IF(#REF!,"AAAAAE/HDWM=",0)</f>
        <v>#REF!</v>
      </c>
      <c r="CW136" t="e">
        <f>AND(#REF!,"AAAAAE/HDWQ=")</f>
        <v>#REF!</v>
      </c>
      <c r="CX136" t="e">
        <f>AND(#REF!,"AAAAAE/HDWU=")</f>
        <v>#REF!</v>
      </c>
      <c r="CY136" t="e">
        <f>AND(#REF!,"AAAAAE/HDWY=")</f>
        <v>#REF!</v>
      </c>
      <c r="CZ136" t="e">
        <f>AND(#REF!,"AAAAAE/HDWc=")</f>
        <v>#REF!</v>
      </c>
      <c r="DA136" t="e">
        <f>AND(#REF!,"AAAAAE/HDWg=")</f>
        <v>#REF!</v>
      </c>
      <c r="DB136" t="e">
        <f>AND(#REF!,"AAAAAE/HDWk=")</f>
        <v>#REF!</v>
      </c>
      <c r="DC136" t="e">
        <f>AND(#REF!,"AAAAAE/HDWo=")</f>
        <v>#REF!</v>
      </c>
      <c r="DD136" t="e">
        <f>AND(#REF!,"AAAAAE/HDWs=")</f>
        <v>#REF!</v>
      </c>
      <c r="DE136" t="e">
        <f>AND(#REF!,"AAAAAE/HDWw=")</f>
        <v>#REF!</v>
      </c>
      <c r="DF136" t="e">
        <f>AND(#REF!,"AAAAAE/HDW0=")</f>
        <v>#REF!</v>
      </c>
      <c r="DG136" t="e">
        <f>AND(#REF!,"AAAAAE/HDW4=")</f>
        <v>#REF!</v>
      </c>
      <c r="DH136" t="e">
        <f>AND(#REF!,"AAAAAE/HDW8=")</f>
        <v>#REF!</v>
      </c>
      <c r="DI136" t="e">
        <f>AND(#REF!,"AAAAAE/HDXA=")</f>
        <v>#REF!</v>
      </c>
      <c r="DJ136" t="e">
        <f>AND(#REF!,"AAAAAE/HDXE=")</f>
        <v>#REF!</v>
      </c>
      <c r="DK136" t="e">
        <f>AND(#REF!,"AAAAAE/HDXI=")</f>
        <v>#REF!</v>
      </c>
      <c r="DL136" t="e">
        <f>AND(#REF!,"AAAAAE/HDXM=")</f>
        <v>#REF!</v>
      </c>
      <c r="DM136" t="e">
        <f>AND(#REF!,"AAAAAE/HDXQ=")</f>
        <v>#REF!</v>
      </c>
      <c r="DN136" t="e">
        <f>AND(#REF!,"AAAAAE/HDXU=")</f>
        <v>#REF!</v>
      </c>
      <c r="DO136" t="e">
        <f>AND(#REF!,"AAAAAE/HDXY=")</f>
        <v>#REF!</v>
      </c>
      <c r="DP136" t="e">
        <f>AND(#REF!,"AAAAAE/HDXc=")</f>
        <v>#REF!</v>
      </c>
      <c r="DQ136" t="e">
        <f>AND(#REF!,"AAAAAE/HDXg=")</f>
        <v>#REF!</v>
      </c>
      <c r="DR136" t="e">
        <f>AND(#REF!,"AAAAAE/HDXk=")</f>
        <v>#REF!</v>
      </c>
      <c r="DS136" t="e">
        <f>AND(#REF!,"AAAAAE/HDXo=")</f>
        <v>#REF!</v>
      </c>
      <c r="DT136" t="e">
        <f>AND(#REF!,"AAAAAE/HDXs=")</f>
        <v>#REF!</v>
      </c>
      <c r="DU136" t="e">
        <f>AND(#REF!,"AAAAAE/HDXw=")</f>
        <v>#REF!</v>
      </c>
      <c r="DV136" t="e">
        <f>AND(#REF!,"AAAAAE/HDX0=")</f>
        <v>#REF!</v>
      </c>
      <c r="DW136" t="e">
        <f>AND(#REF!,"AAAAAE/HDX4=")</f>
        <v>#REF!</v>
      </c>
      <c r="DX136" t="e">
        <f>AND(#REF!,"AAAAAE/HDX8=")</f>
        <v>#REF!</v>
      </c>
      <c r="DY136" t="e">
        <f>AND(#REF!,"AAAAAE/HDYA=")</f>
        <v>#REF!</v>
      </c>
      <c r="DZ136" t="e">
        <f>AND(#REF!,"AAAAAE/HDYE=")</f>
        <v>#REF!</v>
      </c>
      <c r="EA136" t="e">
        <f>IF(#REF!,"AAAAAE/HDYI=",0)</f>
        <v>#REF!</v>
      </c>
      <c r="EB136" t="e">
        <f>AND(#REF!,"AAAAAE/HDYM=")</f>
        <v>#REF!</v>
      </c>
      <c r="EC136" t="e">
        <f>AND(#REF!,"AAAAAE/HDYQ=")</f>
        <v>#REF!</v>
      </c>
      <c r="ED136" t="e">
        <f>AND(#REF!,"AAAAAE/HDYU=")</f>
        <v>#REF!</v>
      </c>
      <c r="EE136" t="e">
        <f>AND(#REF!,"AAAAAE/HDYY=")</f>
        <v>#REF!</v>
      </c>
      <c r="EF136" t="e">
        <f>AND(#REF!,"AAAAAE/HDYc=")</f>
        <v>#REF!</v>
      </c>
      <c r="EG136" t="e">
        <f>AND(#REF!,"AAAAAE/HDYg=")</f>
        <v>#REF!</v>
      </c>
      <c r="EH136" t="e">
        <f>AND(#REF!,"AAAAAE/HDYk=")</f>
        <v>#REF!</v>
      </c>
      <c r="EI136" t="e">
        <f>AND(#REF!,"AAAAAE/HDYo=")</f>
        <v>#REF!</v>
      </c>
      <c r="EJ136" t="e">
        <f>AND(#REF!,"AAAAAE/HDYs=")</f>
        <v>#REF!</v>
      </c>
      <c r="EK136" t="e">
        <f>AND(#REF!,"AAAAAE/HDYw=")</f>
        <v>#REF!</v>
      </c>
      <c r="EL136" t="e">
        <f>AND(#REF!,"AAAAAE/HDY0=")</f>
        <v>#REF!</v>
      </c>
      <c r="EM136" t="e">
        <f>AND(#REF!,"AAAAAE/HDY4=")</f>
        <v>#REF!</v>
      </c>
      <c r="EN136" t="e">
        <f>AND(#REF!,"AAAAAE/HDY8=")</f>
        <v>#REF!</v>
      </c>
      <c r="EO136" t="e">
        <f>AND(#REF!,"AAAAAE/HDZA=")</f>
        <v>#REF!</v>
      </c>
      <c r="EP136" t="e">
        <f>AND(#REF!,"AAAAAE/HDZE=")</f>
        <v>#REF!</v>
      </c>
      <c r="EQ136" t="e">
        <f>AND(#REF!,"AAAAAE/HDZI=")</f>
        <v>#REF!</v>
      </c>
      <c r="ER136" t="e">
        <f>AND(#REF!,"AAAAAE/HDZM=")</f>
        <v>#REF!</v>
      </c>
      <c r="ES136" t="e">
        <f>AND(#REF!,"AAAAAE/HDZQ=")</f>
        <v>#REF!</v>
      </c>
      <c r="ET136" t="e">
        <f>AND(#REF!,"AAAAAE/HDZU=")</f>
        <v>#REF!</v>
      </c>
      <c r="EU136" t="e">
        <f>AND(#REF!,"AAAAAE/HDZY=")</f>
        <v>#REF!</v>
      </c>
      <c r="EV136" t="e">
        <f>AND(#REF!,"AAAAAE/HDZc=")</f>
        <v>#REF!</v>
      </c>
      <c r="EW136" t="e">
        <f>AND(#REF!,"AAAAAE/HDZg=")</f>
        <v>#REF!</v>
      </c>
      <c r="EX136" t="e">
        <f>AND(#REF!,"AAAAAE/HDZk=")</f>
        <v>#REF!</v>
      </c>
      <c r="EY136" t="e">
        <f>AND(#REF!,"AAAAAE/HDZo=")</f>
        <v>#REF!</v>
      </c>
      <c r="EZ136" t="e">
        <f>AND(#REF!,"AAAAAE/HDZs=")</f>
        <v>#REF!</v>
      </c>
      <c r="FA136" t="e">
        <f>AND(#REF!,"AAAAAE/HDZw=")</f>
        <v>#REF!</v>
      </c>
      <c r="FB136" t="e">
        <f>AND(#REF!,"AAAAAE/HDZ0=")</f>
        <v>#REF!</v>
      </c>
      <c r="FC136" t="e">
        <f>AND(#REF!,"AAAAAE/HDZ4=")</f>
        <v>#REF!</v>
      </c>
      <c r="FD136" t="e">
        <f>AND(#REF!,"AAAAAE/HDZ8=")</f>
        <v>#REF!</v>
      </c>
      <c r="FE136" t="e">
        <f>AND(#REF!,"AAAAAE/HDaA=")</f>
        <v>#REF!</v>
      </c>
      <c r="FF136" t="e">
        <f>IF(#REF!,"AAAAAE/HDaE=",0)</f>
        <v>#REF!</v>
      </c>
      <c r="FG136" t="e">
        <f>AND(#REF!,"AAAAAE/HDaI=")</f>
        <v>#REF!</v>
      </c>
      <c r="FH136" t="e">
        <f>AND(#REF!,"AAAAAE/HDaM=")</f>
        <v>#REF!</v>
      </c>
      <c r="FI136" t="e">
        <f>AND(#REF!,"AAAAAE/HDaQ=")</f>
        <v>#REF!</v>
      </c>
      <c r="FJ136" t="e">
        <f>AND(#REF!,"AAAAAE/HDaU=")</f>
        <v>#REF!</v>
      </c>
      <c r="FK136" t="e">
        <f>AND(#REF!,"AAAAAE/HDaY=")</f>
        <v>#REF!</v>
      </c>
      <c r="FL136" t="e">
        <f>AND(#REF!,"AAAAAE/HDac=")</f>
        <v>#REF!</v>
      </c>
      <c r="FM136" t="e">
        <f>AND(#REF!,"AAAAAE/HDag=")</f>
        <v>#REF!</v>
      </c>
      <c r="FN136" t="e">
        <f>AND(#REF!,"AAAAAE/HDak=")</f>
        <v>#REF!</v>
      </c>
      <c r="FO136" t="e">
        <f>AND(#REF!,"AAAAAE/HDao=")</f>
        <v>#REF!</v>
      </c>
      <c r="FP136" t="e">
        <f>AND(#REF!,"AAAAAE/HDas=")</f>
        <v>#REF!</v>
      </c>
      <c r="FQ136" t="e">
        <f>AND(#REF!,"AAAAAE/HDaw=")</f>
        <v>#REF!</v>
      </c>
      <c r="FR136" t="e">
        <f>AND(#REF!,"AAAAAE/HDa0=")</f>
        <v>#REF!</v>
      </c>
      <c r="FS136" t="e">
        <f>AND(#REF!,"AAAAAE/HDa4=")</f>
        <v>#REF!</v>
      </c>
      <c r="FT136" t="e">
        <f>AND(#REF!,"AAAAAE/HDa8=")</f>
        <v>#REF!</v>
      </c>
      <c r="FU136" t="e">
        <f>AND(#REF!,"AAAAAE/HDbA=")</f>
        <v>#REF!</v>
      </c>
      <c r="FV136" t="e">
        <f>AND(#REF!,"AAAAAE/HDbE=")</f>
        <v>#REF!</v>
      </c>
      <c r="FW136" t="e">
        <f>AND(#REF!,"AAAAAE/HDbI=")</f>
        <v>#REF!</v>
      </c>
      <c r="FX136" t="e">
        <f>AND(#REF!,"AAAAAE/HDbM=")</f>
        <v>#REF!</v>
      </c>
      <c r="FY136" t="e">
        <f>AND(#REF!,"AAAAAE/HDbQ=")</f>
        <v>#REF!</v>
      </c>
      <c r="FZ136" t="e">
        <f>AND(#REF!,"AAAAAE/HDbU=")</f>
        <v>#REF!</v>
      </c>
      <c r="GA136" t="e">
        <f>AND(#REF!,"AAAAAE/HDbY=")</f>
        <v>#REF!</v>
      </c>
      <c r="GB136" t="e">
        <f>AND(#REF!,"AAAAAE/HDbc=")</f>
        <v>#REF!</v>
      </c>
      <c r="GC136" t="e">
        <f>AND(#REF!,"AAAAAE/HDbg=")</f>
        <v>#REF!</v>
      </c>
      <c r="GD136" t="e">
        <f>AND(#REF!,"AAAAAE/HDbk=")</f>
        <v>#REF!</v>
      </c>
      <c r="GE136" t="e">
        <f>AND(#REF!,"AAAAAE/HDbo=")</f>
        <v>#REF!</v>
      </c>
      <c r="GF136" t="e">
        <f>AND(#REF!,"AAAAAE/HDbs=")</f>
        <v>#REF!</v>
      </c>
      <c r="GG136" t="e">
        <f>AND(#REF!,"AAAAAE/HDbw=")</f>
        <v>#REF!</v>
      </c>
      <c r="GH136" t="e">
        <f>AND(#REF!,"AAAAAE/HDb0=")</f>
        <v>#REF!</v>
      </c>
      <c r="GI136" t="e">
        <f>AND(#REF!,"AAAAAE/HDb4=")</f>
        <v>#REF!</v>
      </c>
      <c r="GJ136" t="e">
        <f>AND(#REF!,"AAAAAE/HDb8=")</f>
        <v>#REF!</v>
      </c>
      <c r="GK136" t="e">
        <f>IF(#REF!,"AAAAAE/HDcA=",0)</f>
        <v>#REF!</v>
      </c>
      <c r="GL136" t="e">
        <f>AND(#REF!,"AAAAAE/HDcE=")</f>
        <v>#REF!</v>
      </c>
      <c r="GM136" t="e">
        <f>AND(#REF!,"AAAAAE/HDcI=")</f>
        <v>#REF!</v>
      </c>
      <c r="GN136" t="e">
        <f>AND(#REF!,"AAAAAE/HDcM=")</f>
        <v>#REF!</v>
      </c>
      <c r="GO136" t="e">
        <f>AND(#REF!,"AAAAAE/HDcQ=")</f>
        <v>#REF!</v>
      </c>
      <c r="GP136" t="e">
        <f>AND(#REF!,"AAAAAE/HDcU=")</f>
        <v>#REF!</v>
      </c>
      <c r="GQ136" t="e">
        <f>AND(#REF!,"AAAAAE/HDcY=")</f>
        <v>#REF!</v>
      </c>
      <c r="GR136" t="e">
        <f>AND(#REF!,"AAAAAE/HDcc=")</f>
        <v>#REF!</v>
      </c>
      <c r="GS136" t="e">
        <f>AND(#REF!,"AAAAAE/HDcg=")</f>
        <v>#REF!</v>
      </c>
      <c r="GT136" t="e">
        <f>AND(#REF!,"AAAAAE/HDck=")</f>
        <v>#REF!</v>
      </c>
      <c r="GU136" t="e">
        <f>AND(#REF!,"AAAAAE/HDco=")</f>
        <v>#REF!</v>
      </c>
      <c r="GV136" t="e">
        <f>AND(#REF!,"AAAAAE/HDcs=")</f>
        <v>#REF!</v>
      </c>
      <c r="GW136" t="e">
        <f>AND(#REF!,"AAAAAE/HDcw=")</f>
        <v>#REF!</v>
      </c>
      <c r="GX136" t="e">
        <f>AND(#REF!,"AAAAAE/HDc0=")</f>
        <v>#REF!</v>
      </c>
      <c r="GY136" t="e">
        <f>AND(#REF!,"AAAAAE/HDc4=")</f>
        <v>#REF!</v>
      </c>
      <c r="GZ136" t="e">
        <f>AND(#REF!,"AAAAAE/HDc8=")</f>
        <v>#REF!</v>
      </c>
      <c r="HA136" t="e">
        <f>AND(#REF!,"AAAAAE/HDdA=")</f>
        <v>#REF!</v>
      </c>
      <c r="HB136" t="e">
        <f>AND(#REF!,"AAAAAE/HDdE=")</f>
        <v>#REF!</v>
      </c>
      <c r="HC136" t="e">
        <f>AND(#REF!,"AAAAAE/HDdI=")</f>
        <v>#REF!</v>
      </c>
      <c r="HD136" t="e">
        <f>AND(#REF!,"AAAAAE/HDdM=")</f>
        <v>#REF!</v>
      </c>
      <c r="HE136" t="e">
        <f>AND(#REF!,"AAAAAE/HDdQ=")</f>
        <v>#REF!</v>
      </c>
      <c r="HF136" t="e">
        <f>AND(#REF!,"AAAAAE/HDdU=")</f>
        <v>#REF!</v>
      </c>
      <c r="HG136" t="e">
        <f>AND(#REF!,"AAAAAE/HDdY=")</f>
        <v>#REF!</v>
      </c>
      <c r="HH136" t="e">
        <f>AND(#REF!,"AAAAAE/HDdc=")</f>
        <v>#REF!</v>
      </c>
      <c r="HI136" t="e">
        <f>AND(#REF!,"AAAAAE/HDdg=")</f>
        <v>#REF!</v>
      </c>
      <c r="HJ136" t="e">
        <f>AND(#REF!,"AAAAAE/HDdk=")</f>
        <v>#REF!</v>
      </c>
      <c r="HK136" t="e">
        <f>AND(#REF!,"AAAAAE/HDdo=")</f>
        <v>#REF!</v>
      </c>
      <c r="HL136" t="e">
        <f>AND(#REF!,"AAAAAE/HDds=")</f>
        <v>#REF!</v>
      </c>
      <c r="HM136" t="e">
        <f>AND(#REF!,"AAAAAE/HDdw=")</f>
        <v>#REF!</v>
      </c>
      <c r="HN136" t="e">
        <f>AND(#REF!,"AAAAAE/HDd0=")</f>
        <v>#REF!</v>
      </c>
      <c r="HO136" t="e">
        <f>AND(#REF!,"AAAAAE/HDd4=")</f>
        <v>#REF!</v>
      </c>
      <c r="HP136" t="e">
        <f>IF(#REF!,"AAAAAE/HDd8=",0)</f>
        <v>#REF!</v>
      </c>
      <c r="HQ136" t="e">
        <f>AND(#REF!,"AAAAAE/HDeA=")</f>
        <v>#REF!</v>
      </c>
      <c r="HR136" t="e">
        <f>AND(#REF!,"AAAAAE/HDeE=")</f>
        <v>#REF!</v>
      </c>
      <c r="HS136" t="e">
        <f>AND(#REF!,"AAAAAE/HDeI=")</f>
        <v>#REF!</v>
      </c>
      <c r="HT136" t="e">
        <f>AND(#REF!,"AAAAAE/HDeM=")</f>
        <v>#REF!</v>
      </c>
      <c r="HU136" t="e">
        <f>AND(#REF!,"AAAAAE/HDeQ=")</f>
        <v>#REF!</v>
      </c>
      <c r="HV136" t="e">
        <f>AND(#REF!,"AAAAAE/HDeU=")</f>
        <v>#REF!</v>
      </c>
      <c r="HW136" t="e">
        <f>AND(#REF!,"AAAAAE/HDeY=")</f>
        <v>#REF!</v>
      </c>
      <c r="HX136" t="e">
        <f>AND(#REF!,"AAAAAE/HDec=")</f>
        <v>#REF!</v>
      </c>
      <c r="HY136" t="e">
        <f>AND(#REF!,"AAAAAE/HDeg=")</f>
        <v>#REF!</v>
      </c>
      <c r="HZ136" t="e">
        <f>AND(#REF!,"AAAAAE/HDek=")</f>
        <v>#REF!</v>
      </c>
      <c r="IA136" t="e">
        <f>AND(#REF!,"AAAAAE/HDeo=")</f>
        <v>#REF!</v>
      </c>
      <c r="IB136" t="e">
        <f>AND(#REF!,"AAAAAE/HDes=")</f>
        <v>#REF!</v>
      </c>
      <c r="IC136" t="e">
        <f>AND(#REF!,"AAAAAE/HDew=")</f>
        <v>#REF!</v>
      </c>
      <c r="ID136" t="e">
        <f>AND(#REF!,"AAAAAE/HDe0=")</f>
        <v>#REF!</v>
      </c>
      <c r="IE136" t="e">
        <f>AND(#REF!,"AAAAAE/HDe4=")</f>
        <v>#REF!</v>
      </c>
      <c r="IF136" t="e">
        <f>AND(#REF!,"AAAAAE/HDe8=")</f>
        <v>#REF!</v>
      </c>
      <c r="IG136" t="e">
        <f>AND(#REF!,"AAAAAE/HDfA=")</f>
        <v>#REF!</v>
      </c>
      <c r="IH136" t="e">
        <f>AND(#REF!,"AAAAAE/HDfE=")</f>
        <v>#REF!</v>
      </c>
      <c r="II136" t="e">
        <f>AND(#REF!,"AAAAAE/HDfI=")</f>
        <v>#REF!</v>
      </c>
      <c r="IJ136" t="e">
        <f>AND(#REF!,"AAAAAE/HDfM=")</f>
        <v>#REF!</v>
      </c>
      <c r="IK136" t="e">
        <f>AND(#REF!,"AAAAAE/HDfQ=")</f>
        <v>#REF!</v>
      </c>
      <c r="IL136" t="e">
        <f>AND(#REF!,"AAAAAE/HDfU=")</f>
        <v>#REF!</v>
      </c>
      <c r="IM136" t="e">
        <f>AND(#REF!,"AAAAAE/HDfY=")</f>
        <v>#REF!</v>
      </c>
      <c r="IN136" t="e">
        <f>AND(#REF!,"AAAAAE/HDfc=")</f>
        <v>#REF!</v>
      </c>
      <c r="IO136" t="e">
        <f>AND(#REF!,"AAAAAE/HDfg=")</f>
        <v>#REF!</v>
      </c>
      <c r="IP136" t="e">
        <f>AND(#REF!,"AAAAAE/HDfk=")</f>
        <v>#REF!</v>
      </c>
      <c r="IQ136" t="e">
        <f>AND(#REF!,"AAAAAE/HDfo=")</f>
        <v>#REF!</v>
      </c>
      <c r="IR136" t="e">
        <f>AND(#REF!,"AAAAAE/HDfs=")</f>
        <v>#REF!</v>
      </c>
      <c r="IS136" t="e">
        <f>AND(#REF!,"AAAAAE/HDfw=")</f>
        <v>#REF!</v>
      </c>
      <c r="IT136" t="e">
        <f>AND(#REF!,"AAAAAE/HDf0=")</f>
        <v>#REF!</v>
      </c>
      <c r="IU136" t="e">
        <f>IF(#REF!,"AAAAAE/HDf4=",0)</f>
        <v>#REF!</v>
      </c>
      <c r="IV136" t="e">
        <f>AND(#REF!,"AAAAAE/HDf8=")</f>
        <v>#REF!</v>
      </c>
    </row>
    <row r="137" spans="1:256" x14ac:dyDescent="0.2">
      <c r="A137" t="e">
        <f>AND(#REF!,"AAAAAHOf/wA=")</f>
        <v>#REF!</v>
      </c>
      <c r="B137" t="e">
        <f>AND(#REF!,"AAAAAHOf/wE=")</f>
        <v>#REF!</v>
      </c>
      <c r="C137" t="e">
        <f>AND(#REF!,"AAAAAHOf/wI=")</f>
        <v>#REF!</v>
      </c>
      <c r="D137" t="e">
        <f>AND(#REF!,"AAAAAHOf/wM=")</f>
        <v>#REF!</v>
      </c>
      <c r="E137" t="e">
        <f>AND(#REF!,"AAAAAHOf/wQ=")</f>
        <v>#REF!</v>
      </c>
      <c r="F137" t="e">
        <f>AND(#REF!,"AAAAAHOf/wU=")</f>
        <v>#REF!</v>
      </c>
      <c r="G137" t="e">
        <f>AND(#REF!,"AAAAAHOf/wY=")</f>
        <v>#REF!</v>
      </c>
      <c r="H137" t="e">
        <f>AND(#REF!,"AAAAAHOf/wc=")</f>
        <v>#REF!</v>
      </c>
      <c r="I137" t="e">
        <f>AND(#REF!,"AAAAAHOf/wg=")</f>
        <v>#REF!</v>
      </c>
      <c r="J137" t="e">
        <f>AND(#REF!,"AAAAAHOf/wk=")</f>
        <v>#REF!</v>
      </c>
      <c r="K137" t="e">
        <f>AND(#REF!,"AAAAAHOf/wo=")</f>
        <v>#REF!</v>
      </c>
      <c r="L137" t="e">
        <f>AND(#REF!,"AAAAAHOf/ws=")</f>
        <v>#REF!</v>
      </c>
      <c r="M137" t="e">
        <f>AND(#REF!,"AAAAAHOf/ww=")</f>
        <v>#REF!</v>
      </c>
      <c r="N137" t="e">
        <f>AND(#REF!,"AAAAAHOf/w0=")</f>
        <v>#REF!</v>
      </c>
      <c r="O137" t="e">
        <f>AND(#REF!,"AAAAAHOf/w4=")</f>
        <v>#REF!</v>
      </c>
      <c r="P137" t="e">
        <f>AND(#REF!,"AAAAAHOf/w8=")</f>
        <v>#REF!</v>
      </c>
      <c r="Q137" t="e">
        <f>AND(#REF!,"AAAAAHOf/xA=")</f>
        <v>#REF!</v>
      </c>
      <c r="R137" t="e">
        <f>AND(#REF!,"AAAAAHOf/xE=")</f>
        <v>#REF!</v>
      </c>
      <c r="S137" t="e">
        <f>AND(#REF!,"AAAAAHOf/xI=")</f>
        <v>#REF!</v>
      </c>
      <c r="T137" t="e">
        <f>AND(#REF!,"AAAAAHOf/xM=")</f>
        <v>#REF!</v>
      </c>
      <c r="U137" t="e">
        <f>AND(#REF!,"AAAAAHOf/xQ=")</f>
        <v>#REF!</v>
      </c>
      <c r="V137" t="e">
        <f>AND(#REF!,"AAAAAHOf/xU=")</f>
        <v>#REF!</v>
      </c>
      <c r="W137" t="e">
        <f>AND(#REF!,"AAAAAHOf/xY=")</f>
        <v>#REF!</v>
      </c>
      <c r="X137" t="e">
        <f>AND(#REF!,"AAAAAHOf/xc=")</f>
        <v>#REF!</v>
      </c>
      <c r="Y137" t="e">
        <f>AND(#REF!,"AAAAAHOf/xg=")</f>
        <v>#REF!</v>
      </c>
      <c r="Z137" t="e">
        <f>AND(#REF!,"AAAAAHOf/xk=")</f>
        <v>#REF!</v>
      </c>
      <c r="AA137" t="e">
        <f>AND(#REF!,"AAAAAHOf/xo=")</f>
        <v>#REF!</v>
      </c>
      <c r="AB137" t="e">
        <f>AND(#REF!,"AAAAAHOf/xs=")</f>
        <v>#REF!</v>
      </c>
      <c r="AC137" t="e">
        <f>AND(#REF!,"AAAAAHOf/xw=")</f>
        <v>#REF!</v>
      </c>
      <c r="AD137" t="e">
        <f>IF(#REF!,"AAAAAHOf/x0=",0)</f>
        <v>#REF!</v>
      </c>
      <c r="AE137" t="e">
        <f>AND(#REF!,"AAAAAHOf/x4=")</f>
        <v>#REF!</v>
      </c>
      <c r="AF137" t="e">
        <f>AND(#REF!,"AAAAAHOf/x8=")</f>
        <v>#REF!</v>
      </c>
      <c r="AG137" t="e">
        <f>AND(#REF!,"AAAAAHOf/yA=")</f>
        <v>#REF!</v>
      </c>
      <c r="AH137" t="e">
        <f>AND(#REF!,"AAAAAHOf/yE=")</f>
        <v>#REF!</v>
      </c>
      <c r="AI137" t="e">
        <f>AND(#REF!,"AAAAAHOf/yI=")</f>
        <v>#REF!</v>
      </c>
      <c r="AJ137" t="e">
        <f>AND(#REF!,"AAAAAHOf/yM=")</f>
        <v>#REF!</v>
      </c>
      <c r="AK137" t="e">
        <f>AND(#REF!,"AAAAAHOf/yQ=")</f>
        <v>#REF!</v>
      </c>
      <c r="AL137" t="e">
        <f>AND(#REF!,"AAAAAHOf/yU=")</f>
        <v>#REF!</v>
      </c>
      <c r="AM137" t="e">
        <f>AND(#REF!,"AAAAAHOf/yY=")</f>
        <v>#REF!</v>
      </c>
      <c r="AN137" t="e">
        <f>AND(#REF!,"AAAAAHOf/yc=")</f>
        <v>#REF!</v>
      </c>
      <c r="AO137" t="e">
        <f>AND(#REF!,"AAAAAHOf/yg=")</f>
        <v>#REF!</v>
      </c>
      <c r="AP137" t="e">
        <f>AND(#REF!,"AAAAAHOf/yk=")</f>
        <v>#REF!</v>
      </c>
      <c r="AQ137" t="e">
        <f>AND(#REF!,"AAAAAHOf/yo=")</f>
        <v>#REF!</v>
      </c>
      <c r="AR137" t="e">
        <f>AND(#REF!,"AAAAAHOf/ys=")</f>
        <v>#REF!</v>
      </c>
      <c r="AS137" t="e">
        <f>AND(#REF!,"AAAAAHOf/yw=")</f>
        <v>#REF!</v>
      </c>
      <c r="AT137" t="e">
        <f>AND(#REF!,"AAAAAHOf/y0=")</f>
        <v>#REF!</v>
      </c>
      <c r="AU137" t="e">
        <f>AND(#REF!,"AAAAAHOf/y4=")</f>
        <v>#REF!</v>
      </c>
      <c r="AV137" t="e">
        <f>AND(#REF!,"AAAAAHOf/y8=")</f>
        <v>#REF!</v>
      </c>
      <c r="AW137" t="e">
        <f>AND(#REF!,"AAAAAHOf/zA=")</f>
        <v>#REF!</v>
      </c>
      <c r="AX137" t="e">
        <f>AND(#REF!,"AAAAAHOf/zE=")</f>
        <v>#REF!</v>
      </c>
      <c r="AY137" t="e">
        <f>AND(#REF!,"AAAAAHOf/zI=")</f>
        <v>#REF!</v>
      </c>
      <c r="AZ137" t="e">
        <f>AND(#REF!,"AAAAAHOf/zM=")</f>
        <v>#REF!</v>
      </c>
      <c r="BA137" t="e">
        <f>AND(#REF!,"AAAAAHOf/zQ=")</f>
        <v>#REF!</v>
      </c>
      <c r="BB137" t="e">
        <f>AND(#REF!,"AAAAAHOf/zU=")</f>
        <v>#REF!</v>
      </c>
      <c r="BC137" t="e">
        <f>AND(#REF!,"AAAAAHOf/zY=")</f>
        <v>#REF!</v>
      </c>
      <c r="BD137" t="e">
        <f>AND(#REF!,"AAAAAHOf/zc=")</f>
        <v>#REF!</v>
      </c>
      <c r="BE137" t="e">
        <f>AND(#REF!,"AAAAAHOf/zg=")</f>
        <v>#REF!</v>
      </c>
      <c r="BF137" t="e">
        <f>AND(#REF!,"AAAAAHOf/zk=")</f>
        <v>#REF!</v>
      </c>
      <c r="BG137" t="e">
        <f>AND(#REF!,"AAAAAHOf/zo=")</f>
        <v>#REF!</v>
      </c>
      <c r="BH137" t="e">
        <f>AND(#REF!,"AAAAAHOf/zs=")</f>
        <v>#REF!</v>
      </c>
      <c r="BI137" t="e">
        <f>IF(#REF!,"AAAAAHOf/zw=",0)</f>
        <v>#REF!</v>
      </c>
      <c r="BJ137" t="e">
        <f>AND(#REF!,"AAAAAHOf/z0=")</f>
        <v>#REF!</v>
      </c>
      <c r="BK137" t="e">
        <f>AND(#REF!,"AAAAAHOf/z4=")</f>
        <v>#REF!</v>
      </c>
      <c r="BL137" t="e">
        <f>AND(#REF!,"AAAAAHOf/z8=")</f>
        <v>#REF!</v>
      </c>
      <c r="BM137" t="e">
        <f>AND(#REF!,"AAAAAHOf/0A=")</f>
        <v>#REF!</v>
      </c>
      <c r="BN137" t="e">
        <f>AND(#REF!,"AAAAAHOf/0E=")</f>
        <v>#REF!</v>
      </c>
      <c r="BO137" t="e">
        <f>AND(#REF!,"AAAAAHOf/0I=")</f>
        <v>#REF!</v>
      </c>
      <c r="BP137" t="e">
        <f>AND(#REF!,"AAAAAHOf/0M=")</f>
        <v>#REF!</v>
      </c>
      <c r="BQ137" t="e">
        <f>AND(#REF!,"AAAAAHOf/0Q=")</f>
        <v>#REF!</v>
      </c>
      <c r="BR137" t="e">
        <f>AND(#REF!,"AAAAAHOf/0U=")</f>
        <v>#REF!</v>
      </c>
      <c r="BS137" t="e">
        <f>AND(#REF!,"AAAAAHOf/0Y=")</f>
        <v>#REF!</v>
      </c>
      <c r="BT137" t="e">
        <f>AND(#REF!,"AAAAAHOf/0c=")</f>
        <v>#REF!</v>
      </c>
      <c r="BU137" t="e">
        <f>AND(#REF!,"AAAAAHOf/0g=")</f>
        <v>#REF!</v>
      </c>
      <c r="BV137" t="e">
        <f>AND(#REF!,"AAAAAHOf/0k=")</f>
        <v>#REF!</v>
      </c>
      <c r="BW137" t="e">
        <f>AND(#REF!,"AAAAAHOf/0o=")</f>
        <v>#REF!</v>
      </c>
      <c r="BX137" t="e">
        <f>AND(#REF!,"AAAAAHOf/0s=")</f>
        <v>#REF!</v>
      </c>
      <c r="BY137" t="e">
        <f>AND(#REF!,"AAAAAHOf/0w=")</f>
        <v>#REF!</v>
      </c>
      <c r="BZ137" t="e">
        <f>AND(#REF!,"AAAAAHOf/00=")</f>
        <v>#REF!</v>
      </c>
      <c r="CA137" t="e">
        <f>AND(#REF!,"AAAAAHOf/04=")</f>
        <v>#REF!</v>
      </c>
      <c r="CB137" t="e">
        <f>AND(#REF!,"AAAAAHOf/08=")</f>
        <v>#REF!</v>
      </c>
      <c r="CC137" t="e">
        <f>AND(#REF!,"AAAAAHOf/1A=")</f>
        <v>#REF!</v>
      </c>
      <c r="CD137" t="e">
        <f>AND(#REF!,"AAAAAHOf/1E=")</f>
        <v>#REF!</v>
      </c>
      <c r="CE137" t="e">
        <f>AND(#REF!,"AAAAAHOf/1I=")</f>
        <v>#REF!</v>
      </c>
      <c r="CF137" t="e">
        <f>AND(#REF!,"AAAAAHOf/1M=")</f>
        <v>#REF!</v>
      </c>
      <c r="CG137" t="e">
        <f>AND(#REF!,"AAAAAHOf/1Q=")</f>
        <v>#REF!</v>
      </c>
      <c r="CH137" t="e">
        <f>AND(#REF!,"AAAAAHOf/1U=")</f>
        <v>#REF!</v>
      </c>
      <c r="CI137" t="e">
        <f>AND(#REF!,"AAAAAHOf/1Y=")</f>
        <v>#REF!</v>
      </c>
      <c r="CJ137" t="e">
        <f>AND(#REF!,"AAAAAHOf/1c=")</f>
        <v>#REF!</v>
      </c>
      <c r="CK137" t="e">
        <f>AND(#REF!,"AAAAAHOf/1g=")</f>
        <v>#REF!</v>
      </c>
      <c r="CL137" t="e">
        <f>AND(#REF!,"AAAAAHOf/1k=")</f>
        <v>#REF!</v>
      </c>
      <c r="CM137" t="e">
        <f>AND(#REF!,"AAAAAHOf/1o=")</f>
        <v>#REF!</v>
      </c>
      <c r="CN137" t="e">
        <f>IF(#REF!,"AAAAAHOf/1s=",0)</f>
        <v>#REF!</v>
      </c>
      <c r="CO137" t="e">
        <f>AND(#REF!,"AAAAAHOf/1w=")</f>
        <v>#REF!</v>
      </c>
      <c r="CP137" t="e">
        <f>AND(#REF!,"AAAAAHOf/10=")</f>
        <v>#REF!</v>
      </c>
      <c r="CQ137" t="e">
        <f>AND(#REF!,"AAAAAHOf/14=")</f>
        <v>#REF!</v>
      </c>
      <c r="CR137" t="e">
        <f>AND(#REF!,"AAAAAHOf/18=")</f>
        <v>#REF!</v>
      </c>
      <c r="CS137" t="e">
        <f>AND(#REF!,"AAAAAHOf/2A=")</f>
        <v>#REF!</v>
      </c>
      <c r="CT137" t="e">
        <f>AND(#REF!,"AAAAAHOf/2E=")</f>
        <v>#REF!</v>
      </c>
      <c r="CU137" t="e">
        <f>AND(#REF!,"AAAAAHOf/2I=")</f>
        <v>#REF!</v>
      </c>
      <c r="CV137" t="e">
        <f>AND(#REF!,"AAAAAHOf/2M=")</f>
        <v>#REF!</v>
      </c>
      <c r="CW137" t="e">
        <f>AND(#REF!,"AAAAAHOf/2Q=")</f>
        <v>#REF!</v>
      </c>
      <c r="CX137" t="e">
        <f>AND(#REF!,"AAAAAHOf/2U=")</f>
        <v>#REF!</v>
      </c>
      <c r="CY137" t="e">
        <f>AND(#REF!,"AAAAAHOf/2Y=")</f>
        <v>#REF!</v>
      </c>
      <c r="CZ137" t="e">
        <f>AND(#REF!,"AAAAAHOf/2c=")</f>
        <v>#REF!</v>
      </c>
      <c r="DA137" t="e">
        <f>AND(#REF!,"AAAAAHOf/2g=")</f>
        <v>#REF!</v>
      </c>
      <c r="DB137" t="e">
        <f>AND(#REF!,"AAAAAHOf/2k=")</f>
        <v>#REF!</v>
      </c>
      <c r="DC137" t="e">
        <f>AND(#REF!,"AAAAAHOf/2o=")</f>
        <v>#REF!</v>
      </c>
      <c r="DD137" t="e">
        <f>AND(#REF!,"AAAAAHOf/2s=")</f>
        <v>#REF!</v>
      </c>
      <c r="DE137" t="e">
        <f>AND(#REF!,"AAAAAHOf/2w=")</f>
        <v>#REF!</v>
      </c>
      <c r="DF137" t="e">
        <f>AND(#REF!,"AAAAAHOf/20=")</f>
        <v>#REF!</v>
      </c>
      <c r="DG137" t="e">
        <f>AND(#REF!,"AAAAAHOf/24=")</f>
        <v>#REF!</v>
      </c>
      <c r="DH137" t="e">
        <f>AND(#REF!,"AAAAAHOf/28=")</f>
        <v>#REF!</v>
      </c>
      <c r="DI137" t="e">
        <f>AND(#REF!,"AAAAAHOf/3A=")</f>
        <v>#REF!</v>
      </c>
      <c r="DJ137" t="e">
        <f>AND(#REF!,"AAAAAHOf/3E=")</f>
        <v>#REF!</v>
      </c>
      <c r="DK137" t="e">
        <f>AND(#REF!,"AAAAAHOf/3I=")</f>
        <v>#REF!</v>
      </c>
      <c r="DL137" t="e">
        <f>AND(#REF!,"AAAAAHOf/3M=")</f>
        <v>#REF!</v>
      </c>
      <c r="DM137" t="e">
        <f>AND(#REF!,"AAAAAHOf/3Q=")</f>
        <v>#REF!</v>
      </c>
      <c r="DN137" t="e">
        <f>AND(#REF!,"AAAAAHOf/3U=")</f>
        <v>#REF!</v>
      </c>
      <c r="DO137" t="e">
        <f>AND(#REF!,"AAAAAHOf/3Y=")</f>
        <v>#REF!</v>
      </c>
      <c r="DP137" t="e">
        <f>AND(#REF!,"AAAAAHOf/3c=")</f>
        <v>#REF!</v>
      </c>
      <c r="DQ137" t="e">
        <f>AND(#REF!,"AAAAAHOf/3g=")</f>
        <v>#REF!</v>
      </c>
      <c r="DR137" t="e">
        <f>AND(#REF!,"AAAAAHOf/3k=")</f>
        <v>#REF!</v>
      </c>
      <c r="DS137" t="e">
        <f>IF(#REF!,"AAAAAHOf/3o=",0)</f>
        <v>#REF!</v>
      </c>
      <c r="DT137" t="e">
        <f>AND(#REF!,"AAAAAHOf/3s=")</f>
        <v>#REF!</v>
      </c>
      <c r="DU137" t="e">
        <f>AND(#REF!,"AAAAAHOf/3w=")</f>
        <v>#REF!</v>
      </c>
      <c r="DV137" t="e">
        <f>AND(#REF!,"AAAAAHOf/30=")</f>
        <v>#REF!</v>
      </c>
      <c r="DW137" t="e">
        <f>AND(#REF!,"AAAAAHOf/34=")</f>
        <v>#REF!</v>
      </c>
      <c r="DX137" t="e">
        <f>AND(#REF!,"AAAAAHOf/38=")</f>
        <v>#REF!</v>
      </c>
      <c r="DY137" t="e">
        <f>AND(#REF!,"AAAAAHOf/4A=")</f>
        <v>#REF!</v>
      </c>
      <c r="DZ137" t="e">
        <f>AND(#REF!,"AAAAAHOf/4E=")</f>
        <v>#REF!</v>
      </c>
      <c r="EA137" t="e">
        <f>AND(#REF!,"AAAAAHOf/4I=")</f>
        <v>#REF!</v>
      </c>
      <c r="EB137" t="e">
        <f>AND(#REF!,"AAAAAHOf/4M=")</f>
        <v>#REF!</v>
      </c>
      <c r="EC137" t="e">
        <f>AND(#REF!,"AAAAAHOf/4Q=")</f>
        <v>#REF!</v>
      </c>
      <c r="ED137" t="e">
        <f>AND(#REF!,"AAAAAHOf/4U=")</f>
        <v>#REF!</v>
      </c>
      <c r="EE137" t="e">
        <f>AND(#REF!,"AAAAAHOf/4Y=")</f>
        <v>#REF!</v>
      </c>
      <c r="EF137" t="e">
        <f>AND(#REF!,"AAAAAHOf/4c=")</f>
        <v>#REF!</v>
      </c>
      <c r="EG137" t="e">
        <f>AND(#REF!,"AAAAAHOf/4g=")</f>
        <v>#REF!</v>
      </c>
      <c r="EH137" t="e">
        <f>AND(#REF!,"AAAAAHOf/4k=")</f>
        <v>#REF!</v>
      </c>
      <c r="EI137" t="e">
        <f>AND(#REF!,"AAAAAHOf/4o=")</f>
        <v>#REF!</v>
      </c>
      <c r="EJ137" t="e">
        <f>AND(#REF!,"AAAAAHOf/4s=")</f>
        <v>#REF!</v>
      </c>
      <c r="EK137" t="e">
        <f>AND(#REF!,"AAAAAHOf/4w=")</f>
        <v>#REF!</v>
      </c>
      <c r="EL137" t="e">
        <f>AND(#REF!,"AAAAAHOf/40=")</f>
        <v>#REF!</v>
      </c>
      <c r="EM137" t="e">
        <f>AND(#REF!,"AAAAAHOf/44=")</f>
        <v>#REF!</v>
      </c>
      <c r="EN137" t="e">
        <f>AND(#REF!,"AAAAAHOf/48=")</f>
        <v>#REF!</v>
      </c>
      <c r="EO137" t="e">
        <f>AND(#REF!,"AAAAAHOf/5A=")</f>
        <v>#REF!</v>
      </c>
      <c r="EP137" t="e">
        <f>AND(#REF!,"AAAAAHOf/5E=")</f>
        <v>#REF!</v>
      </c>
      <c r="EQ137" t="e">
        <f>AND(#REF!,"AAAAAHOf/5I=")</f>
        <v>#REF!</v>
      </c>
      <c r="ER137" t="e">
        <f>AND(#REF!,"AAAAAHOf/5M=")</f>
        <v>#REF!</v>
      </c>
      <c r="ES137" t="e">
        <f>AND(#REF!,"AAAAAHOf/5Q=")</f>
        <v>#REF!</v>
      </c>
      <c r="ET137" t="e">
        <f>AND(#REF!,"AAAAAHOf/5U=")</f>
        <v>#REF!</v>
      </c>
      <c r="EU137" t="e">
        <f>AND(#REF!,"AAAAAHOf/5Y=")</f>
        <v>#REF!</v>
      </c>
      <c r="EV137" t="e">
        <f>AND(#REF!,"AAAAAHOf/5c=")</f>
        <v>#REF!</v>
      </c>
      <c r="EW137" t="e">
        <f>AND(#REF!,"AAAAAHOf/5g=")</f>
        <v>#REF!</v>
      </c>
      <c r="EX137" t="e">
        <f>IF(#REF!,"AAAAAHOf/5k=",0)</f>
        <v>#REF!</v>
      </c>
      <c r="EY137" t="e">
        <f>AND(#REF!,"AAAAAHOf/5o=")</f>
        <v>#REF!</v>
      </c>
      <c r="EZ137" t="e">
        <f>AND(#REF!,"AAAAAHOf/5s=")</f>
        <v>#REF!</v>
      </c>
      <c r="FA137" t="e">
        <f>AND(#REF!,"AAAAAHOf/5w=")</f>
        <v>#REF!</v>
      </c>
      <c r="FB137" t="e">
        <f>AND(#REF!,"AAAAAHOf/50=")</f>
        <v>#REF!</v>
      </c>
      <c r="FC137" t="e">
        <f>AND(#REF!,"AAAAAHOf/54=")</f>
        <v>#REF!</v>
      </c>
      <c r="FD137" t="e">
        <f>AND(#REF!,"AAAAAHOf/58=")</f>
        <v>#REF!</v>
      </c>
      <c r="FE137" t="e">
        <f>AND(#REF!,"AAAAAHOf/6A=")</f>
        <v>#REF!</v>
      </c>
      <c r="FF137" t="e">
        <f>AND(#REF!,"AAAAAHOf/6E=")</f>
        <v>#REF!</v>
      </c>
      <c r="FG137" t="e">
        <f>AND(#REF!,"AAAAAHOf/6I=")</f>
        <v>#REF!</v>
      </c>
      <c r="FH137" t="e">
        <f>AND(#REF!,"AAAAAHOf/6M=")</f>
        <v>#REF!</v>
      </c>
      <c r="FI137" t="e">
        <f>AND(#REF!,"AAAAAHOf/6Q=")</f>
        <v>#REF!</v>
      </c>
      <c r="FJ137" t="e">
        <f>AND(#REF!,"AAAAAHOf/6U=")</f>
        <v>#REF!</v>
      </c>
      <c r="FK137" t="e">
        <f>AND(#REF!,"AAAAAHOf/6Y=")</f>
        <v>#REF!</v>
      </c>
      <c r="FL137" t="e">
        <f>AND(#REF!,"AAAAAHOf/6c=")</f>
        <v>#REF!</v>
      </c>
      <c r="FM137" t="e">
        <f>AND(#REF!,"AAAAAHOf/6g=")</f>
        <v>#REF!</v>
      </c>
      <c r="FN137" t="e">
        <f>AND(#REF!,"AAAAAHOf/6k=")</f>
        <v>#REF!</v>
      </c>
      <c r="FO137" t="e">
        <f>AND(#REF!,"AAAAAHOf/6o=")</f>
        <v>#REF!</v>
      </c>
      <c r="FP137" t="e">
        <f>AND(#REF!,"AAAAAHOf/6s=")</f>
        <v>#REF!</v>
      </c>
      <c r="FQ137" t="e">
        <f>AND(#REF!,"AAAAAHOf/6w=")</f>
        <v>#REF!</v>
      </c>
      <c r="FR137" t="e">
        <f>AND(#REF!,"AAAAAHOf/60=")</f>
        <v>#REF!</v>
      </c>
      <c r="FS137" t="e">
        <f>AND(#REF!,"AAAAAHOf/64=")</f>
        <v>#REF!</v>
      </c>
      <c r="FT137" t="e">
        <f>AND(#REF!,"AAAAAHOf/68=")</f>
        <v>#REF!</v>
      </c>
      <c r="FU137" t="e">
        <f>AND(#REF!,"AAAAAHOf/7A=")</f>
        <v>#REF!</v>
      </c>
      <c r="FV137" t="e">
        <f>AND(#REF!,"AAAAAHOf/7E=")</f>
        <v>#REF!</v>
      </c>
      <c r="FW137" t="e">
        <f>AND(#REF!,"AAAAAHOf/7I=")</f>
        <v>#REF!</v>
      </c>
      <c r="FX137" t="e">
        <f>AND(#REF!,"AAAAAHOf/7M=")</f>
        <v>#REF!</v>
      </c>
      <c r="FY137" t="e">
        <f>AND(#REF!,"AAAAAHOf/7Q=")</f>
        <v>#REF!</v>
      </c>
      <c r="FZ137" t="e">
        <f>AND(#REF!,"AAAAAHOf/7U=")</f>
        <v>#REF!</v>
      </c>
      <c r="GA137" t="e">
        <f>AND(#REF!,"AAAAAHOf/7Y=")</f>
        <v>#REF!</v>
      </c>
      <c r="GB137" t="e">
        <f>AND(#REF!,"AAAAAHOf/7c=")</f>
        <v>#REF!</v>
      </c>
      <c r="GC137" t="e">
        <f>IF(#REF!,"AAAAAHOf/7g=",0)</f>
        <v>#REF!</v>
      </c>
      <c r="GD137" t="e">
        <f>AND(#REF!,"AAAAAHOf/7k=")</f>
        <v>#REF!</v>
      </c>
      <c r="GE137" t="e">
        <f>AND(#REF!,"AAAAAHOf/7o=")</f>
        <v>#REF!</v>
      </c>
      <c r="GF137" t="e">
        <f>AND(#REF!,"AAAAAHOf/7s=")</f>
        <v>#REF!</v>
      </c>
      <c r="GG137" t="e">
        <f>AND(#REF!,"AAAAAHOf/7w=")</f>
        <v>#REF!</v>
      </c>
      <c r="GH137" t="e">
        <f>AND(#REF!,"AAAAAHOf/70=")</f>
        <v>#REF!</v>
      </c>
      <c r="GI137" t="e">
        <f>AND(#REF!,"AAAAAHOf/74=")</f>
        <v>#REF!</v>
      </c>
      <c r="GJ137" t="e">
        <f>AND(#REF!,"AAAAAHOf/78=")</f>
        <v>#REF!</v>
      </c>
      <c r="GK137" t="e">
        <f>AND(#REF!,"AAAAAHOf/8A=")</f>
        <v>#REF!</v>
      </c>
      <c r="GL137" t="e">
        <f>AND(#REF!,"AAAAAHOf/8E=")</f>
        <v>#REF!</v>
      </c>
      <c r="GM137" t="e">
        <f>AND(#REF!,"AAAAAHOf/8I=")</f>
        <v>#REF!</v>
      </c>
      <c r="GN137" t="e">
        <f>AND(#REF!,"AAAAAHOf/8M=")</f>
        <v>#REF!</v>
      </c>
      <c r="GO137" t="e">
        <f>AND(#REF!,"AAAAAHOf/8Q=")</f>
        <v>#REF!</v>
      </c>
      <c r="GP137" t="e">
        <f>AND(#REF!,"AAAAAHOf/8U=")</f>
        <v>#REF!</v>
      </c>
      <c r="GQ137" t="e">
        <f>AND(#REF!,"AAAAAHOf/8Y=")</f>
        <v>#REF!</v>
      </c>
      <c r="GR137" t="e">
        <f>AND(#REF!,"AAAAAHOf/8c=")</f>
        <v>#REF!</v>
      </c>
      <c r="GS137" t="e">
        <f>AND(#REF!,"AAAAAHOf/8g=")</f>
        <v>#REF!</v>
      </c>
      <c r="GT137" t="e">
        <f>AND(#REF!,"AAAAAHOf/8k=")</f>
        <v>#REF!</v>
      </c>
      <c r="GU137" t="e">
        <f>AND(#REF!,"AAAAAHOf/8o=")</f>
        <v>#REF!</v>
      </c>
      <c r="GV137" t="e">
        <f>AND(#REF!,"AAAAAHOf/8s=")</f>
        <v>#REF!</v>
      </c>
      <c r="GW137" t="e">
        <f>AND(#REF!,"AAAAAHOf/8w=")</f>
        <v>#REF!</v>
      </c>
      <c r="GX137" t="e">
        <f>AND(#REF!,"AAAAAHOf/80=")</f>
        <v>#REF!</v>
      </c>
      <c r="GY137" t="e">
        <f>AND(#REF!,"AAAAAHOf/84=")</f>
        <v>#REF!</v>
      </c>
      <c r="GZ137" t="e">
        <f>AND(#REF!,"AAAAAHOf/88=")</f>
        <v>#REF!</v>
      </c>
      <c r="HA137" t="e">
        <f>AND(#REF!,"AAAAAHOf/9A=")</f>
        <v>#REF!</v>
      </c>
      <c r="HB137" t="e">
        <f>AND(#REF!,"AAAAAHOf/9E=")</f>
        <v>#REF!</v>
      </c>
      <c r="HC137" t="e">
        <f>AND(#REF!,"AAAAAHOf/9I=")</f>
        <v>#REF!</v>
      </c>
      <c r="HD137" t="e">
        <f>AND(#REF!,"AAAAAHOf/9M=")</f>
        <v>#REF!</v>
      </c>
      <c r="HE137" t="e">
        <f>AND(#REF!,"AAAAAHOf/9Q=")</f>
        <v>#REF!</v>
      </c>
      <c r="HF137" t="e">
        <f>AND(#REF!,"AAAAAHOf/9U=")</f>
        <v>#REF!</v>
      </c>
      <c r="HG137" t="e">
        <f>AND(#REF!,"AAAAAHOf/9Y=")</f>
        <v>#REF!</v>
      </c>
      <c r="HH137" t="e">
        <f>IF(#REF!,"AAAAAHOf/9c=",0)</f>
        <v>#REF!</v>
      </c>
      <c r="HI137" t="e">
        <f>AND(#REF!,"AAAAAHOf/9g=")</f>
        <v>#REF!</v>
      </c>
      <c r="HJ137" t="e">
        <f>AND(#REF!,"AAAAAHOf/9k=")</f>
        <v>#REF!</v>
      </c>
      <c r="HK137" t="e">
        <f>AND(#REF!,"AAAAAHOf/9o=")</f>
        <v>#REF!</v>
      </c>
      <c r="HL137" t="e">
        <f>AND(#REF!,"AAAAAHOf/9s=")</f>
        <v>#REF!</v>
      </c>
      <c r="HM137" t="e">
        <f>AND(#REF!,"AAAAAHOf/9w=")</f>
        <v>#REF!</v>
      </c>
      <c r="HN137" t="e">
        <f>AND(#REF!,"AAAAAHOf/90=")</f>
        <v>#REF!</v>
      </c>
      <c r="HO137" t="e">
        <f>AND(#REF!,"AAAAAHOf/94=")</f>
        <v>#REF!</v>
      </c>
      <c r="HP137" t="e">
        <f>AND(#REF!,"AAAAAHOf/98=")</f>
        <v>#REF!</v>
      </c>
      <c r="HQ137" t="e">
        <f>AND(#REF!,"AAAAAHOf/+A=")</f>
        <v>#REF!</v>
      </c>
      <c r="HR137" t="e">
        <f>AND(#REF!,"AAAAAHOf/+E=")</f>
        <v>#REF!</v>
      </c>
      <c r="HS137" t="e">
        <f>AND(#REF!,"AAAAAHOf/+I=")</f>
        <v>#REF!</v>
      </c>
      <c r="HT137" t="e">
        <f>AND(#REF!,"AAAAAHOf/+M=")</f>
        <v>#REF!</v>
      </c>
      <c r="HU137" t="e">
        <f>AND(#REF!,"AAAAAHOf/+Q=")</f>
        <v>#REF!</v>
      </c>
      <c r="HV137" t="e">
        <f>AND(#REF!,"AAAAAHOf/+U=")</f>
        <v>#REF!</v>
      </c>
      <c r="HW137" t="e">
        <f>AND(#REF!,"AAAAAHOf/+Y=")</f>
        <v>#REF!</v>
      </c>
      <c r="HX137" t="e">
        <f>AND(#REF!,"AAAAAHOf/+c=")</f>
        <v>#REF!</v>
      </c>
      <c r="HY137" t="e">
        <f>AND(#REF!,"AAAAAHOf/+g=")</f>
        <v>#REF!</v>
      </c>
      <c r="HZ137" t="e">
        <f>AND(#REF!,"AAAAAHOf/+k=")</f>
        <v>#REF!</v>
      </c>
      <c r="IA137" t="e">
        <f>AND(#REF!,"AAAAAHOf/+o=")</f>
        <v>#REF!</v>
      </c>
      <c r="IB137" t="e">
        <f>AND(#REF!,"AAAAAHOf/+s=")</f>
        <v>#REF!</v>
      </c>
      <c r="IC137" t="e">
        <f>AND(#REF!,"AAAAAHOf/+w=")</f>
        <v>#REF!</v>
      </c>
      <c r="ID137" t="e">
        <f>AND(#REF!,"AAAAAHOf/+0=")</f>
        <v>#REF!</v>
      </c>
      <c r="IE137" t="e">
        <f>AND(#REF!,"AAAAAHOf/+4=")</f>
        <v>#REF!</v>
      </c>
      <c r="IF137" t="e">
        <f>AND(#REF!,"AAAAAHOf/+8=")</f>
        <v>#REF!</v>
      </c>
      <c r="IG137" t="e">
        <f>AND(#REF!,"AAAAAHOf//A=")</f>
        <v>#REF!</v>
      </c>
      <c r="IH137" t="e">
        <f>AND(#REF!,"AAAAAHOf//E=")</f>
        <v>#REF!</v>
      </c>
      <c r="II137" t="e">
        <f>AND(#REF!,"AAAAAHOf//I=")</f>
        <v>#REF!</v>
      </c>
      <c r="IJ137" t="e">
        <f>AND(#REF!,"AAAAAHOf//M=")</f>
        <v>#REF!</v>
      </c>
      <c r="IK137" t="e">
        <f>AND(#REF!,"AAAAAHOf//Q=")</f>
        <v>#REF!</v>
      </c>
      <c r="IL137" t="e">
        <f>AND(#REF!,"AAAAAHOf//U=")</f>
        <v>#REF!</v>
      </c>
      <c r="IM137" t="e">
        <f>IF(#REF!,"AAAAAHOf//Y=",0)</f>
        <v>#REF!</v>
      </c>
      <c r="IN137" t="e">
        <f>AND(#REF!,"AAAAAHOf//c=")</f>
        <v>#REF!</v>
      </c>
      <c r="IO137" t="e">
        <f>AND(#REF!,"AAAAAHOf//g=")</f>
        <v>#REF!</v>
      </c>
      <c r="IP137" t="e">
        <f>AND(#REF!,"AAAAAHOf//k=")</f>
        <v>#REF!</v>
      </c>
      <c r="IQ137" t="e">
        <f>AND(#REF!,"AAAAAHOf//o=")</f>
        <v>#REF!</v>
      </c>
      <c r="IR137" t="e">
        <f>AND(#REF!,"AAAAAHOf//s=")</f>
        <v>#REF!</v>
      </c>
      <c r="IS137" t="e">
        <f>AND(#REF!,"AAAAAHOf//w=")</f>
        <v>#REF!</v>
      </c>
      <c r="IT137" t="e">
        <f>AND(#REF!,"AAAAAHOf//0=")</f>
        <v>#REF!</v>
      </c>
      <c r="IU137" t="e">
        <f>AND(#REF!,"AAAAAHOf//4=")</f>
        <v>#REF!</v>
      </c>
      <c r="IV137" t="e">
        <f>AND(#REF!,"AAAAAHOf//8=")</f>
        <v>#REF!</v>
      </c>
    </row>
    <row r="138" spans="1:256" x14ac:dyDescent="0.2">
      <c r="A138" t="e">
        <f>AND(#REF!,"AAAAAG2z9gA=")</f>
        <v>#REF!</v>
      </c>
      <c r="B138" t="e">
        <f>AND(#REF!,"AAAAAG2z9gE=")</f>
        <v>#REF!</v>
      </c>
      <c r="C138" t="e">
        <f>AND(#REF!,"AAAAAG2z9gI=")</f>
        <v>#REF!</v>
      </c>
      <c r="D138" t="e">
        <f>AND(#REF!,"AAAAAG2z9gM=")</f>
        <v>#REF!</v>
      </c>
      <c r="E138" t="e">
        <f>AND(#REF!,"AAAAAG2z9gQ=")</f>
        <v>#REF!</v>
      </c>
      <c r="F138" t="e">
        <f>AND(#REF!,"AAAAAG2z9gU=")</f>
        <v>#REF!</v>
      </c>
      <c r="G138" t="e">
        <f>AND(#REF!,"AAAAAG2z9gY=")</f>
        <v>#REF!</v>
      </c>
      <c r="H138" t="e">
        <f>AND(#REF!,"AAAAAG2z9gc=")</f>
        <v>#REF!</v>
      </c>
      <c r="I138" t="e">
        <f>AND(#REF!,"AAAAAG2z9gg=")</f>
        <v>#REF!</v>
      </c>
      <c r="J138" t="e">
        <f>AND(#REF!,"AAAAAG2z9gk=")</f>
        <v>#REF!</v>
      </c>
      <c r="K138" t="e">
        <f>AND(#REF!,"AAAAAG2z9go=")</f>
        <v>#REF!</v>
      </c>
      <c r="L138" t="e">
        <f>AND(#REF!,"AAAAAG2z9gs=")</f>
        <v>#REF!</v>
      </c>
      <c r="M138" t="e">
        <f>AND(#REF!,"AAAAAG2z9gw=")</f>
        <v>#REF!</v>
      </c>
      <c r="N138" t="e">
        <f>AND(#REF!,"AAAAAG2z9g0=")</f>
        <v>#REF!</v>
      </c>
      <c r="O138" t="e">
        <f>AND(#REF!,"AAAAAG2z9g4=")</f>
        <v>#REF!</v>
      </c>
      <c r="P138" t="e">
        <f>AND(#REF!,"AAAAAG2z9g8=")</f>
        <v>#REF!</v>
      </c>
      <c r="Q138" t="e">
        <f>AND(#REF!,"AAAAAG2z9hA=")</f>
        <v>#REF!</v>
      </c>
      <c r="R138" t="e">
        <f>AND(#REF!,"AAAAAG2z9hE=")</f>
        <v>#REF!</v>
      </c>
      <c r="S138" t="e">
        <f>AND(#REF!,"AAAAAG2z9hI=")</f>
        <v>#REF!</v>
      </c>
      <c r="T138" t="e">
        <f>AND(#REF!,"AAAAAG2z9hM=")</f>
        <v>#REF!</v>
      </c>
      <c r="U138" t="e">
        <f>AND(#REF!,"AAAAAG2z9hQ=")</f>
        <v>#REF!</v>
      </c>
      <c r="V138" t="e">
        <f>IF(#REF!,"AAAAAG2z9hU=",0)</f>
        <v>#REF!</v>
      </c>
      <c r="W138" t="e">
        <f>AND(#REF!,"AAAAAG2z9hY=")</f>
        <v>#REF!</v>
      </c>
      <c r="X138" t="e">
        <f>AND(#REF!,"AAAAAG2z9hc=")</f>
        <v>#REF!</v>
      </c>
      <c r="Y138" t="e">
        <f>AND(#REF!,"AAAAAG2z9hg=")</f>
        <v>#REF!</v>
      </c>
      <c r="Z138" t="e">
        <f>AND(#REF!,"AAAAAG2z9hk=")</f>
        <v>#REF!</v>
      </c>
      <c r="AA138" t="e">
        <f>AND(#REF!,"AAAAAG2z9ho=")</f>
        <v>#REF!</v>
      </c>
      <c r="AB138" t="e">
        <f>AND(#REF!,"AAAAAG2z9hs=")</f>
        <v>#REF!</v>
      </c>
      <c r="AC138" t="e">
        <f>AND(#REF!,"AAAAAG2z9hw=")</f>
        <v>#REF!</v>
      </c>
      <c r="AD138" t="e">
        <f>AND(#REF!,"AAAAAG2z9h0=")</f>
        <v>#REF!</v>
      </c>
      <c r="AE138" t="e">
        <f>AND(#REF!,"AAAAAG2z9h4=")</f>
        <v>#REF!</v>
      </c>
      <c r="AF138" t="e">
        <f>AND(#REF!,"AAAAAG2z9h8=")</f>
        <v>#REF!</v>
      </c>
      <c r="AG138" t="e">
        <f>AND(#REF!,"AAAAAG2z9iA=")</f>
        <v>#REF!</v>
      </c>
      <c r="AH138" t="e">
        <f>AND(#REF!,"AAAAAG2z9iE=")</f>
        <v>#REF!</v>
      </c>
      <c r="AI138" t="e">
        <f>AND(#REF!,"AAAAAG2z9iI=")</f>
        <v>#REF!</v>
      </c>
      <c r="AJ138" t="e">
        <f>AND(#REF!,"AAAAAG2z9iM=")</f>
        <v>#REF!</v>
      </c>
      <c r="AK138" t="e">
        <f>AND(#REF!,"AAAAAG2z9iQ=")</f>
        <v>#REF!</v>
      </c>
      <c r="AL138" t="e">
        <f>AND(#REF!,"AAAAAG2z9iU=")</f>
        <v>#REF!</v>
      </c>
      <c r="AM138" t="e">
        <f>AND(#REF!,"AAAAAG2z9iY=")</f>
        <v>#REF!</v>
      </c>
      <c r="AN138" t="e">
        <f>AND(#REF!,"AAAAAG2z9ic=")</f>
        <v>#REF!</v>
      </c>
      <c r="AO138" t="e">
        <f>AND(#REF!,"AAAAAG2z9ig=")</f>
        <v>#REF!</v>
      </c>
      <c r="AP138" t="e">
        <f>AND(#REF!,"AAAAAG2z9ik=")</f>
        <v>#REF!</v>
      </c>
      <c r="AQ138" t="e">
        <f>AND(#REF!,"AAAAAG2z9io=")</f>
        <v>#REF!</v>
      </c>
      <c r="AR138" t="e">
        <f>AND(#REF!,"AAAAAG2z9is=")</f>
        <v>#REF!</v>
      </c>
      <c r="AS138" t="e">
        <f>AND(#REF!,"AAAAAG2z9iw=")</f>
        <v>#REF!</v>
      </c>
      <c r="AT138" t="e">
        <f>AND(#REF!,"AAAAAG2z9i0=")</f>
        <v>#REF!</v>
      </c>
      <c r="AU138" t="e">
        <f>AND(#REF!,"AAAAAG2z9i4=")</f>
        <v>#REF!</v>
      </c>
      <c r="AV138" t="e">
        <f>AND(#REF!,"AAAAAG2z9i8=")</f>
        <v>#REF!</v>
      </c>
      <c r="AW138" t="e">
        <f>AND(#REF!,"AAAAAG2z9jA=")</f>
        <v>#REF!</v>
      </c>
      <c r="AX138" t="e">
        <f>AND(#REF!,"AAAAAG2z9jE=")</f>
        <v>#REF!</v>
      </c>
      <c r="AY138" t="e">
        <f>AND(#REF!,"AAAAAG2z9jI=")</f>
        <v>#REF!</v>
      </c>
      <c r="AZ138" t="e">
        <f>AND(#REF!,"AAAAAG2z9jM=")</f>
        <v>#REF!</v>
      </c>
      <c r="BA138" t="e">
        <f>IF(#REF!,"AAAAAG2z9jQ=",0)</f>
        <v>#REF!</v>
      </c>
      <c r="BB138" t="e">
        <f>AND(#REF!,"AAAAAG2z9jU=")</f>
        <v>#REF!</v>
      </c>
      <c r="BC138" t="e">
        <f>AND(#REF!,"AAAAAG2z9jY=")</f>
        <v>#REF!</v>
      </c>
      <c r="BD138" t="e">
        <f>AND(#REF!,"AAAAAG2z9jc=")</f>
        <v>#REF!</v>
      </c>
      <c r="BE138" t="e">
        <f>AND(#REF!,"AAAAAG2z9jg=")</f>
        <v>#REF!</v>
      </c>
      <c r="BF138" t="e">
        <f>AND(#REF!,"AAAAAG2z9jk=")</f>
        <v>#REF!</v>
      </c>
      <c r="BG138" t="e">
        <f>AND(#REF!,"AAAAAG2z9jo=")</f>
        <v>#REF!</v>
      </c>
      <c r="BH138" t="e">
        <f>AND(#REF!,"AAAAAG2z9js=")</f>
        <v>#REF!</v>
      </c>
      <c r="BI138" t="e">
        <f>AND(#REF!,"AAAAAG2z9jw=")</f>
        <v>#REF!</v>
      </c>
      <c r="BJ138" t="e">
        <f>AND(#REF!,"AAAAAG2z9j0=")</f>
        <v>#REF!</v>
      </c>
      <c r="BK138" t="e">
        <f>AND(#REF!,"AAAAAG2z9j4=")</f>
        <v>#REF!</v>
      </c>
      <c r="BL138" t="e">
        <f>AND(#REF!,"AAAAAG2z9j8=")</f>
        <v>#REF!</v>
      </c>
      <c r="BM138" t="e">
        <f>AND(#REF!,"AAAAAG2z9kA=")</f>
        <v>#REF!</v>
      </c>
      <c r="BN138" t="e">
        <f>AND(#REF!,"AAAAAG2z9kE=")</f>
        <v>#REF!</v>
      </c>
      <c r="BO138" t="e">
        <f>AND(#REF!,"AAAAAG2z9kI=")</f>
        <v>#REF!</v>
      </c>
      <c r="BP138" t="e">
        <f>AND(#REF!,"AAAAAG2z9kM=")</f>
        <v>#REF!</v>
      </c>
      <c r="BQ138" t="e">
        <f>AND(#REF!,"AAAAAG2z9kQ=")</f>
        <v>#REF!</v>
      </c>
      <c r="BR138" t="e">
        <f>AND(#REF!,"AAAAAG2z9kU=")</f>
        <v>#REF!</v>
      </c>
      <c r="BS138" t="e">
        <f>AND(#REF!,"AAAAAG2z9kY=")</f>
        <v>#REF!</v>
      </c>
      <c r="BT138" t="e">
        <f>AND(#REF!,"AAAAAG2z9kc=")</f>
        <v>#REF!</v>
      </c>
      <c r="BU138" t="e">
        <f>AND(#REF!,"AAAAAG2z9kg=")</f>
        <v>#REF!</v>
      </c>
      <c r="BV138" t="e">
        <f>AND(#REF!,"AAAAAG2z9kk=")</f>
        <v>#REF!</v>
      </c>
      <c r="BW138" t="e">
        <f>AND(#REF!,"AAAAAG2z9ko=")</f>
        <v>#REF!</v>
      </c>
      <c r="BX138" t="e">
        <f>AND(#REF!,"AAAAAG2z9ks=")</f>
        <v>#REF!</v>
      </c>
      <c r="BY138" t="e">
        <f>AND(#REF!,"AAAAAG2z9kw=")</f>
        <v>#REF!</v>
      </c>
      <c r="BZ138" t="e">
        <f>AND(#REF!,"AAAAAG2z9k0=")</f>
        <v>#REF!</v>
      </c>
      <c r="CA138" t="e">
        <f>AND(#REF!,"AAAAAG2z9k4=")</f>
        <v>#REF!</v>
      </c>
      <c r="CB138" t="e">
        <f>AND(#REF!,"AAAAAG2z9k8=")</f>
        <v>#REF!</v>
      </c>
      <c r="CC138" t="e">
        <f>AND(#REF!,"AAAAAG2z9lA=")</f>
        <v>#REF!</v>
      </c>
      <c r="CD138" t="e">
        <f>AND(#REF!,"AAAAAG2z9lE=")</f>
        <v>#REF!</v>
      </c>
      <c r="CE138" t="e">
        <f>AND(#REF!,"AAAAAG2z9lI=")</f>
        <v>#REF!</v>
      </c>
      <c r="CF138" t="e">
        <f>IF(#REF!,"AAAAAG2z9lM=",0)</f>
        <v>#REF!</v>
      </c>
      <c r="CG138" t="e">
        <f>AND(#REF!,"AAAAAG2z9lQ=")</f>
        <v>#REF!</v>
      </c>
      <c r="CH138" t="e">
        <f>AND(#REF!,"AAAAAG2z9lU=")</f>
        <v>#REF!</v>
      </c>
      <c r="CI138" t="e">
        <f>AND(#REF!,"AAAAAG2z9lY=")</f>
        <v>#REF!</v>
      </c>
      <c r="CJ138" t="e">
        <f>AND(#REF!,"AAAAAG2z9lc=")</f>
        <v>#REF!</v>
      </c>
      <c r="CK138" t="e">
        <f>AND(#REF!,"AAAAAG2z9lg=")</f>
        <v>#REF!</v>
      </c>
      <c r="CL138" t="e">
        <f>AND(#REF!,"AAAAAG2z9lk=")</f>
        <v>#REF!</v>
      </c>
      <c r="CM138" t="e">
        <f>AND(#REF!,"AAAAAG2z9lo=")</f>
        <v>#REF!</v>
      </c>
      <c r="CN138" t="e">
        <f>AND(#REF!,"AAAAAG2z9ls=")</f>
        <v>#REF!</v>
      </c>
      <c r="CO138" t="e">
        <f>AND(#REF!,"AAAAAG2z9lw=")</f>
        <v>#REF!</v>
      </c>
      <c r="CP138" t="e">
        <f>AND(#REF!,"AAAAAG2z9l0=")</f>
        <v>#REF!</v>
      </c>
      <c r="CQ138" t="e">
        <f>AND(#REF!,"AAAAAG2z9l4=")</f>
        <v>#REF!</v>
      </c>
      <c r="CR138" t="e">
        <f>AND(#REF!,"AAAAAG2z9l8=")</f>
        <v>#REF!</v>
      </c>
      <c r="CS138" t="e">
        <f>AND(#REF!,"AAAAAG2z9mA=")</f>
        <v>#REF!</v>
      </c>
      <c r="CT138" t="e">
        <f>AND(#REF!,"AAAAAG2z9mE=")</f>
        <v>#REF!</v>
      </c>
      <c r="CU138" t="e">
        <f>AND(#REF!,"AAAAAG2z9mI=")</f>
        <v>#REF!</v>
      </c>
      <c r="CV138" t="e">
        <f>AND(#REF!,"AAAAAG2z9mM=")</f>
        <v>#REF!</v>
      </c>
      <c r="CW138" t="e">
        <f>AND(#REF!,"AAAAAG2z9mQ=")</f>
        <v>#REF!</v>
      </c>
      <c r="CX138" t="e">
        <f>AND(#REF!,"AAAAAG2z9mU=")</f>
        <v>#REF!</v>
      </c>
      <c r="CY138" t="e">
        <f>AND(#REF!,"AAAAAG2z9mY=")</f>
        <v>#REF!</v>
      </c>
      <c r="CZ138" t="e">
        <f>AND(#REF!,"AAAAAG2z9mc=")</f>
        <v>#REF!</v>
      </c>
      <c r="DA138" t="e">
        <f>AND(#REF!,"AAAAAG2z9mg=")</f>
        <v>#REF!</v>
      </c>
      <c r="DB138" t="e">
        <f>AND(#REF!,"AAAAAG2z9mk=")</f>
        <v>#REF!</v>
      </c>
      <c r="DC138" t="e">
        <f>AND(#REF!,"AAAAAG2z9mo=")</f>
        <v>#REF!</v>
      </c>
      <c r="DD138" t="e">
        <f>AND(#REF!,"AAAAAG2z9ms=")</f>
        <v>#REF!</v>
      </c>
      <c r="DE138" t="e">
        <f>AND(#REF!,"AAAAAG2z9mw=")</f>
        <v>#REF!</v>
      </c>
      <c r="DF138" t="e">
        <f>AND(#REF!,"AAAAAG2z9m0=")</f>
        <v>#REF!</v>
      </c>
      <c r="DG138" t="e">
        <f>AND(#REF!,"AAAAAG2z9m4=")</f>
        <v>#REF!</v>
      </c>
      <c r="DH138" t="e">
        <f>AND(#REF!,"AAAAAG2z9m8=")</f>
        <v>#REF!</v>
      </c>
      <c r="DI138" t="e">
        <f>AND(#REF!,"AAAAAG2z9nA=")</f>
        <v>#REF!</v>
      </c>
      <c r="DJ138" t="e">
        <f>AND(#REF!,"AAAAAG2z9nE=")</f>
        <v>#REF!</v>
      </c>
      <c r="DK138" t="e">
        <f>IF(#REF!,"AAAAAG2z9nI=",0)</f>
        <v>#REF!</v>
      </c>
      <c r="DL138" t="e">
        <f>AND(#REF!,"AAAAAG2z9nM=")</f>
        <v>#REF!</v>
      </c>
      <c r="DM138" t="e">
        <f>AND(#REF!,"AAAAAG2z9nQ=")</f>
        <v>#REF!</v>
      </c>
      <c r="DN138" t="e">
        <f>AND(#REF!,"AAAAAG2z9nU=")</f>
        <v>#REF!</v>
      </c>
      <c r="DO138" t="e">
        <f>AND(#REF!,"AAAAAG2z9nY=")</f>
        <v>#REF!</v>
      </c>
      <c r="DP138" t="e">
        <f>AND(#REF!,"AAAAAG2z9nc=")</f>
        <v>#REF!</v>
      </c>
      <c r="DQ138" t="e">
        <f>AND(#REF!,"AAAAAG2z9ng=")</f>
        <v>#REF!</v>
      </c>
      <c r="DR138" t="e">
        <f>AND(#REF!,"AAAAAG2z9nk=")</f>
        <v>#REF!</v>
      </c>
      <c r="DS138" t="e">
        <f>AND(#REF!,"AAAAAG2z9no=")</f>
        <v>#REF!</v>
      </c>
      <c r="DT138" t="e">
        <f>AND(#REF!,"AAAAAG2z9ns=")</f>
        <v>#REF!</v>
      </c>
      <c r="DU138" t="e">
        <f>AND(#REF!,"AAAAAG2z9nw=")</f>
        <v>#REF!</v>
      </c>
      <c r="DV138" t="e">
        <f>AND(#REF!,"AAAAAG2z9n0=")</f>
        <v>#REF!</v>
      </c>
      <c r="DW138" t="e">
        <f>AND(#REF!,"AAAAAG2z9n4=")</f>
        <v>#REF!</v>
      </c>
      <c r="DX138" t="e">
        <f>AND(#REF!,"AAAAAG2z9n8=")</f>
        <v>#REF!</v>
      </c>
      <c r="DY138" t="e">
        <f>AND(#REF!,"AAAAAG2z9oA=")</f>
        <v>#REF!</v>
      </c>
      <c r="DZ138" t="e">
        <f>AND(#REF!,"AAAAAG2z9oE=")</f>
        <v>#REF!</v>
      </c>
      <c r="EA138" t="e">
        <f>AND(#REF!,"AAAAAG2z9oI=")</f>
        <v>#REF!</v>
      </c>
      <c r="EB138" t="e">
        <f>AND(#REF!,"AAAAAG2z9oM=")</f>
        <v>#REF!</v>
      </c>
      <c r="EC138" t="e">
        <f>AND(#REF!,"AAAAAG2z9oQ=")</f>
        <v>#REF!</v>
      </c>
      <c r="ED138" t="e">
        <f>AND(#REF!,"AAAAAG2z9oU=")</f>
        <v>#REF!</v>
      </c>
      <c r="EE138" t="e">
        <f>AND(#REF!,"AAAAAG2z9oY=")</f>
        <v>#REF!</v>
      </c>
      <c r="EF138" t="e">
        <f>AND(#REF!,"AAAAAG2z9oc=")</f>
        <v>#REF!</v>
      </c>
      <c r="EG138" t="e">
        <f>AND(#REF!,"AAAAAG2z9og=")</f>
        <v>#REF!</v>
      </c>
      <c r="EH138" t="e">
        <f>AND(#REF!,"AAAAAG2z9ok=")</f>
        <v>#REF!</v>
      </c>
      <c r="EI138" t="e">
        <f>AND(#REF!,"AAAAAG2z9oo=")</f>
        <v>#REF!</v>
      </c>
      <c r="EJ138" t="e">
        <f>AND(#REF!,"AAAAAG2z9os=")</f>
        <v>#REF!</v>
      </c>
      <c r="EK138" t="e">
        <f>AND(#REF!,"AAAAAG2z9ow=")</f>
        <v>#REF!</v>
      </c>
      <c r="EL138" t="e">
        <f>AND(#REF!,"AAAAAG2z9o0=")</f>
        <v>#REF!</v>
      </c>
      <c r="EM138" t="e">
        <f>AND(#REF!,"AAAAAG2z9o4=")</f>
        <v>#REF!</v>
      </c>
      <c r="EN138" t="e">
        <f>AND(#REF!,"AAAAAG2z9o8=")</f>
        <v>#REF!</v>
      </c>
      <c r="EO138" t="e">
        <f>AND(#REF!,"AAAAAG2z9pA=")</f>
        <v>#REF!</v>
      </c>
      <c r="EP138" t="e">
        <f>IF(#REF!,"AAAAAG2z9pE=",0)</f>
        <v>#REF!</v>
      </c>
      <c r="EQ138" t="e">
        <f>AND(#REF!,"AAAAAG2z9pI=")</f>
        <v>#REF!</v>
      </c>
      <c r="ER138" t="e">
        <f>AND(#REF!,"AAAAAG2z9pM=")</f>
        <v>#REF!</v>
      </c>
      <c r="ES138" t="e">
        <f>AND(#REF!,"AAAAAG2z9pQ=")</f>
        <v>#REF!</v>
      </c>
      <c r="ET138" t="e">
        <f>AND(#REF!,"AAAAAG2z9pU=")</f>
        <v>#REF!</v>
      </c>
      <c r="EU138" t="e">
        <f>AND(#REF!,"AAAAAG2z9pY=")</f>
        <v>#REF!</v>
      </c>
      <c r="EV138" t="e">
        <f>AND(#REF!,"AAAAAG2z9pc=")</f>
        <v>#REF!</v>
      </c>
      <c r="EW138" t="e">
        <f>AND(#REF!,"AAAAAG2z9pg=")</f>
        <v>#REF!</v>
      </c>
      <c r="EX138" t="e">
        <f>AND(#REF!,"AAAAAG2z9pk=")</f>
        <v>#REF!</v>
      </c>
      <c r="EY138" t="e">
        <f>AND(#REF!,"AAAAAG2z9po=")</f>
        <v>#REF!</v>
      </c>
      <c r="EZ138" t="e">
        <f>AND(#REF!,"AAAAAG2z9ps=")</f>
        <v>#REF!</v>
      </c>
      <c r="FA138" t="e">
        <f>AND(#REF!,"AAAAAG2z9pw=")</f>
        <v>#REF!</v>
      </c>
      <c r="FB138" t="e">
        <f>AND(#REF!,"AAAAAG2z9p0=")</f>
        <v>#REF!</v>
      </c>
      <c r="FC138" t="e">
        <f>AND(#REF!,"AAAAAG2z9p4=")</f>
        <v>#REF!</v>
      </c>
      <c r="FD138" t="e">
        <f>AND(#REF!,"AAAAAG2z9p8=")</f>
        <v>#REF!</v>
      </c>
      <c r="FE138" t="e">
        <f>AND(#REF!,"AAAAAG2z9qA=")</f>
        <v>#REF!</v>
      </c>
      <c r="FF138" t="e">
        <f>AND(#REF!,"AAAAAG2z9qE=")</f>
        <v>#REF!</v>
      </c>
      <c r="FG138" t="e">
        <f>AND(#REF!,"AAAAAG2z9qI=")</f>
        <v>#REF!</v>
      </c>
      <c r="FH138" t="e">
        <f>AND(#REF!,"AAAAAG2z9qM=")</f>
        <v>#REF!</v>
      </c>
      <c r="FI138" t="e">
        <f>AND(#REF!,"AAAAAG2z9qQ=")</f>
        <v>#REF!</v>
      </c>
      <c r="FJ138" t="e">
        <f>AND(#REF!,"AAAAAG2z9qU=")</f>
        <v>#REF!</v>
      </c>
      <c r="FK138" t="e">
        <f>AND(#REF!,"AAAAAG2z9qY=")</f>
        <v>#REF!</v>
      </c>
      <c r="FL138" t="e">
        <f>AND(#REF!,"AAAAAG2z9qc=")</f>
        <v>#REF!</v>
      </c>
      <c r="FM138" t="e">
        <f>AND(#REF!,"AAAAAG2z9qg=")</f>
        <v>#REF!</v>
      </c>
      <c r="FN138" t="e">
        <f>AND(#REF!,"AAAAAG2z9qk=")</f>
        <v>#REF!</v>
      </c>
      <c r="FO138" t="e">
        <f>AND(#REF!,"AAAAAG2z9qo=")</f>
        <v>#REF!</v>
      </c>
      <c r="FP138" t="e">
        <f>AND(#REF!,"AAAAAG2z9qs=")</f>
        <v>#REF!</v>
      </c>
      <c r="FQ138" t="e">
        <f>AND(#REF!,"AAAAAG2z9qw=")</f>
        <v>#REF!</v>
      </c>
      <c r="FR138" t="e">
        <f>AND(#REF!,"AAAAAG2z9q0=")</f>
        <v>#REF!</v>
      </c>
      <c r="FS138" t="e">
        <f>AND(#REF!,"AAAAAG2z9q4=")</f>
        <v>#REF!</v>
      </c>
      <c r="FT138" t="e">
        <f>AND(#REF!,"AAAAAG2z9q8=")</f>
        <v>#REF!</v>
      </c>
      <c r="FU138" t="e">
        <f>IF(#REF!,"AAAAAG2z9rA=",0)</f>
        <v>#REF!</v>
      </c>
      <c r="FV138" t="e">
        <f>AND(#REF!,"AAAAAG2z9rE=")</f>
        <v>#REF!</v>
      </c>
      <c r="FW138" t="e">
        <f>AND(#REF!,"AAAAAG2z9rI=")</f>
        <v>#REF!</v>
      </c>
      <c r="FX138" t="e">
        <f>AND(#REF!,"AAAAAG2z9rM=")</f>
        <v>#REF!</v>
      </c>
      <c r="FY138" t="e">
        <f>AND(#REF!,"AAAAAG2z9rQ=")</f>
        <v>#REF!</v>
      </c>
      <c r="FZ138" t="e">
        <f>AND(#REF!,"AAAAAG2z9rU=")</f>
        <v>#REF!</v>
      </c>
      <c r="GA138" t="e">
        <f>AND(#REF!,"AAAAAG2z9rY=")</f>
        <v>#REF!</v>
      </c>
      <c r="GB138" t="e">
        <f>AND(#REF!,"AAAAAG2z9rc=")</f>
        <v>#REF!</v>
      </c>
      <c r="GC138" t="e">
        <f>AND(#REF!,"AAAAAG2z9rg=")</f>
        <v>#REF!</v>
      </c>
      <c r="GD138" t="e">
        <f>AND(#REF!,"AAAAAG2z9rk=")</f>
        <v>#REF!</v>
      </c>
      <c r="GE138" t="e">
        <f>AND(#REF!,"AAAAAG2z9ro=")</f>
        <v>#REF!</v>
      </c>
      <c r="GF138" t="e">
        <f>AND(#REF!,"AAAAAG2z9rs=")</f>
        <v>#REF!</v>
      </c>
      <c r="GG138" t="e">
        <f>AND(#REF!,"AAAAAG2z9rw=")</f>
        <v>#REF!</v>
      </c>
      <c r="GH138" t="e">
        <f>AND(#REF!,"AAAAAG2z9r0=")</f>
        <v>#REF!</v>
      </c>
      <c r="GI138" t="e">
        <f>AND(#REF!,"AAAAAG2z9r4=")</f>
        <v>#REF!</v>
      </c>
      <c r="GJ138" t="e">
        <f>AND(#REF!,"AAAAAG2z9r8=")</f>
        <v>#REF!</v>
      </c>
      <c r="GK138" t="e">
        <f>AND(#REF!,"AAAAAG2z9sA=")</f>
        <v>#REF!</v>
      </c>
      <c r="GL138" t="e">
        <f>AND(#REF!,"AAAAAG2z9sE=")</f>
        <v>#REF!</v>
      </c>
      <c r="GM138" t="e">
        <f>AND(#REF!,"AAAAAG2z9sI=")</f>
        <v>#REF!</v>
      </c>
      <c r="GN138" t="e">
        <f>AND(#REF!,"AAAAAG2z9sM=")</f>
        <v>#REF!</v>
      </c>
      <c r="GO138" t="e">
        <f>AND(#REF!,"AAAAAG2z9sQ=")</f>
        <v>#REF!</v>
      </c>
      <c r="GP138" t="e">
        <f>AND(#REF!,"AAAAAG2z9sU=")</f>
        <v>#REF!</v>
      </c>
      <c r="GQ138" t="e">
        <f>AND(#REF!,"AAAAAG2z9sY=")</f>
        <v>#REF!</v>
      </c>
      <c r="GR138" t="e">
        <f>AND(#REF!,"AAAAAG2z9sc=")</f>
        <v>#REF!</v>
      </c>
      <c r="GS138" t="e">
        <f>AND(#REF!,"AAAAAG2z9sg=")</f>
        <v>#REF!</v>
      </c>
      <c r="GT138" t="e">
        <f>AND(#REF!,"AAAAAG2z9sk=")</f>
        <v>#REF!</v>
      </c>
      <c r="GU138" t="e">
        <f>AND(#REF!,"AAAAAG2z9so=")</f>
        <v>#REF!</v>
      </c>
      <c r="GV138" t="e">
        <f>AND(#REF!,"AAAAAG2z9ss=")</f>
        <v>#REF!</v>
      </c>
      <c r="GW138" t="e">
        <f>AND(#REF!,"AAAAAG2z9sw=")</f>
        <v>#REF!</v>
      </c>
      <c r="GX138" t="e">
        <f>AND(#REF!,"AAAAAG2z9s0=")</f>
        <v>#REF!</v>
      </c>
      <c r="GY138" t="e">
        <f>AND(#REF!,"AAAAAG2z9s4=")</f>
        <v>#REF!</v>
      </c>
      <c r="GZ138" t="e">
        <f>IF(#REF!,"AAAAAG2z9s8=",0)</f>
        <v>#REF!</v>
      </c>
      <c r="HA138" t="e">
        <f>AND(#REF!,"AAAAAG2z9tA=")</f>
        <v>#REF!</v>
      </c>
      <c r="HB138" t="e">
        <f>AND(#REF!,"AAAAAG2z9tE=")</f>
        <v>#REF!</v>
      </c>
      <c r="HC138" t="e">
        <f>AND(#REF!,"AAAAAG2z9tI=")</f>
        <v>#REF!</v>
      </c>
      <c r="HD138" t="e">
        <f>AND(#REF!,"AAAAAG2z9tM=")</f>
        <v>#REF!</v>
      </c>
      <c r="HE138" t="e">
        <f>AND(#REF!,"AAAAAG2z9tQ=")</f>
        <v>#REF!</v>
      </c>
      <c r="HF138" t="e">
        <f>AND(#REF!,"AAAAAG2z9tU=")</f>
        <v>#REF!</v>
      </c>
      <c r="HG138" t="e">
        <f>AND(#REF!,"AAAAAG2z9tY=")</f>
        <v>#REF!</v>
      </c>
      <c r="HH138" t="e">
        <f>AND(#REF!,"AAAAAG2z9tc=")</f>
        <v>#REF!</v>
      </c>
      <c r="HI138" t="e">
        <f>AND(#REF!,"AAAAAG2z9tg=")</f>
        <v>#REF!</v>
      </c>
      <c r="HJ138" t="e">
        <f>AND(#REF!,"AAAAAG2z9tk=")</f>
        <v>#REF!</v>
      </c>
      <c r="HK138" t="e">
        <f>AND(#REF!,"AAAAAG2z9to=")</f>
        <v>#REF!</v>
      </c>
      <c r="HL138" t="e">
        <f>AND(#REF!,"AAAAAG2z9ts=")</f>
        <v>#REF!</v>
      </c>
      <c r="HM138" t="e">
        <f>AND(#REF!,"AAAAAG2z9tw=")</f>
        <v>#REF!</v>
      </c>
      <c r="HN138" t="e">
        <f>AND(#REF!,"AAAAAG2z9t0=")</f>
        <v>#REF!</v>
      </c>
      <c r="HO138" t="e">
        <f>AND(#REF!,"AAAAAG2z9t4=")</f>
        <v>#REF!</v>
      </c>
      <c r="HP138" t="e">
        <f>AND(#REF!,"AAAAAG2z9t8=")</f>
        <v>#REF!</v>
      </c>
      <c r="HQ138" t="e">
        <f>AND(#REF!,"AAAAAG2z9uA=")</f>
        <v>#REF!</v>
      </c>
      <c r="HR138" t="e">
        <f>AND(#REF!,"AAAAAG2z9uE=")</f>
        <v>#REF!</v>
      </c>
      <c r="HS138" t="e">
        <f>AND(#REF!,"AAAAAG2z9uI=")</f>
        <v>#REF!</v>
      </c>
      <c r="HT138" t="e">
        <f>AND(#REF!,"AAAAAG2z9uM=")</f>
        <v>#REF!</v>
      </c>
      <c r="HU138" t="e">
        <f>AND(#REF!,"AAAAAG2z9uQ=")</f>
        <v>#REF!</v>
      </c>
      <c r="HV138" t="e">
        <f>AND(#REF!,"AAAAAG2z9uU=")</f>
        <v>#REF!</v>
      </c>
      <c r="HW138" t="e">
        <f>AND(#REF!,"AAAAAG2z9uY=")</f>
        <v>#REF!</v>
      </c>
      <c r="HX138" t="e">
        <f>AND(#REF!,"AAAAAG2z9uc=")</f>
        <v>#REF!</v>
      </c>
      <c r="HY138" t="e">
        <f>AND(#REF!,"AAAAAG2z9ug=")</f>
        <v>#REF!</v>
      </c>
      <c r="HZ138" t="e">
        <f>AND(#REF!,"AAAAAG2z9uk=")</f>
        <v>#REF!</v>
      </c>
      <c r="IA138" t="e">
        <f>AND(#REF!,"AAAAAG2z9uo=")</f>
        <v>#REF!</v>
      </c>
      <c r="IB138" t="e">
        <f>AND(#REF!,"AAAAAG2z9us=")</f>
        <v>#REF!</v>
      </c>
      <c r="IC138" t="e">
        <f>AND(#REF!,"AAAAAG2z9uw=")</f>
        <v>#REF!</v>
      </c>
      <c r="ID138" t="e">
        <f>AND(#REF!,"AAAAAG2z9u0=")</f>
        <v>#REF!</v>
      </c>
      <c r="IE138" t="e">
        <f>IF(#REF!,"AAAAAG2z9u4=",0)</f>
        <v>#REF!</v>
      </c>
      <c r="IF138" t="e">
        <f>AND(#REF!,"AAAAAG2z9u8=")</f>
        <v>#REF!</v>
      </c>
      <c r="IG138" t="e">
        <f>AND(#REF!,"AAAAAG2z9vA=")</f>
        <v>#REF!</v>
      </c>
      <c r="IH138" t="e">
        <f>AND(#REF!,"AAAAAG2z9vE=")</f>
        <v>#REF!</v>
      </c>
      <c r="II138" t="e">
        <f>AND(#REF!,"AAAAAG2z9vI=")</f>
        <v>#REF!</v>
      </c>
      <c r="IJ138" t="e">
        <f>AND(#REF!,"AAAAAG2z9vM=")</f>
        <v>#REF!</v>
      </c>
      <c r="IK138" t="e">
        <f>AND(#REF!,"AAAAAG2z9vQ=")</f>
        <v>#REF!</v>
      </c>
      <c r="IL138" t="e">
        <f>AND(#REF!,"AAAAAG2z9vU=")</f>
        <v>#REF!</v>
      </c>
      <c r="IM138" t="e">
        <f>AND(#REF!,"AAAAAG2z9vY=")</f>
        <v>#REF!</v>
      </c>
      <c r="IN138" t="e">
        <f>AND(#REF!,"AAAAAG2z9vc=")</f>
        <v>#REF!</v>
      </c>
      <c r="IO138" t="e">
        <f>AND(#REF!,"AAAAAG2z9vg=")</f>
        <v>#REF!</v>
      </c>
      <c r="IP138" t="e">
        <f>AND(#REF!,"AAAAAG2z9vk=")</f>
        <v>#REF!</v>
      </c>
      <c r="IQ138" t="e">
        <f>AND(#REF!,"AAAAAG2z9vo=")</f>
        <v>#REF!</v>
      </c>
      <c r="IR138" t="e">
        <f>AND(#REF!,"AAAAAG2z9vs=")</f>
        <v>#REF!</v>
      </c>
      <c r="IS138" t="e">
        <f>AND(#REF!,"AAAAAG2z9vw=")</f>
        <v>#REF!</v>
      </c>
      <c r="IT138" t="e">
        <f>AND(#REF!,"AAAAAG2z9v0=")</f>
        <v>#REF!</v>
      </c>
      <c r="IU138" t="e">
        <f>AND(#REF!,"AAAAAG2z9v4=")</f>
        <v>#REF!</v>
      </c>
      <c r="IV138" t="e">
        <f>AND(#REF!,"AAAAAG2z9v8=")</f>
        <v>#REF!</v>
      </c>
    </row>
    <row r="139" spans="1:256" x14ac:dyDescent="0.2">
      <c r="A139" t="e">
        <f>AND(#REF!,"AAAAAH+9fwA=")</f>
        <v>#REF!</v>
      </c>
      <c r="B139" t="e">
        <f>AND(#REF!,"AAAAAH+9fwE=")</f>
        <v>#REF!</v>
      </c>
      <c r="C139" t="e">
        <f>AND(#REF!,"AAAAAH+9fwI=")</f>
        <v>#REF!</v>
      </c>
      <c r="D139" t="e">
        <f>AND(#REF!,"AAAAAH+9fwM=")</f>
        <v>#REF!</v>
      </c>
      <c r="E139" t="e">
        <f>AND(#REF!,"AAAAAH+9fwQ=")</f>
        <v>#REF!</v>
      </c>
      <c r="F139" t="e">
        <f>AND(#REF!,"AAAAAH+9fwU=")</f>
        <v>#REF!</v>
      </c>
      <c r="G139" t="e">
        <f>AND(#REF!,"AAAAAH+9fwY=")</f>
        <v>#REF!</v>
      </c>
      <c r="H139" t="e">
        <f>AND(#REF!,"AAAAAH+9fwc=")</f>
        <v>#REF!</v>
      </c>
      <c r="I139" t="e">
        <f>AND(#REF!,"AAAAAH+9fwg=")</f>
        <v>#REF!</v>
      </c>
      <c r="J139" t="e">
        <f>AND(#REF!,"AAAAAH+9fwk=")</f>
        <v>#REF!</v>
      </c>
      <c r="K139" t="e">
        <f>AND(#REF!,"AAAAAH+9fwo=")</f>
        <v>#REF!</v>
      </c>
      <c r="L139" t="e">
        <f>AND(#REF!,"AAAAAH+9fws=")</f>
        <v>#REF!</v>
      </c>
      <c r="M139" t="e">
        <f>AND(#REF!,"AAAAAH+9fww=")</f>
        <v>#REF!</v>
      </c>
      <c r="N139" t="e">
        <f>IF(#REF!,"AAAAAH+9fw0=",0)</f>
        <v>#REF!</v>
      </c>
      <c r="O139" t="e">
        <f>AND(#REF!,"AAAAAH+9fw4=")</f>
        <v>#REF!</v>
      </c>
      <c r="P139" t="e">
        <f>AND(#REF!,"AAAAAH+9fw8=")</f>
        <v>#REF!</v>
      </c>
      <c r="Q139" t="e">
        <f>AND(#REF!,"AAAAAH+9fxA=")</f>
        <v>#REF!</v>
      </c>
      <c r="R139" t="e">
        <f>AND(#REF!,"AAAAAH+9fxE=")</f>
        <v>#REF!</v>
      </c>
      <c r="S139" t="e">
        <f>AND(#REF!,"AAAAAH+9fxI=")</f>
        <v>#REF!</v>
      </c>
      <c r="T139" t="e">
        <f>AND(#REF!,"AAAAAH+9fxM=")</f>
        <v>#REF!</v>
      </c>
      <c r="U139" t="e">
        <f>AND(#REF!,"AAAAAH+9fxQ=")</f>
        <v>#REF!</v>
      </c>
      <c r="V139" t="e">
        <f>AND(#REF!,"AAAAAH+9fxU=")</f>
        <v>#REF!</v>
      </c>
      <c r="W139" t="e">
        <f>AND(#REF!,"AAAAAH+9fxY=")</f>
        <v>#REF!</v>
      </c>
      <c r="X139" t="e">
        <f>AND(#REF!,"AAAAAH+9fxc=")</f>
        <v>#REF!</v>
      </c>
      <c r="Y139" t="e">
        <f>AND(#REF!,"AAAAAH+9fxg=")</f>
        <v>#REF!</v>
      </c>
      <c r="Z139" t="e">
        <f>AND(#REF!,"AAAAAH+9fxk=")</f>
        <v>#REF!</v>
      </c>
      <c r="AA139" t="e">
        <f>AND(#REF!,"AAAAAH+9fxo=")</f>
        <v>#REF!</v>
      </c>
      <c r="AB139" t="e">
        <f>AND(#REF!,"AAAAAH+9fxs=")</f>
        <v>#REF!</v>
      </c>
      <c r="AC139" t="e">
        <f>AND(#REF!,"AAAAAH+9fxw=")</f>
        <v>#REF!</v>
      </c>
      <c r="AD139" t="e">
        <f>AND(#REF!,"AAAAAH+9fx0=")</f>
        <v>#REF!</v>
      </c>
      <c r="AE139" t="e">
        <f>AND(#REF!,"AAAAAH+9fx4=")</f>
        <v>#REF!</v>
      </c>
      <c r="AF139" t="e">
        <f>AND(#REF!,"AAAAAH+9fx8=")</f>
        <v>#REF!</v>
      </c>
      <c r="AG139" t="e">
        <f>AND(#REF!,"AAAAAH+9fyA=")</f>
        <v>#REF!</v>
      </c>
      <c r="AH139" t="e">
        <f>AND(#REF!,"AAAAAH+9fyE=")</f>
        <v>#REF!</v>
      </c>
      <c r="AI139" t="e">
        <f>AND(#REF!,"AAAAAH+9fyI=")</f>
        <v>#REF!</v>
      </c>
      <c r="AJ139" t="e">
        <f>AND(#REF!,"AAAAAH+9fyM=")</f>
        <v>#REF!</v>
      </c>
      <c r="AK139" t="e">
        <f>AND(#REF!,"AAAAAH+9fyQ=")</f>
        <v>#REF!</v>
      </c>
      <c r="AL139" t="e">
        <f>AND(#REF!,"AAAAAH+9fyU=")</f>
        <v>#REF!</v>
      </c>
      <c r="AM139" t="e">
        <f>AND(#REF!,"AAAAAH+9fyY=")</f>
        <v>#REF!</v>
      </c>
      <c r="AN139" t="e">
        <f>AND(#REF!,"AAAAAH+9fyc=")</f>
        <v>#REF!</v>
      </c>
      <c r="AO139" t="e">
        <f>AND(#REF!,"AAAAAH+9fyg=")</f>
        <v>#REF!</v>
      </c>
      <c r="AP139" t="e">
        <f>AND(#REF!,"AAAAAH+9fyk=")</f>
        <v>#REF!</v>
      </c>
      <c r="AQ139" t="e">
        <f>AND(#REF!,"AAAAAH+9fyo=")</f>
        <v>#REF!</v>
      </c>
      <c r="AR139" t="e">
        <f>AND(#REF!,"AAAAAH+9fys=")</f>
        <v>#REF!</v>
      </c>
      <c r="AS139" t="e">
        <f>IF(#REF!,"AAAAAH+9fyw=",0)</f>
        <v>#REF!</v>
      </c>
      <c r="AT139" t="e">
        <f>AND(#REF!,"AAAAAH+9fy0=")</f>
        <v>#REF!</v>
      </c>
      <c r="AU139" t="e">
        <f>AND(#REF!,"AAAAAH+9fy4=")</f>
        <v>#REF!</v>
      </c>
      <c r="AV139" t="e">
        <f>AND(#REF!,"AAAAAH+9fy8=")</f>
        <v>#REF!</v>
      </c>
      <c r="AW139" t="e">
        <f>AND(#REF!,"AAAAAH+9fzA=")</f>
        <v>#REF!</v>
      </c>
      <c r="AX139" t="e">
        <f>AND(#REF!,"AAAAAH+9fzE=")</f>
        <v>#REF!</v>
      </c>
      <c r="AY139" t="e">
        <f>AND(#REF!,"AAAAAH+9fzI=")</f>
        <v>#REF!</v>
      </c>
      <c r="AZ139" t="e">
        <f>AND(#REF!,"AAAAAH+9fzM=")</f>
        <v>#REF!</v>
      </c>
      <c r="BA139" t="e">
        <f>AND(#REF!,"AAAAAH+9fzQ=")</f>
        <v>#REF!</v>
      </c>
      <c r="BB139" t="e">
        <f>AND(#REF!,"AAAAAH+9fzU=")</f>
        <v>#REF!</v>
      </c>
      <c r="BC139" t="e">
        <f>AND(#REF!,"AAAAAH+9fzY=")</f>
        <v>#REF!</v>
      </c>
      <c r="BD139" t="e">
        <f>AND(#REF!,"AAAAAH+9fzc=")</f>
        <v>#REF!</v>
      </c>
      <c r="BE139" t="e">
        <f>AND(#REF!,"AAAAAH+9fzg=")</f>
        <v>#REF!</v>
      </c>
      <c r="BF139" t="e">
        <f>AND(#REF!,"AAAAAH+9fzk=")</f>
        <v>#REF!</v>
      </c>
      <c r="BG139" t="e">
        <f>AND(#REF!,"AAAAAH+9fzo=")</f>
        <v>#REF!</v>
      </c>
      <c r="BH139" t="e">
        <f>AND(#REF!,"AAAAAH+9fzs=")</f>
        <v>#REF!</v>
      </c>
      <c r="BI139" t="e">
        <f>AND(#REF!,"AAAAAH+9fzw=")</f>
        <v>#REF!</v>
      </c>
      <c r="BJ139" t="e">
        <f>AND(#REF!,"AAAAAH+9fz0=")</f>
        <v>#REF!</v>
      </c>
      <c r="BK139" t="e">
        <f>AND(#REF!,"AAAAAH+9fz4=")</f>
        <v>#REF!</v>
      </c>
      <c r="BL139" t="e">
        <f>AND(#REF!,"AAAAAH+9fz8=")</f>
        <v>#REF!</v>
      </c>
      <c r="BM139" t="e">
        <f>AND(#REF!,"AAAAAH+9f0A=")</f>
        <v>#REF!</v>
      </c>
      <c r="BN139" t="e">
        <f>AND(#REF!,"AAAAAH+9f0E=")</f>
        <v>#REF!</v>
      </c>
      <c r="BO139" t="e">
        <f>AND(#REF!,"AAAAAH+9f0I=")</f>
        <v>#REF!</v>
      </c>
      <c r="BP139" t="e">
        <f>AND(#REF!,"AAAAAH+9f0M=")</f>
        <v>#REF!</v>
      </c>
      <c r="BQ139" t="e">
        <f>AND(#REF!,"AAAAAH+9f0Q=")</f>
        <v>#REF!</v>
      </c>
      <c r="BR139" t="e">
        <f>AND(#REF!,"AAAAAH+9f0U=")</f>
        <v>#REF!</v>
      </c>
      <c r="BS139" t="e">
        <f>AND(#REF!,"AAAAAH+9f0Y=")</f>
        <v>#REF!</v>
      </c>
      <c r="BT139" t="e">
        <f>AND(#REF!,"AAAAAH+9f0c=")</f>
        <v>#REF!</v>
      </c>
      <c r="BU139" t="e">
        <f>AND(#REF!,"AAAAAH+9f0g=")</f>
        <v>#REF!</v>
      </c>
      <c r="BV139" t="e">
        <f>AND(#REF!,"AAAAAH+9f0k=")</f>
        <v>#REF!</v>
      </c>
      <c r="BW139" t="e">
        <f>AND(#REF!,"AAAAAH+9f0o=")</f>
        <v>#REF!</v>
      </c>
      <c r="BX139" t="e">
        <f>IF(#REF!,"AAAAAH+9f0s=",0)</f>
        <v>#REF!</v>
      </c>
      <c r="BY139" t="e">
        <f>AND(#REF!,"AAAAAH+9f0w=")</f>
        <v>#REF!</v>
      </c>
      <c r="BZ139" t="e">
        <f>AND(#REF!,"AAAAAH+9f00=")</f>
        <v>#REF!</v>
      </c>
      <c r="CA139" t="e">
        <f>AND(#REF!,"AAAAAH+9f04=")</f>
        <v>#REF!</v>
      </c>
      <c r="CB139" t="e">
        <f>AND(#REF!,"AAAAAH+9f08=")</f>
        <v>#REF!</v>
      </c>
      <c r="CC139" t="e">
        <f>AND(#REF!,"AAAAAH+9f1A=")</f>
        <v>#REF!</v>
      </c>
      <c r="CD139" t="e">
        <f>AND(#REF!,"AAAAAH+9f1E=")</f>
        <v>#REF!</v>
      </c>
      <c r="CE139" t="e">
        <f>AND(#REF!,"AAAAAH+9f1I=")</f>
        <v>#REF!</v>
      </c>
      <c r="CF139" t="e">
        <f>AND(#REF!,"AAAAAH+9f1M=")</f>
        <v>#REF!</v>
      </c>
      <c r="CG139" t="e">
        <f>AND(#REF!,"AAAAAH+9f1Q=")</f>
        <v>#REF!</v>
      </c>
      <c r="CH139" t="e">
        <f>AND(#REF!,"AAAAAH+9f1U=")</f>
        <v>#REF!</v>
      </c>
      <c r="CI139" t="e">
        <f>AND(#REF!,"AAAAAH+9f1Y=")</f>
        <v>#REF!</v>
      </c>
      <c r="CJ139" t="e">
        <f>AND(#REF!,"AAAAAH+9f1c=")</f>
        <v>#REF!</v>
      </c>
      <c r="CK139" t="e">
        <f>AND(#REF!,"AAAAAH+9f1g=")</f>
        <v>#REF!</v>
      </c>
      <c r="CL139" t="e">
        <f>AND(#REF!,"AAAAAH+9f1k=")</f>
        <v>#REF!</v>
      </c>
      <c r="CM139" t="e">
        <f>AND(#REF!,"AAAAAH+9f1o=")</f>
        <v>#REF!</v>
      </c>
      <c r="CN139" t="e">
        <f>AND(#REF!,"AAAAAH+9f1s=")</f>
        <v>#REF!</v>
      </c>
      <c r="CO139" t="e">
        <f>AND(#REF!,"AAAAAH+9f1w=")</f>
        <v>#REF!</v>
      </c>
      <c r="CP139" t="e">
        <f>AND(#REF!,"AAAAAH+9f10=")</f>
        <v>#REF!</v>
      </c>
      <c r="CQ139" t="e">
        <f>AND(#REF!,"AAAAAH+9f14=")</f>
        <v>#REF!</v>
      </c>
      <c r="CR139" t="e">
        <f>AND(#REF!,"AAAAAH+9f18=")</f>
        <v>#REF!</v>
      </c>
      <c r="CS139" t="e">
        <f>AND(#REF!,"AAAAAH+9f2A=")</f>
        <v>#REF!</v>
      </c>
      <c r="CT139" t="e">
        <f>AND(#REF!,"AAAAAH+9f2E=")</f>
        <v>#REF!</v>
      </c>
      <c r="CU139" t="e">
        <f>AND(#REF!,"AAAAAH+9f2I=")</f>
        <v>#REF!</v>
      </c>
      <c r="CV139" t="e">
        <f>AND(#REF!,"AAAAAH+9f2M=")</f>
        <v>#REF!</v>
      </c>
      <c r="CW139" t="e">
        <f>AND(#REF!,"AAAAAH+9f2Q=")</f>
        <v>#REF!</v>
      </c>
      <c r="CX139" t="e">
        <f>AND(#REF!,"AAAAAH+9f2U=")</f>
        <v>#REF!</v>
      </c>
      <c r="CY139" t="e">
        <f>AND(#REF!,"AAAAAH+9f2Y=")</f>
        <v>#REF!</v>
      </c>
      <c r="CZ139" t="e">
        <f>AND(#REF!,"AAAAAH+9f2c=")</f>
        <v>#REF!</v>
      </c>
      <c r="DA139" t="e">
        <f>AND(#REF!,"AAAAAH+9f2g=")</f>
        <v>#REF!</v>
      </c>
      <c r="DB139" t="e">
        <f>AND(#REF!,"AAAAAH+9f2k=")</f>
        <v>#REF!</v>
      </c>
      <c r="DC139" t="e">
        <f>IF(#REF!,"AAAAAH+9f2o=",0)</f>
        <v>#REF!</v>
      </c>
      <c r="DD139" t="e">
        <f>AND(#REF!,"AAAAAH+9f2s=")</f>
        <v>#REF!</v>
      </c>
      <c r="DE139" t="e">
        <f>AND(#REF!,"AAAAAH+9f2w=")</f>
        <v>#REF!</v>
      </c>
      <c r="DF139" t="e">
        <f>AND(#REF!,"AAAAAH+9f20=")</f>
        <v>#REF!</v>
      </c>
      <c r="DG139" t="e">
        <f>AND(#REF!,"AAAAAH+9f24=")</f>
        <v>#REF!</v>
      </c>
      <c r="DH139" t="e">
        <f>AND(#REF!,"AAAAAH+9f28=")</f>
        <v>#REF!</v>
      </c>
      <c r="DI139" t="e">
        <f>AND(#REF!,"AAAAAH+9f3A=")</f>
        <v>#REF!</v>
      </c>
      <c r="DJ139" t="e">
        <f>AND(#REF!,"AAAAAH+9f3E=")</f>
        <v>#REF!</v>
      </c>
      <c r="DK139" t="e">
        <f>AND(#REF!,"AAAAAH+9f3I=")</f>
        <v>#REF!</v>
      </c>
      <c r="DL139" t="e">
        <f>AND(#REF!,"AAAAAH+9f3M=")</f>
        <v>#REF!</v>
      </c>
      <c r="DM139" t="e">
        <f>AND(#REF!,"AAAAAH+9f3Q=")</f>
        <v>#REF!</v>
      </c>
      <c r="DN139" t="e">
        <f>AND(#REF!,"AAAAAH+9f3U=")</f>
        <v>#REF!</v>
      </c>
      <c r="DO139" t="e">
        <f>AND(#REF!,"AAAAAH+9f3Y=")</f>
        <v>#REF!</v>
      </c>
      <c r="DP139" t="e">
        <f>AND(#REF!,"AAAAAH+9f3c=")</f>
        <v>#REF!</v>
      </c>
      <c r="DQ139" t="e">
        <f>AND(#REF!,"AAAAAH+9f3g=")</f>
        <v>#REF!</v>
      </c>
      <c r="DR139" t="e">
        <f>AND(#REF!,"AAAAAH+9f3k=")</f>
        <v>#REF!</v>
      </c>
      <c r="DS139" t="e">
        <f>AND(#REF!,"AAAAAH+9f3o=")</f>
        <v>#REF!</v>
      </c>
      <c r="DT139" t="e">
        <f>AND(#REF!,"AAAAAH+9f3s=")</f>
        <v>#REF!</v>
      </c>
      <c r="DU139" t="e">
        <f>AND(#REF!,"AAAAAH+9f3w=")</f>
        <v>#REF!</v>
      </c>
      <c r="DV139" t="e">
        <f>AND(#REF!,"AAAAAH+9f30=")</f>
        <v>#REF!</v>
      </c>
      <c r="DW139" t="e">
        <f>AND(#REF!,"AAAAAH+9f34=")</f>
        <v>#REF!</v>
      </c>
      <c r="DX139" t="e">
        <f>AND(#REF!,"AAAAAH+9f38=")</f>
        <v>#REF!</v>
      </c>
      <c r="DY139" t="e">
        <f>AND(#REF!,"AAAAAH+9f4A=")</f>
        <v>#REF!</v>
      </c>
      <c r="DZ139" t="e">
        <f>AND(#REF!,"AAAAAH+9f4E=")</f>
        <v>#REF!</v>
      </c>
      <c r="EA139" t="e">
        <f>AND(#REF!,"AAAAAH+9f4I=")</f>
        <v>#REF!</v>
      </c>
      <c r="EB139" t="e">
        <f>AND(#REF!,"AAAAAH+9f4M=")</f>
        <v>#REF!</v>
      </c>
      <c r="EC139" t="e">
        <f>AND(#REF!,"AAAAAH+9f4Q=")</f>
        <v>#REF!</v>
      </c>
      <c r="ED139" t="e">
        <f>AND(#REF!,"AAAAAH+9f4U=")</f>
        <v>#REF!</v>
      </c>
      <c r="EE139" t="e">
        <f>AND(#REF!,"AAAAAH+9f4Y=")</f>
        <v>#REF!</v>
      </c>
      <c r="EF139" t="e">
        <f>AND(#REF!,"AAAAAH+9f4c=")</f>
        <v>#REF!</v>
      </c>
      <c r="EG139" t="e">
        <f>AND(#REF!,"AAAAAH+9f4g=")</f>
        <v>#REF!</v>
      </c>
      <c r="EH139" t="e">
        <f>IF(#REF!,"AAAAAH+9f4k=",0)</f>
        <v>#REF!</v>
      </c>
      <c r="EI139" t="e">
        <f>AND(#REF!,"AAAAAH+9f4o=")</f>
        <v>#REF!</v>
      </c>
      <c r="EJ139" t="e">
        <f>AND(#REF!,"AAAAAH+9f4s=")</f>
        <v>#REF!</v>
      </c>
      <c r="EK139" t="e">
        <f>AND(#REF!,"AAAAAH+9f4w=")</f>
        <v>#REF!</v>
      </c>
      <c r="EL139" t="e">
        <f>AND(#REF!,"AAAAAH+9f40=")</f>
        <v>#REF!</v>
      </c>
      <c r="EM139" t="e">
        <f>AND(#REF!,"AAAAAH+9f44=")</f>
        <v>#REF!</v>
      </c>
      <c r="EN139" t="e">
        <f>AND(#REF!,"AAAAAH+9f48=")</f>
        <v>#REF!</v>
      </c>
      <c r="EO139" t="e">
        <f>AND(#REF!,"AAAAAH+9f5A=")</f>
        <v>#REF!</v>
      </c>
      <c r="EP139" t="e">
        <f>AND(#REF!,"AAAAAH+9f5E=")</f>
        <v>#REF!</v>
      </c>
      <c r="EQ139" t="e">
        <f>AND(#REF!,"AAAAAH+9f5I=")</f>
        <v>#REF!</v>
      </c>
      <c r="ER139" t="e">
        <f>AND(#REF!,"AAAAAH+9f5M=")</f>
        <v>#REF!</v>
      </c>
      <c r="ES139" t="e">
        <f>AND(#REF!,"AAAAAH+9f5Q=")</f>
        <v>#REF!</v>
      </c>
      <c r="ET139" t="e">
        <f>AND(#REF!,"AAAAAH+9f5U=")</f>
        <v>#REF!</v>
      </c>
      <c r="EU139" t="e">
        <f>AND(#REF!,"AAAAAH+9f5Y=")</f>
        <v>#REF!</v>
      </c>
      <c r="EV139" t="e">
        <f>AND(#REF!,"AAAAAH+9f5c=")</f>
        <v>#REF!</v>
      </c>
      <c r="EW139" t="e">
        <f>AND(#REF!,"AAAAAH+9f5g=")</f>
        <v>#REF!</v>
      </c>
      <c r="EX139" t="e">
        <f>AND(#REF!,"AAAAAH+9f5k=")</f>
        <v>#REF!</v>
      </c>
      <c r="EY139" t="e">
        <f>AND(#REF!,"AAAAAH+9f5o=")</f>
        <v>#REF!</v>
      </c>
      <c r="EZ139" t="e">
        <f>AND(#REF!,"AAAAAH+9f5s=")</f>
        <v>#REF!</v>
      </c>
      <c r="FA139" t="e">
        <f>AND(#REF!,"AAAAAH+9f5w=")</f>
        <v>#REF!</v>
      </c>
      <c r="FB139" t="e">
        <f>AND(#REF!,"AAAAAH+9f50=")</f>
        <v>#REF!</v>
      </c>
      <c r="FC139" t="e">
        <f>AND(#REF!,"AAAAAH+9f54=")</f>
        <v>#REF!</v>
      </c>
      <c r="FD139" t="e">
        <f>AND(#REF!,"AAAAAH+9f58=")</f>
        <v>#REF!</v>
      </c>
      <c r="FE139" t="e">
        <f>AND(#REF!,"AAAAAH+9f6A=")</f>
        <v>#REF!</v>
      </c>
      <c r="FF139" t="e">
        <f>AND(#REF!,"AAAAAH+9f6E=")</f>
        <v>#REF!</v>
      </c>
      <c r="FG139" t="e">
        <f>AND(#REF!,"AAAAAH+9f6I=")</f>
        <v>#REF!</v>
      </c>
      <c r="FH139" t="e">
        <f>AND(#REF!,"AAAAAH+9f6M=")</f>
        <v>#REF!</v>
      </c>
      <c r="FI139" t="e">
        <f>AND(#REF!,"AAAAAH+9f6Q=")</f>
        <v>#REF!</v>
      </c>
      <c r="FJ139" t="e">
        <f>AND(#REF!,"AAAAAH+9f6U=")</f>
        <v>#REF!</v>
      </c>
      <c r="FK139" t="e">
        <f>AND(#REF!,"AAAAAH+9f6Y=")</f>
        <v>#REF!</v>
      </c>
      <c r="FL139" t="e">
        <f>AND(#REF!,"AAAAAH+9f6c=")</f>
        <v>#REF!</v>
      </c>
      <c r="FM139" t="e">
        <f>IF(#REF!,"AAAAAH+9f6g=",0)</f>
        <v>#REF!</v>
      </c>
      <c r="FN139" t="e">
        <f>AND(#REF!,"AAAAAH+9f6k=")</f>
        <v>#REF!</v>
      </c>
      <c r="FO139" t="e">
        <f>AND(#REF!,"AAAAAH+9f6o=")</f>
        <v>#REF!</v>
      </c>
      <c r="FP139" t="e">
        <f>AND(#REF!,"AAAAAH+9f6s=")</f>
        <v>#REF!</v>
      </c>
      <c r="FQ139" t="e">
        <f>AND(#REF!,"AAAAAH+9f6w=")</f>
        <v>#REF!</v>
      </c>
      <c r="FR139" t="e">
        <f>AND(#REF!,"AAAAAH+9f60=")</f>
        <v>#REF!</v>
      </c>
      <c r="FS139" t="e">
        <f>AND(#REF!,"AAAAAH+9f64=")</f>
        <v>#REF!</v>
      </c>
      <c r="FT139" t="e">
        <f>AND(#REF!,"AAAAAH+9f68=")</f>
        <v>#REF!</v>
      </c>
      <c r="FU139" t="e">
        <f>AND(#REF!,"AAAAAH+9f7A=")</f>
        <v>#REF!</v>
      </c>
      <c r="FV139" t="e">
        <f>AND(#REF!,"AAAAAH+9f7E=")</f>
        <v>#REF!</v>
      </c>
      <c r="FW139" t="e">
        <f>AND(#REF!,"AAAAAH+9f7I=")</f>
        <v>#REF!</v>
      </c>
      <c r="FX139" t="e">
        <f>AND(#REF!,"AAAAAH+9f7M=")</f>
        <v>#REF!</v>
      </c>
      <c r="FY139" t="e">
        <f>AND(#REF!,"AAAAAH+9f7Q=")</f>
        <v>#REF!</v>
      </c>
      <c r="FZ139" t="e">
        <f>AND(#REF!,"AAAAAH+9f7U=")</f>
        <v>#REF!</v>
      </c>
      <c r="GA139" t="e">
        <f>AND(#REF!,"AAAAAH+9f7Y=")</f>
        <v>#REF!</v>
      </c>
      <c r="GB139" t="e">
        <f>AND(#REF!,"AAAAAH+9f7c=")</f>
        <v>#REF!</v>
      </c>
      <c r="GC139" t="e">
        <f>AND(#REF!,"AAAAAH+9f7g=")</f>
        <v>#REF!</v>
      </c>
      <c r="GD139" t="e">
        <f>AND(#REF!,"AAAAAH+9f7k=")</f>
        <v>#REF!</v>
      </c>
      <c r="GE139" t="e">
        <f>AND(#REF!,"AAAAAH+9f7o=")</f>
        <v>#REF!</v>
      </c>
      <c r="GF139" t="e">
        <f>AND(#REF!,"AAAAAH+9f7s=")</f>
        <v>#REF!</v>
      </c>
      <c r="GG139" t="e">
        <f>AND(#REF!,"AAAAAH+9f7w=")</f>
        <v>#REF!</v>
      </c>
      <c r="GH139" t="e">
        <f>AND(#REF!,"AAAAAH+9f70=")</f>
        <v>#REF!</v>
      </c>
      <c r="GI139" t="e">
        <f>AND(#REF!,"AAAAAH+9f74=")</f>
        <v>#REF!</v>
      </c>
      <c r="GJ139" t="e">
        <f>AND(#REF!,"AAAAAH+9f78=")</f>
        <v>#REF!</v>
      </c>
      <c r="GK139" t="e">
        <f>AND(#REF!,"AAAAAH+9f8A=")</f>
        <v>#REF!</v>
      </c>
      <c r="GL139" t="e">
        <f>AND(#REF!,"AAAAAH+9f8E=")</f>
        <v>#REF!</v>
      </c>
      <c r="GM139" t="e">
        <f>AND(#REF!,"AAAAAH+9f8I=")</f>
        <v>#REF!</v>
      </c>
      <c r="GN139" t="e">
        <f>AND(#REF!,"AAAAAH+9f8M=")</f>
        <v>#REF!</v>
      </c>
      <c r="GO139" t="e">
        <f>AND(#REF!,"AAAAAH+9f8Q=")</f>
        <v>#REF!</v>
      </c>
      <c r="GP139" t="e">
        <f>AND(#REF!,"AAAAAH+9f8U=")</f>
        <v>#REF!</v>
      </c>
      <c r="GQ139" t="e">
        <f>AND(#REF!,"AAAAAH+9f8Y=")</f>
        <v>#REF!</v>
      </c>
      <c r="GR139" t="e">
        <f>IF(#REF!,"AAAAAH+9f8c=",0)</f>
        <v>#REF!</v>
      </c>
      <c r="GS139" t="e">
        <f>AND(#REF!,"AAAAAH+9f8g=")</f>
        <v>#REF!</v>
      </c>
      <c r="GT139" t="e">
        <f>AND(#REF!,"AAAAAH+9f8k=")</f>
        <v>#REF!</v>
      </c>
      <c r="GU139" t="e">
        <f>AND(#REF!,"AAAAAH+9f8o=")</f>
        <v>#REF!</v>
      </c>
      <c r="GV139" t="e">
        <f>AND(#REF!,"AAAAAH+9f8s=")</f>
        <v>#REF!</v>
      </c>
      <c r="GW139" t="e">
        <f>AND(#REF!,"AAAAAH+9f8w=")</f>
        <v>#REF!</v>
      </c>
      <c r="GX139" t="e">
        <f>AND(#REF!,"AAAAAH+9f80=")</f>
        <v>#REF!</v>
      </c>
      <c r="GY139" t="e">
        <f>AND(#REF!,"AAAAAH+9f84=")</f>
        <v>#REF!</v>
      </c>
      <c r="GZ139" t="e">
        <f>AND(#REF!,"AAAAAH+9f88=")</f>
        <v>#REF!</v>
      </c>
      <c r="HA139" t="e">
        <f>AND(#REF!,"AAAAAH+9f9A=")</f>
        <v>#REF!</v>
      </c>
      <c r="HB139" t="e">
        <f>AND(#REF!,"AAAAAH+9f9E=")</f>
        <v>#REF!</v>
      </c>
      <c r="HC139" t="e">
        <f>AND(#REF!,"AAAAAH+9f9I=")</f>
        <v>#REF!</v>
      </c>
      <c r="HD139" t="e">
        <f>AND(#REF!,"AAAAAH+9f9M=")</f>
        <v>#REF!</v>
      </c>
      <c r="HE139" t="e">
        <f>AND(#REF!,"AAAAAH+9f9Q=")</f>
        <v>#REF!</v>
      </c>
      <c r="HF139" t="e">
        <f>AND(#REF!,"AAAAAH+9f9U=")</f>
        <v>#REF!</v>
      </c>
      <c r="HG139" t="e">
        <f>AND(#REF!,"AAAAAH+9f9Y=")</f>
        <v>#REF!</v>
      </c>
      <c r="HH139" t="e">
        <f>AND(#REF!,"AAAAAH+9f9c=")</f>
        <v>#REF!</v>
      </c>
      <c r="HI139" t="e">
        <f>AND(#REF!,"AAAAAH+9f9g=")</f>
        <v>#REF!</v>
      </c>
      <c r="HJ139" t="e">
        <f>AND(#REF!,"AAAAAH+9f9k=")</f>
        <v>#REF!</v>
      </c>
      <c r="HK139" t="e">
        <f>AND(#REF!,"AAAAAH+9f9o=")</f>
        <v>#REF!</v>
      </c>
      <c r="HL139" t="e">
        <f>AND(#REF!,"AAAAAH+9f9s=")</f>
        <v>#REF!</v>
      </c>
      <c r="HM139" t="e">
        <f>AND(#REF!,"AAAAAH+9f9w=")</f>
        <v>#REF!</v>
      </c>
      <c r="HN139" t="e">
        <f>AND(#REF!,"AAAAAH+9f90=")</f>
        <v>#REF!</v>
      </c>
      <c r="HO139" t="e">
        <f>AND(#REF!,"AAAAAH+9f94=")</f>
        <v>#REF!</v>
      </c>
      <c r="HP139" t="e">
        <f>AND(#REF!,"AAAAAH+9f98=")</f>
        <v>#REF!</v>
      </c>
      <c r="HQ139" t="e">
        <f>AND(#REF!,"AAAAAH+9f+A=")</f>
        <v>#REF!</v>
      </c>
      <c r="HR139" t="e">
        <f>AND(#REF!,"AAAAAH+9f+E=")</f>
        <v>#REF!</v>
      </c>
      <c r="HS139" t="e">
        <f>AND(#REF!,"AAAAAH+9f+I=")</f>
        <v>#REF!</v>
      </c>
      <c r="HT139" t="e">
        <f>AND(#REF!,"AAAAAH+9f+M=")</f>
        <v>#REF!</v>
      </c>
      <c r="HU139" t="e">
        <f>AND(#REF!,"AAAAAH+9f+Q=")</f>
        <v>#REF!</v>
      </c>
      <c r="HV139" t="e">
        <f>AND(#REF!,"AAAAAH+9f+U=")</f>
        <v>#REF!</v>
      </c>
      <c r="HW139" t="e">
        <f>IF(#REF!,"AAAAAH+9f+Y=",0)</f>
        <v>#REF!</v>
      </c>
      <c r="HX139" t="e">
        <f>AND(#REF!,"AAAAAH+9f+c=")</f>
        <v>#REF!</v>
      </c>
      <c r="HY139" t="e">
        <f>AND(#REF!,"AAAAAH+9f+g=")</f>
        <v>#REF!</v>
      </c>
      <c r="HZ139" t="e">
        <f>AND(#REF!,"AAAAAH+9f+k=")</f>
        <v>#REF!</v>
      </c>
      <c r="IA139" t="e">
        <f>AND(#REF!,"AAAAAH+9f+o=")</f>
        <v>#REF!</v>
      </c>
      <c r="IB139" t="e">
        <f>AND(#REF!,"AAAAAH+9f+s=")</f>
        <v>#REF!</v>
      </c>
      <c r="IC139" t="e">
        <f>AND(#REF!,"AAAAAH+9f+w=")</f>
        <v>#REF!</v>
      </c>
      <c r="ID139" t="e">
        <f>AND(#REF!,"AAAAAH+9f+0=")</f>
        <v>#REF!</v>
      </c>
      <c r="IE139" t="e">
        <f>AND(#REF!,"AAAAAH+9f+4=")</f>
        <v>#REF!</v>
      </c>
      <c r="IF139" t="e">
        <f>AND(#REF!,"AAAAAH+9f+8=")</f>
        <v>#REF!</v>
      </c>
      <c r="IG139" t="e">
        <f>AND(#REF!,"AAAAAH+9f/A=")</f>
        <v>#REF!</v>
      </c>
      <c r="IH139" t="e">
        <f>AND(#REF!,"AAAAAH+9f/E=")</f>
        <v>#REF!</v>
      </c>
      <c r="II139" t="e">
        <f>AND(#REF!,"AAAAAH+9f/I=")</f>
        <v>#REF!</v>
      </c>
      <c r="IJ139" t="e">
        <f>AND(#REF!,"AAAAAH+9f/M=")</f>
        <v>#REF!</v>
      </c>
      <c r="IK139" t="e">
        <f>AND(#REF!,"AAAAAH+9f/Q=")</f>
        <v>#REF!</v>
      </c>
      <c r="IL139" t="e">
        <f>AND(#REF!,"AAAAAH+9f/U=")</f>
        <v>#REF!</v>
      </c>
      <c r="IM139" t="e">
        <f>AND(#REF!,"AAAAAH+9f/Y=")</f>
        <v>#REF!</v>
      </c>
      <c r="IN139" t="e">
        <f>AND(#REF!,"AAAAAH+9f/c=")</f>
        <v>#REF!</v>
      </c>
      <c r="IO139" t="e">
        <f>AND(#REF!,"AAAAAH+9f/g=")</f>
        <v>#REF!</v>
      </c>
      <c r="IP139" t="e">
        <f>AND(#REF!,"AAAAAH+9f/k=")</f>
        <v>#REF!</v>
      </c>
      <c r="IQ139" t="e">
        <f>AND(#REF!,"AAAAAH+9f/o=")</f>
        <v>#REF!</v>
      </c>
      <c r="IR139" t="e">
        <f>AND(#REF!,"AAAAAH+9f/s=")</f>
        <v>#REF!</v>
      </c>
      <c r="IS139" t="e">
        <f>AND(#REF!,"AAAAAH+9f/w=")</f>
        <v>#REF!</v>
      </c>
      <c r="IT139" t="e">
        <f>AND(#REF!,"AAAAAH+9f/0=")</f>
        <v>#REF!</v>
      </c>
      <c r="IU139" t="e">
        <f>AND(#REF!,"AAAAAH+9f/4=")</f>
        <v>#REF!</v>
      </c>
      <c r="IV139" t="e">
        <f>AND(#REF!,"AAAAAH+9f/8=")</f>
        <v>#REF!</v>
      </c>
    </row>
    <row r="140" spans="1:256" x14ac:dyDescent="0.2">
      <c r="A140" t="e">
        <f>AND(#REF!,"AAAAAE1n7wA=")</f>
        <v>#REF!</v>
      </c>
      <c r="B140" t="e">
        <f>AND(#REF!,"AAAAAE1n7wE=")</f>
        <v>#REF!</v>
      </c>
      <c r="C140" t="e">
        <f>AND(#REF!,"AAAAAE1n7wI=")</f>
        <v>#REF!</v>
      </c>
      <c r="D140" t="e">
        <f>AND(#REF!,"AAAAAE1n7wM=")</f>
        <v>#REF!</v>
      </c>
      <c r="E140" t="e">
        <f>AND(#REF!,"AAAAAE1n7wQ=")</f>
        <v>#REF!</v>
      </c>
      <c r="F140" t="e">
        <f>IF(#REF!,"AAAAAE1n7wU=",0)</f>
        <v>#REF!</v>
      </c>
      <c r="G140" t="e">
        <f>AND(#REF!,"AAAAAE1n7wY=")</f>
        <v>#REF!</v>
      </c>
      <c r="H140" t="e">
        <f>AND(#REF!,"AAAAAE1n7wc=")</f>
        <v>#REF!</v>
      </c>
      <c r="I140" t="e">
        <f>AND(#REF!,"AAAAAE1n7wg=")</f>
        <v>#REF!</v>
      </c>
      <c r="J140" t="e">
        <f>AND(#REF!,"AAAAAE1n7wk=")</f>
        <v>#REF!</v>
      </c>
      <c r="K140" t="e">
        <f>AND(#REF!,"AAAAAE1n7wo=")</f>
        <v>#REF!</v>
      </c>
      <c r="L140" t="e">
        <f>AND(#REF!,"AAAAAE1n7ws=")</f>
        <v>#REF!</v>
      </c>
      <c r="M140" t="e">
        <f>AND(#REF!,"AAAAAE1n7ww=")</f>
        <v>#REF!</v>
      </c>
      <c r="N140" t="e">
        <f>AND(#REF!,"AAAAAE1n7w0=")</f>
        <v>#REF!</v>
      </c>
      <c r="O140" t="e">
        <f>AND(#REF!,"AAAAAE1n7w4=")</f>
        <v>#REF!</v>
      </c>
      <c r="P140" t="e">
        <f>AND(#REF!,"AAAAAE1n7w8=")</f>
        <v>#REF!</v>
      </c>
      <c r="Q140" t="e">
        <f>AND(#REF!,"AAAAAE1n7xA=")</f>
        <v>#REF!</v>
      </c>
      <c r="R140" t="e">
        <f>AND(#REF!,"AAAAAE1n7xE=")</f>
        <v>#REF!</v>
      </c>
      <c r="S140" t="e">
        <f>AND(#REF!,"AAAAAE1n7xI=")</f>
        <v>#REF!</v>
      </c>
      <c r="T140" t="e">
        <f>AND(#REF!,"AAAAAE1n7xM=")</f>
        <v>#REF!</v>
      </c>
      <c r="U140" t="e">
        <f>AND(#REF!,"AAAAAE1n7xQ=")</f>
        <v>#REF!</v>
      </c>
      <c r="V140" t="e">
        <f>AND(#REF!,"AAAAAE1n7xU=")</f>
        <v>#REF!</v>
      </c>
      <c r="W140" t="e">
        <f>AND(#REF!,"AAAAAE1n7xY=")</f>
        <v>#REF!</v>
      </c>
      <c r="X140" t="e">
        <f>AND(#REF!,"AAAAAE1n7xc=")</f>
        <v>#REF!</v>
      </c>
      <c r="Y140" t="e">
        <f>AND(#REF!,"AAAAAE1n7xg=")</f>
        <v>#REF!</v>
      </c>
      <c r="Z140" t="e">
        <f>AND(#REF!,"AAAAAE1n7xk=")</f>
        <v>#REF!</v>
      </c>
      <c r="AA140" t="e">
        <f>AND(#REF!,"AAAAAE1n7xo=")</f>
        <v>#REF!</v>
      </c>
      <c r="AB140" t="e">
        <f>AND(#REF!,"AAAAAE1n7xs=")</f>
        <v>#REF!</v>
      </c>
      <c r="AC140" t="e">
        <f>AND(#REF!,"AAAAAE1n7xw=")</f>
        <v>#REF!</v>
      </c>
      <c r="AD140" t="e">
        <f>AND(#REF!,"AAAAAE1n7x0=")</f>
        <v>#REF!</v>
      </c>
      <c r="AE140" t="e">
        <f>AND(#REF!,"AAAAAE1n7x4=")</f>
        <v>#REF!</v>
      </c>
      <c r="AF140" t="e">
        <f>AND(#REF!,"AAAAAE1n7x8=")</f>
        <v>#REF!</v>
      </c>
      <c r="AG140" t="e">
        <f>AND(#REF!,"AAAAAE1n7yA=")</f>
        <v>#REF!</v>
      </c>
      <c r="AH140" t="e">
        <f>AND(#REF!,"AAAAAE1n7yE=")</f>
        <v>#REF!</v>
      </c>
      <c r="AI140" t="e">
        <f>AND(#REF!,"AAAAAE1n7yI=")</f>
        <v>#REF!</v>
      </c>
      <c r="AJ140" t="e">
        <f>AND(#REF!,"AAAAAE1n7yM=")</f>
        <v>#REF!</v>
      </c>
      <c r="AK140" t="e">
        <f>IF(#REF!,"AAAAAE1n7yQ=",0)</f>
        <v>#REF!</v>
      </c>
      <c r="AL140" t="e">
        <f>AND(#REF!,"AAAAAE1n7yU=")</f>
        <v>#REF!</v>
      </c>
      <c r="AM140" t="e">
        <f>AND(#REF!,"AAAAAE1n7yY=")</f>
        <v>#REF!</v>
      </c>
      <c r="AN140" t="e">
        <f>AND(#REF!,"AAAAAE1n7yc=")</f>
        <v>#REF!</v>
      </c>
      <c r="AO140" t="e">
        <f>AND(#REF!,"AAAAAE1n7yg=")</f>
        <v>#REF!</v>
      </c>
      <c r="AP140" t="e">
        <f>AND(#REF!,"AAAAAE1n7yk=")</f>
        <v>#REF!</v>
      </c>
      <c r="AQ140" t="e">
        <f>AND(#REF!,"AAAAAE1n7yo=")</f>
        <v>#REF!</v>
      </c>
      <c r="AR140" t="e">
        <f>AND(#REF!,"AAAAAE1n7ys=")</f>
        <v>#REF!</v>
      </c>
      <c r="AS140" t="e">
        <f>AND(#REF!,"AAAAAE1n7yw=")</f>
        <v>#REF!</v>
      </c>
      <c r="AT140" t="e">
        <f>AND(#REF!,"AAAAAE1n7y0=")</f>
        <v>#REF!</v>
      </c>
      <c r="AU140" t="e">
        <f>AND(#REF!,"AAAAAE1n7y4=")</f>
        <v>#REF!</v>
      </c>
      <c r="AV140" t="e">
        <f>AND(#REF!,"AAAAAE1n7y8=")</f>
        <v>#REF!</v>
      </c>
      <c r="AW140" t="e">
        <f>AND(#REF!,"AAAAAE1n7zA=")</f>
        <v>#REF!</v>
      </c>
      <c r="AX140" t="e">
        <f>AND(#REF!,"AAAAAE1n7zE=")</f>
        <v>#REF!</v>
      </c>
      <c r="AY140" t="e">
        <f>AND(#REF!,"AAAAAE1n7zI=")</f>
        <v>#REF!</v>
      </c>
      <c r="AZ140" t="e">
        <f>AND(#REF!,"AAAAAE1n7zM=")</f>
        <v>#REF!</v>
      </c>
      <c r="BA140" t="e">
        <f>AND(#REF!,"AAAAAE1n7zQ=")</f>
        <v>#REF!</v>
      </c>
      <c r="BB140" t="e">
        <f>AND(#REF!,"AAAAAE1n7zU=")</f>
        <v>#REF!</v>
      </c>
      <c r="BC140" t="e">
        <f>AND(#REF!,"AAAAAE1n7zY=")</f>
        <v>#REF!</v>
      </c>
      <c r="BD140" t="e">
        <f>AND(#REF!,"AAAAAE1n7zc=")</f>
        <v>#REF!</v>
      </c>
      <c r="BE140" t="e">
        <f>AND(#REF!,"AAAAAE1n7zg=")</f>
        <v>#REF!</v>
      </c>
      <c r="BF140" t="e">
        <f>AND(#REF!,"AAAAAE1n7zk=")</f>
        <v>#REF!</v>
      </c>
      <c r="BG140" t="e">
        <f>AND(#REF!,"AAAAAE1n7zo=")</f>
        <v>#REF!</v>
      </c>
      <c r="BH140" t="e">
        <f>AND(#REF!,"AAAAAE1n7zs=")</f>
        <v>#REF!</v>
      </c>
      <c r="BI140" t="e">
        <f>AND(#REF!,"AAAAAE1n7zw=")</f>
        <v>#REF!</v>
      </c>
      <c r="BJ140" t="e">
        <f>AND(#REF!,"AAAAAE1n7z0=")</f>
        <v>#REF!</v>
      </c>
      <c r="BK140" t="e">
        <f>AND(#REF!,"AAAAAE1n7z4=")</f>
        <v>#REF!</v>
      </c>
      <c r="BL140" t="e">
        <f>AND(#REF!,"AAAAAE1n7z8=")</f>
        <v>#REF!</v>
      </c>
      <c r="BM140" t="e">
        <f>AND(#REF!,"AAAAAE1n70A=")</f>
        <v>#REF!</v>
      </c>
      <c r="BN140" t="e">
        <f>AND(#REF!,"AAAAAE1n70E=")</f>
        <v>#REF!</v>
      </c>
      <c r="BO140" t="e">
        <f>AND(#REF!,"AAAAAE1n70I=")</f>
        <v>#REF!</v>
      </c>
      <c r="BP140" t="e">
        <f>IF(#REF!,"AAAAAE1n70M=",0)</f>
        <v>#REF!</v>
      </c>
      <c r="BQ140" t="e">
        <f>AND(#REF!,"AAAAAE1n70Q=")</f>
        <v>#REF!</v>
      </c>
      <c r="BR140" t="e">
        <f>AND(#REF!,"AAAAAE1n70U=")</f>
        <v>#REF!</v>
      </c>
      <c r="BS140" t="e">
        <f>AND(#REF!,"AAAAAE1n70Y=")</f>
        <v>#REF!</v>
      </c>
      <c r="BT140" t="e">
        <f>AND(#REF!,"AAAAAE1n70c=")</f>
        <v>#REF!</v>
      </c>
      <c r="BU140" t="e">
        <f>AND(#REF!,"AAAAAE1n70g=")</f>
        <v>#REF!</v>
      </c>
      <c r="BV140" t="e">
        <f>AND(#REF!,"AAAAAE1n70k=")</f>
        <v>#REF!</v>
      </c>
      <c r="BW140" t="e">
        <f>AND(#REF!,"AAAAAE1n70o=")</f>
        <v>#REF!</v>
      </c>
      <c r="BX140" t="e">
        <f>AND(#REF!,"AAAAAE1n70s=")</f>
        <v>#REF!</v>
      </c>
      <c r="BY140" t="e">
        <f>AND(#REF!,"AAAAAE1n70w=")</f>
        <v>#REF!</v>
      </c>
      <c r="BZ140" t="e">
        <f>AND(#REF!,"AAAAAE1n700=")</f>
        <v>#REF!</v>
      </c>
      <c r="CA140" t="e">
        <f>AND(#REF!,"AAAAAE1n704=")</f>
        <v>#REF!</v>
      </c>
      <c r="CB140" t="e">
        <f>AND(#REF!,"AAAAAE1n708=")</f>
        <v>#REF!</v>
      </c>
      <c r="CC140" t="e">
        <f>AND(#REF!,"AAAAAE1n71A=")</f>
        <v>#REF!</v>
      </c>
      <c r="CD140" t="e">
        <f>AND(#REF!,"AAAAAE1n71E=")</f>
        <v>#REF!</v>
      </c>
      <c r="CE140" t="e">
        <f>AND(#REF!,"AAAAAE1n71I=")</f>
        <v>#REF!</v>
      </c>
      <c r="CF140" t="e">
        <f>AND(#REF!,"AAAAAE1n71M=")</f>
        <v>#REF!</v>
      </c>
      <c r="CG140" t="e">
        <f>AND(#REF!,"AAAAAE1n71Q=")</f>
        <v>#REF!</v>
      </c>
      <c r="CH140" t="e">
        <f>AND(#REF!,"AAAAAE1n71U=")</f>
        <v>#REF!</v>
      </c>
      <c r="CI140" t="e">
        <f>AND(#REF!,"AAAAAE1n71Y=")</f>
        <v>#REF!</v>
      </c>
      <c r="CJ140" t="e">
        <f>AND(#REF!,"AAAAAE1n71c=")</f>
        <v>#REF!</v>
      </c>
      <c r="CK140" t="e">
        <f>AND(#REF!,"AAAAAE1n71g=")</f>
        <v>#REF!</v>
      </c>
      <c r="CL140" t="e">
        <f>AND(#REF!,"AAAAAE1n71k=")</f>
        <v>#REF!</v>
      </c>
      <c r="CM140" t="e">
        <f>AND(#REF!,"AAAAAE1n71o=")</f>
        <v>#REF!</v>
      </c>
      <c r="CN140" t="e">
        <f>AND(#REF!,"AAAAAE1n71s=")</f>
        <v>#REF!</v>
      </c>
      <c r="CO140" t="e">
        <f>AND(#REF!,"AAAAAE1n71w=")</f>
        <v>#REF!</v>
      </c>
      <c r="CP140" t="e">
        <f>AND(#REF!,"AAAAAE1n710=")</f>
        <v>#REF!</v>
      </c>
      <c r="CQ140" t="e">
        <f>AND(#REF!,"AAAAAE1n714=")</f>
        <v>#REF!</v>
      </c>
      <c r="CR140" t="e">
        <f>AND(#REF!,"AAAAAE1n718=")</f>
        <v>#REF!</v>
      </c>
      <c r="CS140" t="e">
        <f>AND(#REF!,"AAAAAE1n72A=")</f>
        <v>#REF!</v>
      </c>
      <c r="CT140" t="e">
        <f>AND(#REF!,"AAAAAE1n72E=")</f>
        <v>#REF!</v>
      </c>
      <c r="CU140" t="e">
        <f>IF(#REF!,"AAAAAE1n72I=",0)</f>
        <v>#REF!</v>
      </c>
      <c r="CV140" t="e">
        <f>AND(#REF!,"AAAAAE1n72M=")</f>
        <v>#REF!</v>
      </c>
      <c r="CW140" t="e">
        <f>AND(#REF!,"AAAAAE1n72Q=")</f>
        <v>#REF!</v>
      </c>
      <c r="CX140" t="e">
        <f>AND(#REF!,"AAAAAE1n72U=")</f>
        <v>#REF!</v>
      </c>
      <c r="CY140" t="e">
        <f>AND(#REF!,"AAAAAE1n72Y=")</f>
        <v>#REF!</v>
      </c>
      <c r="CZ140" t="e">
        <f>AND(#REF!,"AAAAAE1n72c=")</f>
        <v>#REF!</v>
      </c>
      <c r="DA140" t="e">
        <f>AND(#REF!,"AAAAAE1n72g=")</f>
        <v>#REF!</v>
      </c>
      <c r="DB140" t="e">
        <f>AND(#REF!,"AAAAAE1n72k=")</f>
        <v>#REF!</v>
      </c>
      <c r="DC140" t="e">
        <f>AND(#REF!,"AAAAAE1n72o=")</f>
        <v>#REF!</v>
      </c>
      <c r="DD140" t="e">
        <f>AND(#REF!,"AAAAAE1n72s=")</f>
        <v>#REF!</v>
      </c>
      <c r="DE140" t="e">
        <f>AND(#REF!,"AAAAAE1n72w=")</f>
        <v>#REF!</v>
      </c>
      <c r="DF140" t="e">
        <f>AND(#REF!,"AAAAAE1n720=")</f>
        <v>#REF!</v>
      </c>
      <c r="DG140" t="e">
        <f>AND(#REF!,"AAAAAE1n724=")</f>
        <v>#REF!</v>
      </c>
      <c r="DH140" t="e">
        <f>AND(#REF!,"AAAAAE1n728=")</f>
        <v>#REF!</v>
      </c>
      <c r="DI140" t="e">
        <f>AND(#REF!,"AAAAAE1n73A=")</f>
        <v>#REF!</v>
      </c>
      <c r="DJ140" t="e">
        <f>AND(#REF!,"AAAAAE1n73E=")</f>
        <v>#REF!</v>
      </c>
      <c r="DK140" t="e">
        <f>AND(#REF!,"AAAAAE1n73I=")</f>
        <v>#REF!</v>
      </c>
      <c r="DL140" t="e">
        <f>AND(#REF!,"AAAAAE1n73M=")</f>
        <v>#REF!</v>
      </c>
      <c r="DM140" t="e">
        <f>AND(#REF!,"AAAAAE1n73Q=")</f>
        <v>#REF!</v>
      </c>
      <c r="DN140" t="e">
        <f>AND(#REF!,"AAAAAE1n73U=")</f>
        <v>#REF!</v>
      </c>
      <c r="DO140" t="e">
        <f>AND(#REF!,"AAAAAE1n73Y=")</f>
        <v>#REF!</v>
      </c>
      <c r="DP140" t="e">
        <f>AND(#REF!,"AAAAAE1n73c=")</f>
        <v>#REF!</v>
      </c>
      <c r="DQ140" t="e">
        <f>AND(#REF!,"AAAAAE1n73g=")</f>
        <v>#REF!</v>
      </c>
      <c r="DR140" t="e">
        <f>AND(#REF!,"AAAAAE1n73k=")</f>
        <v>#REF!</v>
      </c>
      <c r="DS140" t="e">
        <f>AND(#REF!,"AAAAAE1n73o=")</f>
        <v>#REF!</v>
      </c>
      <c r="DT140" t="e">
        <f>AND(#REF!,"AAAAAE1n73s=")</f>
        <v>#REF!</v>
      </c>
      <c r="DU140" t="e">
        <f>AND(#REF!,"AAAAAE1n73w=")</f>
        <v>#REF!</v>
      </c>
      <c r="DV140" t="e">
        <f>AND(#REF!,"AAAAAE1n730=")</f>
        <v>#REF!</v>
      </c>
      <c r="DW140" t="e">
        <f>AND(#REF!,"AAAAAE1n734=")</f>
        <v>#REF!</v>
      </c>
      <c r="DX140" t="e">
        <f>AND(#REF!,"AAAAAE1n738=")</f>
        <v>#REF!</v>
      </c>
      <c r="DY140" t="e">
        <f>AND(#REF!,"AAAAAE1n74A=")</f>
        <v>#REF!</v>
      </c>
      <c r="DZ140" t="e">
        <f>IF(#REF!,"AAAAAE1n74E=",0)</f>
        <v>#REF!</v>
      </c>
      <c r="EA140" t="e">
        <f>AND(#REF!,"AAAAAE1n74I=")</f>
        <v>#REF!</v>
      </c>
      <c r="EB140" t="e">
        <f>AND(#REF!,"AAAAAE1n74M=")</f>
        <v>#REF!</v>
      </c>
      <c r="EC140" t="e">
        <f>AND(#REF!,"AAAAAE1n74Q=")</f>
        <v>#REF!</v>
      </c>
      <c r="ED140" t="e">
        <f>AND(#REF!,"AAAAAE1n74U=")</f>
        <v>#REF!</v>
      </c>
      <c r="EE140" t="e">
        <f>AND(#REF!,"AAAAAE1n74Y=")</f>
        <v>#REF!</v>
      </c>
      <c r="EF140" t="e">
        <f>AND(#REF!,"AAAAAE1n74c=")</f>
        <v>#REF!</v>
      </c>
      <c r="EG140" t="e">
        <f>AND(#REF!,"AAAAAE1n74g=")</f>
        <v>#REF!</v>
      </c>
      <c r="EH140" t="e">
        <f>AND(#REF!,"AAAAAE1n74k=")</f>
        <v>#REF!</v>
      </c>
      <c r="EI140" t="e">
        <f>AND(#REF!,"AAAAAE1n74o=")</f>
        <v>#REF!</v>
      </c>
      <c r="EJ140" t="e">
        <f>AND(#REF!,"AAAAAE1n74s=")</f>
        <v>#REF!</v>
      </c>
      <c r="EK140" t="e">
        <f>AND(#REF!,"AAAAAE1n74w=")</f>
        <v>#REF!</v>
      </c>
      <c r="EL140" t="e">
        <f>AND(#REF!,"AAAAAE1n740=")</f>
        <v>#REF!</v>
      </c>
      <c r="EM140" t="e">
        <f>AND(#REF!,"AAAAAE1n744=")</f>
        <v>#REF!</v>
      </c>
      <c r="EN140" t="e">
        <f>AND(#REF!,"AAAAAE1n748=")</f>
        <v>#REF!</v>
      </c>
      <c r="EO140" t="e">
        <f>AND(#REF!,"AAAAAE1n75A=")</f>
        <v>#REF!</v>
      </c>
      <c r="EP140" t="e">
        <f>AND(#REF!,"AAAAAE1n75E=")</f>
        <v>#REF!</v>
      </c>
      <c r="EQ140" t="e">
        <f>AND(#REF!,"AAAAAE1n75I=")</f>
        <v>#REF!</v>
      </c>
      <c r="ER140" t="e">
        <f>AND(#REF!,"AAAAAE1n75M=")</f>
        <v>#REF!</v>
      </c>
      <c r="ES140" t="e">
        <f>AND(#REF!,"AAAAAE1n75Q=")</f>
        <v>#REF!</v>
      </c>
      <c r="ET140" t="e">
        <f>AND(#REF!,"AAAAAE1n75U=")</f>
        <v>#REF!</v>
      </c>
      <c r="EU140" t="e">
        <f>AND(#REF!,"AAAAAE1n75Y=")</f>
        <v>#REF!</v>
      </c>
      <c r="EV140" t="e">
        <f>AND(#REF!,"AAAAAE1n75c=")</f>
        <v>#REF!</v>
      </c>
      <c r="EW140" t="e">
        <f>AND(#REF!,"AAAAAE1n75g=")</f>
        <v>#REF!</v>
      </c>
      <c r="EX140" t="e">
        <f>AND(#REF!,"AAAAAE1n75k=")</f>
        <v>#REF!</v>
      </c>
      <c r="EY140" t="e">
        <f>AND(#REF!,"AAAAAE1n75o=")</f>
        <v>#REF!</v>
      </c>
      <c r="EZ140" t="e">
        <f>AND(#REF!,"AAAAAE1n75s=")</f>
        <v>#REF!</v>
      </c>
      <c r="FA140" t="e">
        <f>AND(#REF!,"AAAAAE1n75w=")</f>
        <v>#REF!</v>
      </c>
      <c r="FB140" t="e">
        <f>AND(#REF!,"AAAAAE1n750=")</f>
        <v>#REF!</v>
      </c>
      <c r="FC140" t="e">
        <f>AND(#REF!,"AAAAAE1n754=")</f>
        <v>#REF!</v>
      </c>
      <c r="FD140" t="e">
        <f>AND(#REF!,"AAAAAE1n758=")</f>
        <v>#REF!</v>
      </c>
      <c r="FE140" t="e">
        <f>IF(#REF!,"AAAAAE1n76A=",0)</f>
        <v>#REF!</v>
      </c>
      <c r="FF140" t="e">
        <f>AND(#REF!,"AAAAAE1n76E=")</f>
        <v>#REF!</v>
      </c>
      <c r="FG140" t="e">
        <f>AND(#REF!,"AAAAAE1n76I=")</f>
        <v>#REF!</v>
      </c>
      <c r="FH140" t="e">
        <f>AND(#REF!,"AAAAAE1n76M=")</f>
        <v>#REF!</v>
      </c>
      <c r="FI140" t="e">
        <f>AND(#REF!,"AAAAAE1n76Q=")</f>
        <v>#REF!</v>
      </c>
      <c r="FJ140" t="e">
        <f>AND(#REF!,"AAAAAE1n76U=")</f>
        <v>#REF!</v>
      </c>
      <c r="FK140" t="e">
        <f>AND(#REF!,"AAAAAE1n76Y=")</f>
        <v>#REF!</v>
      </c>
      <c r="FL140" t="e">
        <f>AND(#REF!,"AAAAAE1n76c=")</f>
        <v>#REF!</v>
      </c>
      <c r="FM140" t="e">
        <f>AND(#REF!,"AAAAAE1n76g=")</f>
        <v>#REF!</v>
      </c>
      <c r="FN140" t="e">
        <f>AND(#REF!,"AAAAAE1n76k=")</f>
        <v>#REF!</v>
      </c>
      <c r="FO140" t="e">
        <f>AND(#REF!,"AAAAAE1n76o=")</f>
        <v>#REF!</v>
      </c>
      <c r="FP140" t="e">
        <f>AND(#REF!,"AAAAAE1n76s=")</f>
        <v>#REF!</v>
      </c>
      <c r="FQ140" t="e">
        <f>AND(#REF!,"AAAAAE1n76w=")</f>
        <v>#REF!</v>
      </c>
      <c r="FR140" t="e">
        <f>AND(#REF!,"AAAAAE1n760=")</f>
        <v>#REF!</v>
      </c>
      <c r="FS140" t="e">
        <f>AND(#REF!,"AAAAAE1n764=")</f>
        <v>#REF!</v>
      </c>
      <c r="FT140" t="e">
        <f>AND(#REF!,"AAAAAE1n768=")</f>
        <v>#REF!</v>
      </c>
      <c r="FU140" t="e">
        <f>AND(#REF!,"AAAAAE1n77A=")</f>
        <v>#REF!</v>
      </c>
      <c r="FV140" t="e">
        <f>AND(#REF!,"AAAAAE1n77E=")</f>
        <v>#REF!</v>
      </c>
      <c r="FW140" t="e">
        <f>AND(#REF!,"AAAAAE1n77I=")</f>
        <v>#REF!</v>
      </c>
      <c r="FX140" t="e">
        <f>AND(#REF!,"AAAAAE1n77M=")</f>
        <v>#REF!</v>
      </c>
      <c r="FY140" t="e">
        <f>AND(#REF!,"AAAAAE1n77Q=")</f>
        <v>#REF!</v>
      </c>
      <c r="FZ140" t="e">
        <f>AND(#REF!,"AAAAAE1n77U=")</f>
        <v>#REF!</v>
      </c>
      <c r="GA140" t="e">
        <f>AND(#REF!,"AAAAAE1n77Y=")</f>
        <v>#REF!</v>
      </c>
      <c r="GB140" t="e">
        <f>AND(#REF!,"AAAAAE1n77c=")</f>
        <v>#REF!</v>
      </c>
      <c r="GC140" t="e">
        <f>AND(#REF!,"AAAAAE1n77g=")</f>
        <v>#REF!</v>
      </c>
      <c r="GD140" t="e">
        <f>AND(#REF!,"AAAAAE1n77k=")</f>
        <v>#REF!</v>
      </c>
      <c r="GE140" t="e">
        <f>AND(#REF!,"AAAAAE1n77o=")</f>
        <v>#REF!</v>
      </c>
      <c r="GF140" t="e">
        <f>AND(#REF!,"AAAAAE1n77s=")</f>
        <v>#REF!</v>
      </c>
      <c r="GG140" t="e">
        <f>AND(#REF!,"AAAAAE1n77w=")</f>
        <v>#REF!</v>
      </c>
      <c r="GH140" t="e">
        <f>AND(#REF!,"AAAAAE1n770=")</f>
        <v>#REF!</v>
      </c>
      <c r="GI140" t="e">
        <f>AND(#REF!,"AAAAAE1n774=")</f>
        <v>#REF!</v>
      </c>
      <c r="GJ140" t="e">
        <f>IF(#REF!,"AAAAAE1n778=",0)</f>
        <v>#REF!</v>
      </c>
      <c r="GK140" t="e">
        <f>AND(#REF!,"AAAAAE1n78A=")</f>
        <v>#REF!</v>
      </c>
      <c r="GL140" t="e">
        <f>AND(#REF!,"AAAAAE1n78E=")</f>
        <v>#REF!</v>
      </c>
      <c r="GM140" t="e">
        <f>AND(#REF!,"AAAAAE1n78I=")</f>
        <v>#REF!</v>
      </c>
      <c r="GN140" t="e">
        <f>AND(#REF!,"AAAAAE1n78M=")</f>
        <v>#REF!</v>
      </c>
      <c r="GO140" t="e">
        <f>AND(#REF!,"AAAAAE1n78Q=")</f>
        <v>#REF!</v>
      </c>
      <c r="GP140" t="e">
        <f>AND(#REF!,"AAAAAE1n78U=")</f>
        <v>#REF!</v>
      </c>
      <c r="GQ140" t="e">
        <f>AND(#REF!,"AAAAAE1n78Y=")</f>
        <v>#REF!</v>
      </c>
      <c r="GR140" t="e">
        <f>AND(#REF!,"AAAAAE1n78c=")</f>
        <v>#REF!</v>
      </c>
      <c r="GS140" t="e">
        <f>AND(#REF!,"AAAAAE1n78g=")</f>
        <v>#REF!</v>
      </c>
      <c r="GT140" t="e">
        <f>AND(#REF!,"AAAAAE1n78k=")</f>
        <v>#REF!</v>
      </c>
      <c r="GU140" t="e">
        <f>AND(#REF!,"AAAAAE1n78o=")</f>
        <v>#REF!</v>
      </c>
      <c r="GV140" t="e">
        <f>AND(#REF!,"AAAAAE1n78s=")</f>
        <v>#REF!</v>
      </c>
      <c r="GW140" t="e">
        <f>AND(#REF!,"AAAAAE1n78w=")</f>
        <v>#REF!</v>
      </c>
      <c r="GX140" t="e">
        <f>AND(#REF!,"AAAAAE1n780=")</f>
        <v>#REF!</v>
      </c>
      <c r="GY140" t="e">
        <f>AND(#REF!,"AAAAAE1n784=")</f>
        <v>#REF!</v>
      </c>
      <c r="GZ140" t="e">
        <f>AND(#REF!,"AAAAAE1n788=")</f>
        <v>#REF!</v>
      </c>
      <c r="HA140" t="e">
        <f>AND(#REF!,"AAAAAE1n79A=")</f>
        <v>#REF!</v>
      </c>
      <c r="HB140" t="e">
        <f>AND(#REF!,"AAAAAE1n79E=")</f>
        <v>#REF!</v>
      </c>
      <c r="HC140" t="e">
        <f>AND(#REF!,"AAAAAE1n79I=")</f>
        <v>#REF!</v>
      </c>
      <c r="HD140" t="e">
        <f>AND(#REF!,"AAAAAE1n79M=")</f>
        <v>#REF!</v>
      </c>
      <c r="HE140" t="e">
        <f>AND(#REF!,"AAAAAE1n79Q=")</f>
        <v>#REF!</v>
      </c>
      <c r="HF140" t="e">
        <f>AND(#REF!,"AAAAAE1n79U=")</f>
        <v>#REF!</v>
      </c>
      <c r="HG140" t="e">
        <f>AND(#REF!,"AAAAAE1n79Y=")</f>
        <v>#REF!</v>
      </c>
      <c r="HH140" t="e">
        <f>AND(#REF!,"AAAAAE1n79c=")</f>
        <v>#REF!</v>
      </c>
      <c r="HI140" t="e">
        <f>AND(#REF!,"AAAAAE1n79g=")</f>
        <v>#REF!</v>
      </c>
      <c r="HJ140" t="e">
        <f>AND(#REF!,"AAAAAE1n79k=")</f>
        <v>#REF!</v>
      </c>
      <c r="HK140" t="e">
        <f>AND(#REF!,"AAAAAE1n79o=")</f>
        <v>#REF!</v>
      </c>
      <c r="HL140" t="e">
        <f>AND(#REF!,"AAAAAE1n79s=")</f>
        <v>#REF!</v>
      </c>
      <c r="HM140" t="e">
        <f>AND(#REF!,"AAAAAE1n79w=")</f>
        <v>#REF!</v>
      </c>
      <c r="HN140" t="e">
        <f>AND(#REF!,"AAAAAE1n790=")</f>
        <v>#REF!</v>
      </c>
      <c r="HO140" t="e">
        <f>IF(#REF!,"AAAAAE1n794=",0)</f>
        <v>#REF!</v>
      </c>
      <c r="HP140" t="e">
        <f>AND(#REF!,"AAAAAE1n798=")</f>
        <v>#REF!</v>
      </c>
      <c r="HQ140" t="e">
        <f>AND(#REF!,"AAAAAE1n7+A=")</f>
        <v>#REF!</v>
      </c>
      <c r="HR140" t="e">
        <f>AND(#REF!,"AAAAAE1n7+E=")</f>
        <v>#REF!</v>
      </c>
      <c r="HS140" t="e">
        <f>AND(#REF!,"AAAAAE1n7+I=")</f>
        <v>#REF!</v>
      </c>
      <c r="HT140" t="e">
        <f>AND(#REF!,"AAAAAE1n7+M=")</f>
        <v>#REF!</v>
      </c>
      <c r="HU140" t="e">
        <f>AND(#REF!,"AAAAAE1n7+Q=")</f>
        <v>#REF!</v>
      </c>
      <c r="HV140" t="e">
        <f>AND(#REF!,"AAAAAE1n7+U=")</f>
        <v>#REF!</v>
      </c>
      <c r="HW140" t="e">
        <f>AND(#REF!,"AAAAAE1n7+Y=")</f>
        <v>#REF!</v>
      </c>
      <c r="HX140" t="e">
        <f>AND(#REF!,"AAAAAE1n7+c=")</f>
        <v>#REF!</v>
      </c>
      <c r="HY140" t="e">
        <f>AND(#REF!,"AAAAAE1n7+g=")</f>
        <v>#REF!</v>
      </c>
      <c r="HZ140" t="e">
        <f>AND(#REF!,"AAAAAE1n7+k=")</f>
        <v>#REF!</v>
      </c>
      <c r="IA140" t="e">
        <f>AND(#REF!,"AAAAAE1n7+o=")</f>
        <v>#REF!</v>
      </c>
      <c r="IB140" t="e">
        <f>AND(#REF!,"AAAAAE1n7+s=")</f>
        <v>#REF!</v>
      </c>
      <c r="IC140" t="e">
        <f>AND(#REF!,"AAAAAE1n7+w=")</f>
        <v>#REF!</v>
      </c>
      <c r="ID140" t="e">
        <f>AND(#REF!,"AAAAAE1n7+0=")</f>
        <v>#REF!</v>
      </c>
      <c r="IE140" t="e">
        <f>AND(#REF!,"AAAAAE1n7+4=")</f>
        <v>#REF!</v>
      </c>
      <c r="IF140" t="e">
        <f>AND(#REF!,"AAAAAE1n7+8=")</f>
        <v>#REF!</v>
      </c>
      <c r="IG140" t="e">
        <f>AND(#REF!,"AAAAAE1n7/A=")</f>
        <v>#REF!</v>
      </c>
      <c r="IH140" t="e">
        <f>AND(#REF!,"AAAAAE1n7/E=")</f>
        <v>#REF!</v>
      </c>
      <c r="II140" t="e">
        <f>AND(#REF!,"AAAAAE1n7/I=")</f>
        <v>#REF!</v>
      </c>
      <c r="IJ140" t="e">
        <f>AND(#REF!,"AAAAAE1n7/M=")</f>
        <v>#REF!</v>
      </c>
      <c r="IK140" t="e">
        <f>AND(#REF!,"AAAAAE1n7/Q=")</f>
        <v>#REF!</v>
      </c>
      <c r="IL140" t="e">
        <f>AND(#REF!,"AAAAAE1n7/U=")</f>
        <v>#REF!</v>
      </c>
      <c r="IM140" t="e">
        <f>AND(#REF!,"AAAAAE1n7/Y=")</f>
        <v>#REF!</v>
      </c>
      <c r="IN140" t="e">
        <f>AND(#REF!,"AAAAAE1n7/c=")</f>
        <v>#REF!</v>
      </c>
      <c r="IO140" t="e">
        <f>AND(#REF!,"AAAAAE1n7/g=")</f>
        <v>#REF!</v>
      </c>
      <c r="IP140" t="e">
        <f>AND(#REF!,"AAAAAE1n7/k=")</f>
        <v>#REF!</v>
      </c>
      <c r="IQ140" t="e">
        <f>AND(#REF!,"AAAAAE1n7/o=")</f>
        <v>#REF!</v>
      </c>
      <c r="IR140" t="e">
        <f>AND(#REF!,"AAAAAE1n7/s=")</f>
        <v>#REF!</v>
      </c>
      <c r="IS140" t="e">
        <f>AND(#REF!,"AAAAAE1n7/w=")</f>
        <v>#REF!</v>
      </c>
      <c r="IT140" t="e">
        <f>IF(#REF!,"AAAAAE1n7/0=",0)</f>
        <v>#REF!</v>
      </c>
      <c r="IU140" t="e">
        <f>AND(#REF!,"AAAAAE1n7/4=")</f>
        <v>#REF!</v>
      </c>
      <c r="IV140" t="e">
        <f>AND(#REF!,"AAAAAE1n7/8=")</f>
        <v>#REF!</v>
      </c>
    </row>
    <row r="141" spans="1:256" x14ac:dyDescent="0.2">
      <c r="A141" t="e">
        <f>AND(#REF!,"AAAAAD//qwA=")</f>
        <v>#REF!</v>
      </c>
      <c r="B141" t="e">
        <f>AND(#REF!,"AAAAAD//qwE=")</f>
        <v>#REF!</v>
      </c>
      <c r="C141" t="e">
        <f>AND(#REF!,"AAAAAD//qwI=")</f>
        <v>#REF!</v>
      </c>
      <c r="D141" t="e">
        <f>AND(#REF!,"AAAAAD//qwM=")</f>
        <v>#REF!</v>
      </c>
      <c r="E141" t="e">
        <f>AND(#REF!,"AAAAAD//qwQ=")</f>
        <v>#REF!</v>
      </c>
      <c r="F141" t="e">
        <f>AND(#REF!,"AAAAAD//qwU=")</f>
        <v>#REF!</v>
      </c>
      <c r="G141" t="e">
        <f>AND(#REF!,"AAAAAD//qwY=")</f>
        <v>#REF!</v>
      </c>
      <c r="H141" t="e">
        <f>AND(#REF!,"AAAAAD//qwc=")</f>
        <v>#REF!</v>
      </c>
      <c r="I141" t="e">
        <f>AND(#REF!,"AAAAAD//qwg=")</f>
        <v>#REF!</v>
      </c>
      <c r="J141" t="e">
        <f>AND(#REF!,"AAAAAD//qwk=")</f>
        <v>#REF!</v>
      </c>
      <c r="K141" t="e">
        <f>AND(#REF!,"AAAAAD//qwo=")</f>
        <v>#REF!</v>
      </c>
      <c r="L141" t="e">
        <f>AND(#REF!,"AAAAAD//qws=")</f>
        <v>#REF!</v>
      </c>
      <c r="M141" t="e">
        <f>AND(#REF!,"AAAAAD//qww=")</f>
        <v>#REF!</v>
      </c>
      <c r="N141" t="e">
        <f>AND(#REF!,"AAAAAD//qw0=")</f>
        <v>#REF!</v>
      </c>
      <c r="O141" t="e">
        <f>AND(#REF!,"AAAAAD//qw4=")</f>
        <v>#REF!</v>
      </c>
      <c r="P141" t="e">
        <f>AND(#REF!,"AAAAAD//qw8=")</f>
        <v>#REF!</v>
      </c>
      <c r="Q141" t="e">
        <f>AND(#REF!,"AAAAAD//qxA=")</f>
        <v>#REF!</v>
      </c>
      <c r="R141" t="e">
        <f>AND(#REF!,"AAAAAD//qxE=")</f>
        <v>#REF!</v>
      </c>
      <c r="S141" t="e">
        <f>AND(#REF!,"AAAAAD//qxI=")</f>
        <v>#REF!</v>
      </c>
      <c r="T141" t="e">
        <f>AND(#REF!,"AAAAAD//qxM=")</f>
        <v>#REF!</v>
      </c>
      <c r="U141" t="e">
        <f>AND(#REF!,"AAAAAD//qxQ=")</f>
        <v>#REF!</v>
      </c>
      <c r="V141" t="e">
        <f>AND(#REF!,"AAAAAD//qxU=")</f>
        <v>#REF!</v>
      </c>
      <c r="W141" t="e">
        <f>AND(#REF!,"AAAAAD//qxY=")</f>
        <v>#REF!</v>
      </c>
      <c r="X141" t="e">
        <f>AND(#REF!,"AAAAAD//qxc=")</f>
        <v>#REF!</v>
      </c>
      <c r="Y141" t="e">
        <f>AND(#REF!,"AAAAAD//qxg=")</f>
        <v>#REF!</v>
      </c>
      <c r="Z141" t="e">
        <f>AND(#REF!,"AAAAAD//qxk=")</f>
        <v>#REF!</v>
      </c>
      <c r="AA141" t="e">
        <f>AND(#REF!,"AAAAAD//qxo=")</f>
        <v>#REF!</v>
      </c>
      <c r="AB141" t="e">
        <f>AND(#REF!,"AAAAAD//qxs=")</f>
        <v>#REF!</v>
      </c>
      <c r="AC141" t="e">
        <f>IF(#REF!,"AAAAAD//qxw=",0)</f>
        <v>#REF!</v>
      </c>
      <c r="AD141" t="e">
        <f>AND(#REF!,"AAAAAD//qx0=")</f>
        <v>#REF!</v>
      </c>
      <c r="AE141" t="e">
        <f>AND(#REF!,"AAAAAD//qx4=")</f>
        <v>#REF!</v>
      </c>
      <c r="AF141" t="e">
        <f>AND(#REF!,"AAAAAD//qx8=")</f>
        <v>#REF!</v>
      </c>
      <c r="AG141" t="e">
        <f>AND(#REF!,"AAAAAD//qyA=")</f>
        <v>#REF!</v>
      </c>
      <c r="AH141" t="e">
        <f>AND(#REF!,"AAAAAD//qyE=")</f>
        <v>#REF!</v>
      </c>
      <c r="AI141" t="e">
        <f>AND(#REF!,"AAAAAD//qyI=")</f>
        <v>#REF!</v>
      </c>
      <c r="AJ141" t="e">
        <f>AND(#REF!,"AAAAAD//qyM=")</f>
        <v>#REF!</v>
      </c>
      <c r="AK141" t="e">
        <f>AND(#REF!,"AAAAAD//qyQ=")</f>
        <v>#REF!</v>
      </c>
      <c r="AL141" t="e">
        <f>AND(#REF!,"AAAAAD//qyU=")</f>
        <v>#REF!</v>
      </c>
      <c r="AM141" t="e">
        <f>AND(#REF!,"AAAAAD//qyY=")</f>
        <v>#REF!</v>
      </c>
      <c r="AN141" t="e">
        <f>AND(#REF!,"AAAAAD//qyc=")</f>
        <v>#REF!</v>
      </c>
      <c r="AO141" t="e">
        <f>AND(#REF!,"AAAAAD//qyg=")</f>
        <v>#REF!</v>
      </c>
      <c r="AP141" t="e">
        <f>AND(#REF!,"AAAAAD//qyk=")</f>
        <v>#REF!</v>
      </c>
      <c r="AQ141" t="e">
        <f>AND(#REF!,"AAAAAD//qyo=")</f>
        <v>#REF!</v>
      </c>
      <c r="AR141" t="e">
        <f>AND(#REF!,"AAAAAD//qys=")</f>
        <v>#REF!</v>
      </c>
      <c r="AS141" t="e">
        <f>AND(#REF!,"AAAAAD//qyw=")</f>
        <v>#REF!</v>
      </c>
      <c r="AT141" t="e">
        <f>AND(#REF!,"AAAAAD//qy0=")</f>
        <v>#REF!</v>
      </c>
      <c r="AU141" t="e">
        <f>AND(#REF!,"AAAAAD//qy4=")</f>
        <v>#REF!</v>
      </c>
      <c r="AV141" t="e">
        <f>AND(#REF!,"AAAAAD//qy8=")</f>
        <v>#REF!</v>
      </c>
      <c r="AW141" t="e">
        <f>AND(#REF!,"AAAAAD//qzA=")</f>
        <v>#REF!</v>
      </c>
      <c r="AX141" t="e">
        <f>AND(#REF!,"AAAAAD//qzE=")</f>
        <v>#REF!</v>
      </c>
      <c r="AY141" t="e">
        <f>AND(#REF!,"AAAAAD//qzI=")</f>
        <v>#REF!</v>
      </c>
      <c r="AZ141" t="e">
        <f>AND(#REF!,"AAAAAD//qzM=")</f>
        <v>#REF!</v>
      </c>
      <c r="BA141" t="e">
        <f>AND(#REF!,"AAAAAD//qzQ=")</f>
        <v>#REF!</v>
      </c>
      <c r="BB141" t="e">
        <f>AND(#REF!,"AAAAAD//qzU=")</f>
        <v>#REF!</v>
      </c>
      <c r="BC141" t="e">
        <f>AND(#REF!,"AAAAAD//qzY=")</f>
        <v>#REF!</v>
      </c>
      <c r="BD141" t="e">
        <f>AND(#REF!,"AAAAAD//qzc=")</f>
        <v>#REF!</v>
      </c>
      <c r="BE141" t="e">
        <f>AND(#REF!,"AAAAAD//qzg=")</f>
        <v>#REF!</v>
      </c>
      <c r="BF141" t="e">
        <f>AND(#REF!,"AAAAAD//qzk=")</f>
        <v>#REF!</v>
      </c>
      <c r="BG141" t="e">
        <f>AND(#REF!,"AAAAAD//qzo=")</f>
        <v>#REF!</v>
      </c>
      <c r="BH141" t="e">
        <f>IF(#REF!,"AAAAAD//qzs=",0)</f>
        <v>#REF!</v>
      </c>
      <c r="BI141" t="e">
        <f>AND(#REF!,"AAAAAD//qzw=")</f>
        <v>#REF!</v>
      </c>
      <c r="BJ141" t="e">
        <f>AND(#REF!,"AAAAAD//qz0=")</f>
        <v>#REF!</v>
      </c>
      <c r="BK141" t="e">
        <f>AND(#REF!,"AAAAAD//qz4=")</f>
        <v>#REF!</v>
      </c>
      <c r="BL141" t="e">
        <f>AND(#REF!,"AAAAAD//qz8=")</f>
        <v>#REF!</v>
      </c>
      <c r="BM141" t="e">
        <f>AND(#REF!,"AAAAAD//q0A=")</f>
        <v>#REF!</v>
      </c>
      <c r="BN141" t="e">
        <f>AND(#REF!,"AAAAAD//q0E=")</f>
        <v>#REF!</v>
      </c>
      <c r="BO141" t="e">
        <f>AND(#REF!,"AAAAAD//q0I=")</f>
        <v>#REF!</v>
      </c>
      <c r="BP141" t="e">
        <f>AND(#REF!,"AAAAAD//q0M=")</f>
        <v>#REF!</v>
      </c>
      <c r="BQ141" t="e">
        <f>AND(#REF!,"AAAAAD//q0Q=")</f>
        <v>#REF!</v>
      </c>
      <c r="BR141" t="e">
        <f>AND(#REF!,"AAAAAD//q0U=")</f>
        <v>#REF!</v>
      </c>
      <c r="BS141" t="e">
        <f>AND(#REF!,"AAAAAD//q0Y=")</f>
        <v>#REF!</v>
      </c>
      <c r="BT141" t="e">
        <f>AND(#REF!,"AAAAAD//q0c=")</f>
        <v>#REF!</v>
      </c>
      <c r="BU141" t="e">
        <f>AND(#REF!,"AAAAAD//q0g=")</f>
        <v>#REF!</v>
      </c>
      <c r="BV141" t="e">
        <f>AND(#REF!,"AAAAAD//q0k=")</f>
        <v>#REF!</v>
      </c>
      <c r="BW141" t="e">
        <f>AND(#REF!,"AAAAAD//q0o=")</f>
        <v>#REF!</v>
      </c>
      <c r="BX141" t="e">
        <f>AND(#REF!,"AAAAAD//q0s=")</f>
        <v>#REF!</v>
      </c>
      <c r="BY141" t="e">
        <f>AND(#REF!,"AAAAAD//q0w=")</f>
        <v>#REF!</v>
      </c>
      <c r="BZ141" t="e">
        <f>AND(#REF!,"AAAAAD//q00=")</f>
        <v>#REF!</v>
      </c>
      <c r="CA141" t="e">
        <f>AND(#REF!,"AAAAAD//q04=")</f>
        <v>#REF!</v>
      </c>
      <c r="CB141" t="e">
        <f>AND(#REF!,"AAAAAD//q08=")</f>
        <v>#REF!</v>
      </c>
      <c r="CC141" t="e">
        <f>AND(#REF!,"AAAAAD//q1A=")</f>
        <v>#REF!</v>
      </c>
      <c r="CD141" t="e">
        <f>AND(#REF!,"AAAAAD//q1E=")</f>
        <v>#REF!</v>
      </c>
      <c r="CE141" t="e">
        <f>AND(#REF!,"AAAAAD//q1I=")</f>
        <v>#REF!</v>
      </c>
      <c r="CF141" t="e">
        <f>AND(#REF!,"AAAAAD//q1M=")</f>
        <v>#REF!</v>
      </c>
      <c r="CG141" t="e">
        <f>AND(#REF!,"AAAAAD//q1Q=")</f>
        <v>#REF!</v>
      </c>
      <c r="CH141" t="e">
        <f>AND(#REF!,"AAAAAD//q1U=")</f>
        <v>#REF!</v>
      </c>
      <c r="CI141" t="e">
        <f>AND(#REF!,"AAAAAD//q1Y=")</f>
        <v>#REF!</v>
      </c>
      <c r="CJ141" t="e">
        <f>AND(#REF!,"AAAAAD//q1c=")</f>
        <v>#REF!</v>
      </c>
      <c r="CK141" t="e">
        <f>AND(#REF!,"AAAAAD//q1g=")</f>
        <v>#REF!</v>
      </c>
      <c r="CL141" t="e">
        <f>AND(#REF!,"AAAAAD//q1k=")</f>
        <v>#REF!</v>
      </c>
      <c r="CM141" t="e">
        <f>IF(#REF!,"AAAAAD//q1o=",0)</f>
        <v>#REF!</v>
      </c>
      <c r="CN141" t="e">
        <f>AND(#REF!,"AAAAAD//q1s=")</f>
        <v>#REF!</v>
      </c>
      <c r="CO141" t="e">
        <f>AND(#REF!,"AAAAAD//q1w=")</f>
        <v>#REF!</v>
      </c>
      <c r="CP141" t="e">
        <f>AND(#REF!,"AAAAAD//q10=")</f>
        <v>#REF!</v>
      </c>
      <c r="CQ141" t="e">
        <f>AND(#REF!,"AAAAAD//q14=")</f>
        <v>#REF!</v>
      </c>
      <c r="CR141" t="e">
        <f>AND(#REF!,"AAAAAD//q18=")</f>
        <v>#REF!</v>
      </c>
      <c r="CS141" t="e">
        <f>AND(#REF!,"AAAAAD//q2A=")</f>
        <v>#REF!</v>
      </c>
      <c r="CT141" t="e">
        <f>AND(#REF!,"AAAAAD//q2E=")</f>
        <v>#REF!</v>
      </c>
      <c r="CU141" t="e">
        <f>AND(#REF!,"AAAAAD//q2I=")</f>
        <v>#REF!</v>
      </c>
      <c r="CV141" t="e">
        <f>AND(#REF!,"AAAAAD//q2M=")</f>
        <v>#REF!</v>
      </c>
      <c r="CW141" t="e">
        <f>AND(#REF!,"AAAAAD//q2Q=")</f>
        <v>#REF!</v>
      </c>
      <c r="CX141" t="e">
        <f>AND(#REF!,"AAAAAD//q2U=")</f>
        <v>#REF!</v>
      </c>
      <c r="CY141" t="e">
        <f>AND(#REF!,"AAAAAD//q2Y=")</f>
        <v>#REF!</v>
      </c>
      <c r="CZ141" t="e">
        <f>AND(#REF!,"AAAAAD//q2c=")</f>
        <v>#REF!</v>
      </c>
      <c r="DA141" t="e">
        <f>AND(#REF!,"AAAAAD//q2g=")</f>
        <v>#REF!</v>
      </c>
      <c r="DB141" t="e">
        <f>AND(#REF!,"AAAAAD//q2k=")</f>
        <v>#REF!</v>
      </c>
      <c r="DC141" t="e">
        <f>AND(#REF!,"AAAAAD//q2o=")</f>
        <v>#REF!</v>
      </c>
      <c r="DD141" t="e">
        <f>AND(#REF!,"AAAAAD//q2s=")</f>
        <v>#REF!</v>
      </c>
      <c r="DE141" t="e">
        <f>AND(#REF!,"AAAAAD//q2w=")</f>
        <v>#REF!</v>
      </c>
      <c r="DF141" t="e">
        <f>AND(#REF!,"AAAAAD//q20=")</f>
        <v>#REF!</v>
      </c>
      <c r="DG141" t="e">
        <f>AND(#REF!,"AAAAAD//q24=")</f>
        <v>#REF!</v>
      </c>
      <c r="DH141" t="e">
        <f>AND(#REF!,"AAAAAD//q28=")</f>
        <v>#REF!</v>
      </c>
      <c r="DI141" t="e">
        <f>AND(#REF!,"AAAAAD//q3A=")</f>
        <v>#REF!</v>
      </c>
      <c r="DJ141" t="e">
        <f>AND(#REF!,"AAAAAD//q3E=")</f>
        <v>#REF!</v>
      </c>
      <c r="DK141" t="e">
        <f>AND(#REF!,"AAAAAD//q3I=")</f>
        <v>#REF!</v>
      </c>
      <c r="DL141" t="e">
        <f>AND(#REF!,"AAAAAD//q3M=")</f>
        <v>#REF!</v>
      </c>
      <c r="DM141" t="e">
        <f>AND(#REF!,"AAAAAD//q3Q=")</f>
        <v>#REF!</v>
      </c>
      <c r="DN141" t="e">
        <f>AND(#REF!,"AAAAAD//q3U=")</f>
        <v>#REF!</v>
      </c>
      <c r="DO141" t="e">
        <f>AND(#REF!,"AAAAAD//q3Y=")</f>
        <v>#REF!</v>
      </c>
      <c r="DP141" t="e">
        <f>AND(#REF!,"AAAAAD//q3c=")</f>
        <v>#REF!</v>
      </c>
      <c r="DQ141" t="e">
        <f>AND(#REF!,"AAAAAD//q3g=")</f>
        <v>#REF!</v>
      </c>
      <c r="DR141" t="e">
        <f>IF(#REF!,"AAAAAD//q3k=",0)</f>
        <v>#REF!</v>
      </c>
      <c r="DS141" t="e">
        <f>AND(#REF!,"AAAAAD//q3o=")</f>
        <v>#REF!</v>
      </c>
      <c r="DT141" t="e">
        <f>AND(#REF!,"AAAAAD//q3s=")</f>
        <v>#REF!</v>
      </c>
      <c r="DU141" t="e">
        <f>AND(#REF!,"AAAAAD//q3w=")</f>
        <v>#REF!</v>
      </c>
      <c r="DV141" t="e">
        <f>AND(#REF!,"AAAAAD//q30=")</f>
        <v>#REF!</v>
      </c>
      <c r="DW141" t="e">
        <f>AND(#REF!,"AAAAAD//q34=")</f>
        <v>#REF!</v>
      </c>
      <c r="DX141" t="e">
        <f>AND(#REF!,"AAAAAD//q38=")</f>
        <v>#REF!</v>
      </c>
      <c r="DY141" t="e">
        <f>AND(#REF!,"AAAAAD//q4A=")</f>
        <v>#REF!</v>
      </c>
      <c r="DZ141" t="e">
        <f>AND(#REF!,"AAAAAD//q4E=")</f>
        <v>#REF!</v>
      </c>
      <c r="EA141" t="e">
        <f>AND(#REF!,"AAAAAD//q4I=")</f>
        <v>#REF!</v>
      </c>
      <c r="EB141" t="e">
        <f>AND(#REF!,"AAAAAD//q4M=")</f>
        <v>#REF!</v>
      </c>
      <c r="EC141" t="e">
        <f>AND(#REF!,"AAAAAD//q4Q=")</f>
        <v>#REF!</v>
      </c>
      <c r="ED141" t="e">
        <f>AND(#REF!,"AAAAAD//q4U=")</f>
        <v>#REF!</v>
      </c>
      <c r="EE141" t="e">
        <f>AND(#REF!,"AAAAAD//q4Y=")</f>
        <v>#REF!</v>
      </c>
      <c r="EF141" t="e">
        <f>AND(#REF!,"AAAAAD//q4c=")</f>
        <v>#REF!</v>
      </c>
      <c r="EG141" t="e">
        <f>AND(#REF!,"AAAAAD//q4g=")</f>
        <v>#REF!</v>
      </c>
      <c r="EH141" t="e">
        <f>AND(#REF!,"AAAAAD//q4k=")</f>
        <v>#REF!</v>
      </c>
      <c r="EI141" t="e">
        <f>AND(#REF!,"AAAAAD//q4o=")</f>
        <v>#REF!</v>
      </c>
      <c r="EJ141" t="e">
        <f>AND(#REF!,"AAAAAD//q4s=")</f>
        <v>#REF!</v>
      </c>
      <c r="EK141" t="e">
        <f>AND(#REF!,"AAAAAD//q4w=")</f>
        <v>#REF!</v>
      </c>
      <c r="EL141" t="e">
        <f>AND(#REF!,"AAAAAD//q40=")</f>
        <v>#REF!</v>
      </c>
      <c r="EM141" t="e">
        <f>AND(#REF!,"AAAAAD//q44=")</f>
        <v>#REF!</v>
      </c>
      <c r="EN141" t="e">
        <f>AND(#REF!,"AAAAAD//q48=")</f>
        <v>#REF!</v>
      </c>
      <c r="EO141" t="e">
        <f>AND(#REF!,"AAAAAD//q5A=")</f>
        <v>#REF!</v>
      </c>
      <c r="EP141" t="e">
        <f>AND(#REF!,"AAAAAD//q5E=")</f>
        <v>#REF!</v>
      </c>
      <c r="EQ141" t="e">
        <f>AND(#REF!,"AAAAAD//q5I=")</f>
        <v>#REF!</v>
      </c>
      <c r="ER141" t="e">
        <f>AND(#REF!,"AAAAAD//q5M=")</f>
        <v>#REF!</v>
      </c>
      <c r="ES141" t="e">
        <f>AND(#REF!,"AAAAAD//q5Q=")</f>
        <v>#REF!</v>
      </c>
      <c r="ET141" t="e">
        <f>AND(#REF!,"AAAAAD//q5U=")</f>
        <v>#REF!</v>
      </c>
      <c r="EU141" t="e">
        <f>AND(#REF!,"AAAAAD//q5Y=")</f>
        <v>#REF!</v>
      </c>
      <c r="EV141" t="e">
        <f>AND(#REF!,"AAAAAD//q5c=")</f>
        <v>#REF!</v>
      </c>
      <c r="EW141" t="e">
        <f>IF(#REF!,"AAAAAD//q5g=",0)</f>
        <v>#REF!</v>
      </c>
      <c r="EX141" t="e">
        <f>AND(#REF!,"AAAAAD//q5k=")</f>
        <v>#REF!</v>
      </c>
      <c r="EY141" t="e">
        <f>AND(#REF!,"AAAAAD//q5o=")</f>
        <v>#REF!</v>
      </c>
      <c r="EZ141" t="e">
        <f>AND(#REF!,"AAAAAD//q5s=")</f>
        <v>#REF!</v>
      </c>
      <c r="FA141" t="e">
        <f>AND(#REF!,"AAAAAD//q5w=")</f>
        <v>#REF!</v>
      </c>
      <c r="FB141" t="e">
        <f>AND(#REF!,"AAAAAD//q50=")</f>
        <v>#REF!</v>
      </c>
      <c r="FC141" t="e">
        <f>AND(#REF!,"AAAAAD//q54=")</f>
        <v>#REF!</v>
      </c>
      <c r="FD141" t="e">
        <f>AND(#REF!,"AAAAAD//q58=")</f>
        <v>#REF!</v>
      </c>
      <c r="FE141" t="e">
        <f>AND(#REF!,"AAAAAD//q6A=")</f>
        <v>#REF!</v>
      </c>
      <c r="FF141" t="e">
        <f>AND(#REF!,"AAAAAD//q6E=")</f>
        <v>#REF!</v>
      </c>
      <c r="FG141" t="e">
        <f>AND(#REF!,"AAAAAD//q6I=")</f>
        <v>#REF!</v>
      </c>
      <c r="FH141" t="e">
        <f>AND(#REF!,"AAAAAD//q6M=")</f>
        <v>#REF!</v>
      </c>
      <c r="FI141" t="e">
        <f>AND(#REF!,"AAAAAD//q6Q=")</f>
        <v>#REF!</v>
      </c>
      <c r="FJ141" t="e">
        <f>AND(#REF!,"AAAAAD//q6U=")</f>
        <v>#REF!</v>
      </c>
      <c r="FK141" t="e">
        <f>AND(#REF!,"AAAAAD//q6Y=")</f>
        <v>#REF!</v>
      </c>
      <c r="FL141" t="e">
        <f>AND(#REF!,"AAAAAD//q6c=")</f>
        <v>#REF!</v>
      </c>
      <c r="FM141" t="e">
        <f>AND(#REF!,"AAAAAD//q6g=")</f>
        <v>#REF!</v>
      </c>
      <c r="FN141" t="e">
        <f>AND(#REF!,"AAAAAD//q6k=")</f>
        <v>#REF!</v>
      </c>
      <c r="FO141" t="e">
        <f>AND(#REF!,"AAAAAD//q6o=")</f>
        <v>#REF!</v>
      </c>
      <c r="FP141" t="e">
        <f>AND(#REF!,"AAAAAD//q6s=")</f>
        <v>#REF!</v>
      </c>
      <c r="FQ141" t="e">
        <f>AND(#REF!,"AAAAAD//q6w=")</f>
        <v>#REF!</v>
      </c>
      <c r="FR141" t="e">
        <f>AND(#REF!,"AAAAAD//q60=")</f>
        <v>#REF!</v>
      </c>
      <c r="FS141" t="e">
        <f>AND(#REF!,"AAAAAD//q64=")</f>
        <v>#REF!</v>
      </c>
      <c r="FT141" t="e">
        <f>AND(#REF!,"AAAAAD//q68=")</f>
        <v>#REF!</v>
      </c>
      <c r="FU141" t="e">
        <f>AND(#REF!,"AAAAAD//q7A=")</f>
        <v>#REF!</v>
      </c>
      <c r="FV141" t="e">
        <f>AND(#REF!,"AAAAAD//q7E=")</f>
        <v>#REF!</v>
      </c>
      <c r="FW141" t="e">
        <f>AND(#REF!,"AAAAAD//q7I=")</f>
        <v>#REF!</v>
      </c>
      <c r="FX141" t="e">
        <f>AND(#REF!,"AAAAAD//q7M=")</f>
        <v>#REF!</v>
      </c>
      <c r="FY141" t="e">
        <f>AND(#REF!,"AAAAAD//q7Q=")</f>
        <v>#REF!</v>
      </c>
      <c r="FZ141" t="e">
        <f>AND(#REF!,"AAAAAD//q7U=")</f>
        <v>#REF!</v>
      </c>
      <c r="GA141" t="e">
        <f>AND(#REF!,"AAAAAD//q7Y=")</f>
        <v>#REF!</v>
      </c>
      <c r="GB141" t="e">
        <f>IF(#REF!,"AAAAAD//q7c=",0)</f>
        <v>#REF!</v>
      </c>
      <c r="GC141" t="e">
        <f>AND(#REF!,"AAAAAD//q7g=")</f>
        <v>#REF!</v>
      </c>
      <c r="GD141" t="e">
        <f>AND(#REF!,"AAAAAD//q7k=")</f>
        <v>#REF!</v>
      </c>
      <c r="GE141" t="e">
        <f>AND(#REF!,"AAAAAD//q7o=")</f>
        <v>#REF!</v>
      </c>
      <c r="GF141" t="e">
        <f>AND(#REF!,"AAAAAD//q7s=")</f>
        <v>#REF!</v>
      </c>
      <c r="GG141" t="e">
        <f>AND(#REF!,"AAAAAD//q7w=")</f>
        <v>#REF!</v>
      </c>
      <c r="GH141" t="e">
        <f>AND(#REF!,"AAAAAD//q70=")</f>
        <v>#REF!</v>
      </c>
      <c r="GI141" t="e">
        <f>AND(#REF!,"AAAAAD//q74=")</f>
        <v>#REF!</v>
      </c>
      <c r="GJ141" t="e">
        <f>AND(#REF!,"AAAAAD//q78=")</f>
        <v>#REF!</v>
      </c>
      <c r="GK141" t="e">
        <f>AND(#REF!,"AAAAAD//q8A=")</f>
        <v>#REF!</v>
      </c>
      <c r="GL141" t="e">
        <f>AND(#REF!,"AAAAAD//q8E=")</f>
        <v>#REF!</v>
      </c>
      <c r="GM141" t="e">
        <f>AND(#REF!,"AAAAAD//q8I=")</f>
        <v>#REF!</v>
      </c>
      <c r="GN141" t="e">
        <f>AND(#REF!,"AAAAAD//q8M=")</f>
        <v>#REF!</v>
      </c>
      <c r="GO141" t="e">
        <f>AND(#REF!,"AAAAAD//q8Q=")</f>
        <v>#REF!</v>
      </c>
      <c r="GP141" t="e">
        <f>AND(#REF!,"AAAAAD//q8U=")</f>
        <v>#REF!</v>
      </c>
      <c r="GQ141" t="e">
        <f>AND(#REF!,"AAAAAD//q8Y=")</f>
        <v>#REF!</v>
      </c>
      <c r="GR141" t="e">
        <f>AND(#REF!,"AAAAAD//q8c=")</f>
        <v>#REF!</v>
      </c>
      <c r="GS141" t="e">
        <f>AND(#REF!,"AAAAAD//q8g=")</f>
        <v>#REF!</v>
      </c>
      <c r="GT141" t="e">
        <f>AND(#REF!,"AAAAAD//q8k=")</f>
        <v>#REF!</v>
      </c>
      <c r="GU141" t="e">
        <f>AND(#REF!,"AAAAAD//q8o=")</f>
        <v>#REF!</v>
      </c>
      <c r="GV141" t="e">
        <f>AND(#REF!,"AAAAAD//q8s=")</f>
        <v>#REF!</v>
      </c>
      <c r="GW141" t="e">
        <f>AND(#REF!,"AAAAAD//q8w=")</f>
        <v>#REF!</v>
      </c>
      <c r="GX141" t="e">
        <f>AND(#REF!,"AAAAAD//q80=")</f>
        <v>#REF!</v>
      </c>
      <c r="GY141" t="e">
        <f>AND(#REF!,"AAAAAD//q84=")</f>
        <v>#REF!</v>
      </c>
      <c r="GZ141" t="e">
        <f>AND(#REF!,"AAAAAD//q88=")</f>
        <v>#REF!</v>
      </c>
      <c r="HA141" t="e">
        <f>AND(#REF!,"AAAAAD//q9A=")</f>
        <v>#REF!</v>
      </c>
      <c r="HB141" t="e">
        <f>AND(#REF!,"AAAAAD//q9E=")</f>
        <v>#REF!</v>
      </c>
      <c r="HC141" t="e">
        <f>AND(#REF!,"AAAAAD//q9I=")</f>
        <v>#REF!</v>
      </c>
      <c r="HD141" t="e">
        <f>AND(#REF!,"AAAAAD//q9M=")</f>
        <v>#REF!</v>
      </c>
      <c r="HE141" t="e">
        <f>AND(#REF!,"AAAAAD//q9Q=")</f>
        <v>#REF!</v>
      </c>
      <c r="HF141" t="e">
        <f>AND(#REF!,"AAAAAD//q9U=")</f>
        <v>#REF!</v>
      </c>
      <c r="HG141" t="e">
        <f>IF(#REF!,"AAAAAD//q9Y=",0)</f>
        <v>#REF!</v>
      </c>
      <c r="HH141" t="e">
        <f>AND(#REF!,"AAAAAD//q9c=")</f>
        <v>#REF!</v>
      </c>
      <c r="HI141" t="e">
        <f>AND(#REF!,"AAAAAD//q9g=")</f>
        <v>#REF!</v>
      </c>
      <c r="HJ141" t="e">
        <f>AND(#REF!,"AAAAAD//q9k=")</f>
        <v>#REF!</v>
      </c>
      <c r="HK141" t="e">
        <f>AND(#REF!,"AAAAAD//q9o=")</f>
        <v>#REF!</v>
      </c>
      <c r="HL141" t="e">
        <f>AND(#REF!,"AAAAAD//q9s=")</f>
        <v>#REF!</v>
      </c>
      <c r="HM141" t="e">
        <f>AND(#REF!,"AAAAAD//q9w=")</f>
        <v>#REF!</v>
      </c>
      <c r="HN141" t="e">
        <f>AND(#REF!,"AAAAAD//q90=")</f>
        <v>#REF!</v>
      </c>
      <c r="HO141" t="e">
        <f>AND(#REF!,"AAAAAD//q94=")</f>
        <v>#REF!</v>
      </c>
      <c r="HP141" t="e">
        <f>AND(#REF!,"AAAAAD//q98=")</f>
        <v>#REF!</v>
      </c>
      <c r="HQ141" t="e">
        <f>AND(#REF!,"AAAAAD//q+A=")</f>
        <v>#REF!</v>
      </c>
      <c r="HR141" t="e">
        <f>AND(#REF!,"AAAAAD//q+E=")</f>
        <v>#REF!</v>
      </c>
      <c r="HS141" t="e">
        <f>AND(#REF!,"AAAAAD//q+I=")</f>
        <v>#REF!</v>
      </c>
      <c r="HT141" t="e">
        <f>AND(#REF!,"AAAAAD//q+M=")</f>
        <v>#REF!</v>
      </c>
      <c r="HU141" t="e">
        <f>AND(#REF!,"AAAAAD//q+Q=")</f>
        <v>#REF!</v>
      </c>
      <c r="HV141" t="e">
        <f>AND(#REF!,"AAAAAD//q+U=")</f>
        <v>#REF!</v>
      </c>
      <c r="HW141" t="e">
        <f>AND(#REF!,"AAAAAD//q+Y=")</f>
        <v>#REF!</v>
      </c>
      <c r="HX141" t="e">
        <f>AND(#REF!,"AAAAAD//q+c=")</f>
        <v>#REF!</v>
      </c>
      <c r="HY141" t="e">
        <f>AND(#REF!,"AAAAAD//q+g=")</f>
        <v>#REF!</v>
      </c>
      <c r="HZ141" t="e">
        <f>AND(#REF!,"AAAAAD//q+k=")</f>
        <v>#REF!</v>
      </c>
      <c r="IA141" t="e">
        <f>AND(#REF!,"AAAAAD//q+o=")</f>
        <v>#REF!</v>
      </c>
      <c r="IB141" t="e">
        <f>AND(#REF!,"AAAAAD//q+s=")</f>
        <v>#REF!</v>
      </c>
      <c r="IC141" t="e">
        <f>AND(#REF!,"AAAAAD//q+w=")</f>
        <v>#REF!</v>
      </c>
      <c r="ID141" t="e">
        <f>AND(#REF!,"AAAAAD//q+0=")</f>
        <v>#REF!</v>
      </c>
      <c r="IE141" t="e">
        <f>AND(#REF!,"AAAAAD//q+4=")</f>
        <v>#REF!</v>
      </c>
      <c r="IF141" t="e">
        <f>AND(#REF!,"AAAAAD//q+8=")</f>
        <v>#REF!</v>
      </c>
      <c r="IG141" t="e">
        <f>AND(#REF!,"AAAAAD//q/A=")</f>
        <v>#REF!</v>
      </c>
      <c r="IH141" t="e">
        <f>AND(#REF!,"AAAAAD//q/E=")</f>
        <v>#REF!</v>
      </c>
      <c r="II141" t="e">
        <f>AND(#REF!,"AAAAAD//q/I=")</f>
        <v>#REF!</v>
      </c>
      <c r="IJ141" t="e">
        <f>AND(#REF!,"AAAAAD//q/M=")</f>
        <v>#REF!</v>
      </c>
      <c r="IK141" t="e">
        <f>AND(#REF!,"AAAAAD//q/Q=")</f>
        <v>#REF!</v>
      </c>
      <c r="IL141" t="e">
        <f>IF(#REF!,"AAAAAD//q/U=",0)</f>
        <v>#REF!</v>
      </c>
      <c r="IM141" t="e">
        <f>AND(#REF!,"AAAAAD//q/Y=")</f>
        <v>#REF!</v>
      </c>
      <c r="IN141" t="e">
        <f>AND(#REF!,"AAAAAD//q/c=")</f>
        <v>#REF!</v>
      </c>
      <c r="IO141" t="e">
        <f>AND(#REF!,"AAAAAD//q/g=")</f>
        <v>#REF!</v>
      </c>
      <c r="IP141" t="e">
        <f>AND(#REF!,"AAAAAD//q/k=")</f>
        <v>#REF!</v>
      </c>
      <c r="IQ141" t="e">
        <f>AND(#REF!,"AAAAAD//q/o=")</f>
        <v>#REF!</v>
      </c>
      <c r="IR141" t="e">
        <f>AND(#REF!,"AAAAAD//q/s=")</f>
        <v>#REF!</v>
      </c>
      <c r="IS141" t="e">
        <f>AND(#REF!,"AAAAAD//q/w=")</f>
        <v>#REF!</v>
      </c>
      <c r="IT141" t="e">
        <f>AND(#REF!,"AAAAAD//q/0=")</f>
        <v>#REF!</v>
      </c>
      <c r="IU141" t="e">
        <f>AND(#REF!,"AAAAAD//q/4=")</f>
        <v>#REF!</v>
      </c>
      <c r="IV141" t="e">
        <f>AND(#REF!,"AAAAAD//q/8=")</f>
        <v>#REF!</v>
      </c>
    </row>
    <row r="142" spans="1:256" x14ac:dyDescent="0.2">
      <c r="A142" t="e">
        <f>AND(#REF!,"AAAAAB9/9wA=")</f>
        <v>#REF!</v>
      </c>
      <c r="B142" t="e">
        <f>AND(#REF!,"AAAAAB9/9wE=")</f>
        <v>#REF!</v>
      </c>
      <c r="C142" t="e">
        <f>AND(#REF!,"AAAAAB9/9wI=")</f>
        <v>#REF!</v>
      </c>
      <c r="D142" t="e">
        <f>AND(#REF!,"AAAAAB9/9wM=")</f>
        <v>#REF!</v>
      </c>
      <c r="E142" t="e">
        <f>AND(#REF!,"AAAAAB9/9wQ=")</f>
        <v>#REF!</v>
      </c>
      <c r="F142" t="e">
        <f>AND(#REF!,"AAAAAB9/9wU=")</f>
        <v>#REF!</v>
      </c>
      <c r="G142" t="e">
        <f>AND(#REF!,"AAAAAB9/9wY=")</f>
        <v>#REF!</v>
      </c>
      <c r="H142" t="e">
        <f>AND(#REF!,"AAAAAB9/9wc=")</f>
        <v>#REF!</v>
      </c>
      <c r="I142" t="e">
        <f>AND(#REF!,"AAAAAB9/9wg=")</f>
        <v>#REF!</v>
      </c>
      <c r="J142" t="e">
        <f>AND(#REF!,"AAAAAB9/9wk=")</f>
        <v>#REF!</v>
      </c>
      <c r="K142" t="e">
        <f>AND(#REF!,"AAAAAB9/9wo=")</f>
        <v>#REF!</v>
      </c>
      <c r="L142" t="e">
        <f>AND(#REF!,"AAAAAB9/9ws=")</f>
        <v>#REF!</v>
      </c>
      <c r="M142" t="e">
        <f>AND(#REF!,"AAAAAB9/9ww=")</f>
        <v>#REF!</v>
      </c>
      <c r="N142" t="e">
        <f>AND(#REF!,"AAAAAB9/9w0=")</f>
        <v>#REF!</v>
      </c>
      <c r="O142" t="e">
        <f>AND(#REF!,"AAAAAB9/9w4=")</f>
        <v>#REF!</v>
      </c>
      <c r="P142" t="e">
        <f>AND(#REF!,"AAAAAB9/9w8=")</f>
        <v>#REF!</v>
      </c>
      <c r="Q142" t="e">
        <f>AND(#REF!,"AAAAAB9/9xA=")</f>
        <v>#REF!</v>
      </c>
      <c r="R142" t="e">
        <f>AND(#REF!,"AAAAAB9/9xE=")</f>
        <v>#REF!</v>
      </c>
      <c r="S142" t="e">
        <f>AND(#REF!,"AAAAAB9/9xI=")</f>
        <v>#REF!</v>
      </c>
      <c r="T142" t="e">
        <f>AND(#REF!,"AAAAAB9/9xM=")</f>
        <v>#REF!</v>
      </c>
      <c r="U142" t="e">
        <f>IF(#REF!,"AAAAAB9/9xQ=",0)</f>
        <v>#REF!</v>
      </c>
      <c r="V142" t="e">
        <f>AND(#REF!,"AAAAAB9/9xU=")</f>
        <v>#REF!</v>
      </c>
      <c r="W142" t="e">
        <f>AND(#REF!,"AAAAAB9/9xY=")</f>
        <v>#REF!</v>
      </c>
      <c r="X142" t="e">
        <f>AND(#REF!,"AAAAAB9/9xc=")</f>
        <v>#REF!</v>
      </c>
      <c r="Y142" t="e">
        <f>AND(#REF!,"AAAAAB9/9xg=")</f>
        <v>#REF!</v>
      </c>
      <c r="Z142" t="e">
        <f>AND(#REF!,"AAAAAB9/9xk=")</f>
        <v>#REF!</v>
      </c>
      <c r="AA142" t="e">
        <f>AND(#REF!,"AAAAAB9/9xo=")</f>
        <v>#REF!</v>
      </c>
      <c r="AB142" t="e">
        <f>AND(#REF!,"AAAAAB9/9xs=")</f>
        <v>#REF!</v>
      </c>
      <c r="AC142" t="e">
        <f>AND(#REF!,"AAAAAB9/9xw=")</f>
        <v>#REF!</v>
      </c>
      <c r="AD142" t="e">
        <f>AND(#REF!,"AAAAAB9/9x0=")</f>
        <v>#REF!</v>
      </c>
      <c r="AE142" t="e">
        <f>AND(#REF!,"AAAAAB9/9x4=")</f>
        <v>#REF!</v>
      </c>
      <c r="AF142" t="e">
        <f>AND(#REF!,"AAAAAB9/9x8=")</f>
        <v>#REF!</v>
      </c>
      <c r="AG142" t="e">
        <f>AND(#REF!,"AAAAAB9/9yA=")</f>
        <v>#REF!</v>
      </c>
      <c r="AH142" t="e">
        <f>AND(#REF!,"AAAAAB9/9yE=")</f>
        <v>#REF!</v>
      </c>
      <c r="AI142" t="e">
        <f>AND(#REF!,"AAAAAB9/9yI=")</f>
        <v>#REF!</v>
      </c>
      <c r="AJ142" t="e">
        <f>AND(#REF!,"AAAAAB9/9yM=")</f>
        <v>#REF!</v>
      </c>
      <c r="AK142" t="e">
        <f>AND(#REF!,"AAAAAB9/9yQ=")</f>
        <v>#REF!</v>
      </c>
      <c r="AL142" t="e">
        <f>AND(#REF!,"AAAAAB9/9yU=")</f>
        <v>#REF!</v>
      </c>
      <c r="AM142" t="e">
        <f>AND(#REF!,"AAAAAB9/9yY=")</f>
        <v>#REF!</v>
      </c>
      <c r="AN142" t="e">
        <f>AND(#REF!,"AAAAAB9/9yc=")</f>
        <v>#REF!</v>
      </c>
      <c r="AO142" t="e">
        <f>AND(#REF!,"AAAAAB9/9yg=")</f>
        <v>#REF!</v>
      </c>
      <c r="AP142" t="e">
        <f>AND(#REF!,"AAAAAB9/9yk=")</f>
        <v>#REF!</v>
      </c>
      <c r="AQ142" t="e">
        <f>AND(#REF!,"AAAAAB9/9yo=")</f>
        <v>#REF!</v>
      </c>
      <c r="AR142" t="e">
        <f>AND(#REF!,"AAAAAB9/9ys=")</f>
        <v>#REF!</v>
      </c>
      <c r="AS142" t="e">
        <f>AND(#REF!,"AAAAAB9/9yw=")</f>
        <v>#REF!</v>
      </c>
      <c r="AT142" t="e">
        <f>AND(#REF!,"AAAAAB9/9y0=")</f>
        <v>#REF!</v>
      </c>
      <c r="AU142" t="e">
        <f>AND(#REF!,"AAAAAB9/9y4=")</f>
        <v>#REF!</v>
      </c>
      <c r="AV142" t="e">
        <f>AND(#REF!,"AAAAAB9/9y8=")</f>
        <v>#REF!</v>
      </c>
      <c r="AW142" t="e">
        <f>AND(#REF!,"AAAAAB9/9zA=")</f>
        <v>#REF!</v>
      </c>
      <c r="AX142" t="e">
        <f>AND(#REF!,"AAAAAB9/9zE=")</f>
        <v>#REF!</v>
      </c>
      <c r="AY142" t="e">
        <f>AND(#REF!,"AAAAAB9/9zI=")</f>
        <v>#REF!</v>
      </c>
      <c r="AZ142" t="e">
        <f>IF(#REF!,"AAAAAB9/9zM=",0)</f>
        <v>#REF!</v>
      </c>
      <c r="BA142" t="e">
        <f>AND(#REF!,"AAAAAB9/9zQ=")</f>
        <v>#REF!</v>
      </c>
      <c r="BB142" t="e">
        <f>AND(#REF!,"AAAAAB9/9zU=")</f>
        <v>#REF!</v>
      </c>
      <c r="BC142" t="e">
        <f>AND(#REF!,"AAAAAB9/9zY=")</f>
        <v>#REF!</v>
      </c>
      <c r="BD142" t="e">
        <f>AND(#REF!,"AAAAAB9/9zc=")</f>
        <v>#REF!</v>
      </c>
      <c r="BE142" t="e">
        <f>AND(#REF!,"AAAAAB9/9zg=")</f>
        <v>#REF!</v>
      </c>
      <c r="BF142" t="e">
        <f>AND(#REF!,"AAAAAB9/9zk=")</f>
        <v>#REF!</v>
      </c>
      <c r="BG142" t="e">
        <f>AND(#REF!,"AAAAAB9/9zo=")</f>
        <v>#REF!</v>
      </c>
      <c r="BH142" t="e">
        <f>AND(#REF!,"AAAAAB9/9zs=")</f>
        <v>#REF!</v>
      </c>
      <c r="BI142" t="e">
        <f>AND(#REF!,"AAAAAB9/9zw=")</f>
        <v>#REF!</v>
      </c>
      <c r="BJ142" t="e">
        <f>AND(#REF!,"AAAAAB9/9z0=")</f>
        <v>#REF!</v>
      </c>
      <c r="BK142" t="e">
        <f>AND(#REF!,"AAAAAB9/9z4=")</f>
        <v>#REF!</v>
      </c>
      <c r="BL142" t="e">
        <f>AND(#REF!,"AAAAAB9/9z8=")</f>
        <v>#REF!</v>
      </c>
      <c r="BM142" t="e">
        <f>AND(#REF!,"AAAAAB9/90A=")</f>
        <v>#REF!</v>
      </c>
      <c r="BN142" t="e">
        <f>AND(#REF!,"AAAAAB9/90E=")</f>
        <v>#REF!</v>
      </c>
      <c r="BO142" t="e">
        <f>AND(#REF!,"AAAAAB9/90I=")</f>
        <v>#REF!</v>
      </c>
      <c r="BP142" t="e">
        <f>AND(#REF!,"AAAAAB9/90M=")</f>
        <v>#REF!</v>
      </c>
      <c r="BQ142" t="e">
        <f>AND(#REF!,"AAAAAB9/90Q=")</f>
        <v>#REF!</v>
      </c>
      <c r="BR142" t="e">
        <f>AND(#REF!,"AAAAAB9/90U=")</f>
        <v>#REF!</v>
      </c>
      <c r="BS142" t="e">
        <f>AND(#REF!,"AAAAAB9/90Y=")</f>
        <v>#REF!</v>
      </c>
      <c r="BT142" t="e">
        <f>AND(#REF!,"AAAAAB9/90c=")</f>
        <v>#REF!</v>
      </c>
      <c r="BU142" t="e">
        <f>AND(#REF!,"AAAAAB9/90g=")</f>
        <v>#REF!</v>
      </c>
      <c r="BV142" t="e">
        <f>AND(#REF!,"AAAAAB9/90k=")</f>
        <v>#REF!</v>
      </c>
      <c r="BW142" t="e">
        <f>AND(#REF!,"AAAAAB9/90o=")</f>
        <v>#REF!</v>
      </c>
      <c r="BX142" t="e">
        <f>AND(#REF!,"AAAAAB9/90s=")</f>
        <v>#REF!</v>
      </c>
      <c r="BY142" t="e">
        <f>AND(#REF!,"AAAAAB9/90w=")</f>
        <v>#REF!</v>
      </c>
      <c r="BZ142" t="e">
        <f>AND(#REF!,"AAAAAB9/900=")</f>
        <v>#REF!</v>
      </c>
      <c r="CA142" t="e">
        <f>AND(#REF!,"AAAAAB9/904=")</f>
        <v>#REF!</v>
      </c>
      <c r="CB142" t="e">
        <f>AND(#REF!,"AAAAAB9/908=")</f>
        <v>#REF!</v>
      </c>
      <c r="CC142" t="e">
        <f>AND(#REF!,"AAAAAB9/91A=")</f>
        <v>#REF!</v>
      </c>
      <c r="CD142" t="e">
        <f>AND(#REF!,"AAAAAB9/91E=")</f>
        <v>#REF!</v>
      </c>
      <c r="CE142" t="e">
        <f>IF(#REF!,"AAAAAB9/91I=",0)</f>
        <v>#REF!</v>
      </c>
      <c r="CF142" t="e">
        <f>AND(#REF!,"AAAAAB9/91M=")</f>
        <v>#REF!</v>
      </c>
      <c r="CG142" t="e">
        <f>AND(#REF!,"AAAAAB9/91Q=")</f>
        <v>#REF!</v>
      </c>
      <c r="CH142" t="e">
        <f>AND(#REF!,"AAAAAB9/91U=")</f>
        <v>#REF!</v>
      </c>
      <c r="CI142" t="e">
        <f>AND(#REF!,"AAAAAB9/91Y=")</f>
        <v>#REF!</v>
      </c>
      <c r="CJ142" t="e">
        <f>AND(#REF!,"AAAAAB9/91c=")</f>
        <v>#REF!</v>
      </c>
      <c r="CK142" t="e">
        <f>AND(#REF!,"AAAAAB9/91g=")</f>
        <v>#REF!</v>
      </c>
      <c r="CL142" t="e">
        <f>AND(#REF!,"AAAAAB9/91k=")</f>
        <v>#REF!</v>
      </c>
      <c r="CM142" t="e">
        <f>AND(#REF!,"AAAAAB9/91o=")</f>
        <v>#REF!</v>
      </c>
      <c r="CN142" t="e">
        <f>AND(#REF!,"AAAAAB9/91s=")</f>
        <v>#REF!</v>
      </c>
      <c r="CO142" t="e">
        <f>AND(#REF!,"AAAAAB9/91w=")</f>
        <v>#REF!</v>
      </c>
      <c r="CP142" t="e">
        <f>AND(#REF!,"AAAAAB9/910=")</f>
        <v>#REF!</v>
      </c>
      <c r="CQ142" t="e">
        <f>AND(#REF!,"AAAAAB9/914=")</f>
        <v>#REF!</v>
      </c>
      <c r="CR142" t="e">
        <f>AND(#REF!,"AAAAAB9/918=")</f>
        <v>#REF!</v>
      </c>
      <c r="CS142" t="e">
        <f>AND(#REF!,"AAAAAB9/92A=")</f>
        <v>#REF!</v>
      </c>
      <c r="CT142" t="e">
        <f>AND(#REF!,"AAAAAB9/92E=")</f>
        <v>#REF!</v>
      </c>
      <c r="CU142" t="e">
        <f>AND(#REF!,"AAAAAB9/92I=")</f>
        <v>#REF!</v>
      </c>
      <c r="CV142" t="e">
        <f>AND(#REF!,"AAAAAB9/92M=")</f>
        <v>#REF!</v>
      </c>
      <c r="CW142" t="e">
        <f>AND(#REF!,"AAAAAB9/92Q=")</f>
        <v>#REF!</v>
      </c>
      <c r="CX142" t="e">
        <f>AND(#REF!,"AAAAAB9/92U=")</f>
        <v>#REF!</v>
      </c>
      <c r="CY142" t="e">
        <f>AND(#REF!,"AAAAAB9/92Y=")</f>
        <v>#REF!</v>
      </c>
      <c r="CZ142" t="e">
        <f>AND(#REF!,"AAAAAB9/92c=")</f>
        <v>#REF!</v>
      </c>
      <c r="DA142" t="e">
        <f>AND(#REF!,"AAAAAB9/92g=")</f>
        <v>#REF!</v>
      </c>
      <c r="DB142" t="e">
        <f>AND(#REF!,"AAAAAB9/92k=")</f>
        <v>#REF!</v>
      </c>
      <c r="DC142" t="e">
        <f>AND(#REF!,"AAAAAB9/92o=")</f>
        <v>#REF!</v>
      </c>
      <c r="DD142" t="e">
        <f>AND(#REF!,"AAAAAB9/92s=")</f>
        <v>#REF!</v>
      </c>
      <c r="DE142" t="e">
        <f>AND(#REF!,"AAAAAB9/92w=")</f>
        <v>#REF!</v>
      </c>
      <c r="DF142" t="e">
        <f>AND(#REF!,"AAAAAB9/920=")</f>
        <v>#REF!</v>
      </c>
      <c r="DG142" t="e">
        <f>AND(#REF!,"AAAAAB9/924=")</f>
        <v>#REF!</v>
      </c>
      <c r="DH142" t="e">
        <f>AND(#REF!,"AAAAAB9/928=")</f>
        <v>#REF!</v>
      </c>
      <c r="DI142" t="e">
        <f>AND(#REF!,"AAAAAB9/93A=")</f>
        <v>#REF!</v>
      </c>
      <c r="DJ142" t="e">
        <f>IF(#REF!,"AAAAAB9/93E=",0)</f>
        <v>#REF!</v>
      </c>
      <c r="DK142" t="e">
        <f>AND(#REF!,"AAAAAB9/93I=")</f>
        <v>#REF!</v>
      </c>
      <c r="DL142" t="e">
        <f>AND(#REF!,"AAAAAB9/93M=")</f>
        <v>#REF!</v>
      </c>
      <c r="DM142" t="e">
        <f>AND(#REF!,"AAAAAB9/93Q=")</f>
        <v>#REF!</v>
      </c>
      <c r="DN142" t="e">
        <f>AND(#REF!,"AAAAAB9/93U=")</f>
        <v>#REF!</v>
      </c>
      <c r="DO142" t="e">
        <f>AND(#REF!,"AAAAAB9/93Y=")</f>
        <v>#REF!</v>
      </c>
      <c r="DP142" t="e">
        <f>AND(#REF!,"AAAAAB9/93c=")</f>
        <v>#REF!</v>
      </c>
      <c r="DQ142" t="e">
        <f>AND(#REF!,"AAAAAB9/93g=")</f>
        <v>#REF!</v>
      </c>
      <c r="DR142" t="e">
        <f>AND(#REF!,"AAAAAB9/93k=")</f>
        <v>#REF!</v>
      </c>
      <c r="DS142" t="e">
        <f>AND(#REF!,"AAAAAB9/93o=")</f>
        <v>#REF!</v>
      </c>
      <c r="DT142" t="e">
        <f>AND(#REF!,"AAAAAB9/93s=")</f>
        <v>#REF!</v>
      </c>
      <c r="DU142" t="e">
        <f>AND(#REF!,"AAAAAB9/93w=")</f>
        <v>#REF!</v>
      </c>
      <c r="DV142" t="e">
        <f>AND(#REF!,"AAAAAB9/930=")</f>
        <v>#REF!</v>
      </c>
      <c r="DW142" t="e">
        <f>AND(#REF!,"AAAAAB9/934=")</f>
        <v>#REF!</v>
      </c>
      <c r="DX142" t="e">
        <f>AND(#REF!,"AAAAAB9/938=")</f>
        <v>#REF!</v>
      </c>
      <c r="DY142" t="e">
        <f>AND(#REF!,"AAAAAB9/94A=")</f>
        <v>#REF!</v>
      </c>
      <c r="DZ142" t="e">
        <f>AND(#REF!,"AAAAAB9/94E=")</f>
        <v>#REF!</v>
      </c>
      <c r="EA142" t="e">
        <f>AND(#REF!,"AAAAAB9/94I=")</f>
        <v>#REF!</v>
      </c>
      <c r="EB142" t="e">
        <f>AND(#REF!,"AAAAAB9/94M=")</f>
        <v>#REF!</v>
      </c>
      <c r="EC142" t="e">
        <f>AND(#REF!,"AAAAAB9/94Q=")</f>
        <v>#REF!</v>
      </c>
      <c r="ED142" t="e">
        <f>AND(#REF!,"AAAAAB9/94U=")</f>
        <v>#REF!</v>
      </c>
      <c r="EE142" t="e">
        <f>AND(#REF!,"AAAAAB9/94Y=")</f>
        <v>#REF!</v>
      </c>
      <c r="EF142" t="e">
        <f>AND(#REF!,"AAAAAB9/94c=")</f>
        <v>#REF!</v>
      </c>
      <c r="EG142" t="e">
        <f>AND(#REF!,"AAAAAB9/94g=")</f>
        <v>#REF!</v>
      </c>
      <c r="EH142" t="e">
        <f>AND(#REF!,"AAAAAB9/94k=")</f>
        <v>#REF!</v>
      </c>
      <c r="EI142" t="e">
        <f>AND(#REF!,"AAAAAB9/94o=")</f>
        <v>#REF!</v>
      </c>
      <c r="EJ142" t="e">
        <f>AND(#REF!,"AAAAAB9/94s=")</f>
        <v>#REF!</v>
      </c>
      <c r="EK142" t="e">
        <f>AND(#REF!,"AAAAAB9/94w=")</f>
        <v>#REF!</v>
      </c>
      <c r="EL142" t="e">
        <f>AND(#REF!,"AAAAAB9/940=")</f>
        <v>#REF!</v>
      </c>
      <c r="EM142" t="e">
        <f>AND(#REF!,"AAAAAB9/944=")</f>
        <v>#REF!</v>
      </c>
      <c r="EN142" t="e">
        <f>AND(#REF!,"AAAAAB9/948=")</f>
        <v>#REF!</v>
      </c>
      <c r="EO142" t="e">
        <f>IF(#REF!,"AAAAAB9/95A=",0)</f>
        <v>#REF!</v>
      </c>
      <c r="EP142" t="e">
        <f>AND(#REF!,"AAAAAB9/95E=")</f>
        <v>#REF!</v>
      </c>
      <c r="EQ142" t="e">
        <f>AND(#REF!,"AAAAAB9/95I=")</f>
        <v>#REF!</v>
      </c>
      <c r="ER142" t="e">
        <f>AND(#REF!,"AAAAAB9/95M=")</f>
        <v>#REF!</v>
      </c>
      <c r="ES142" t="e">
        <f>AND(#REF!,"AAAAAB9/95Q=")</f>
        <v>#REF!</v>
      </c>
      <c r="ET142" t="e">
        <f>AND(#REF!,"AAAAAB9/95U=")</f>
        <v>#REF!</v>
      </c>
      <c r="EU142" t="e">
        <f>AND(#REF!,"AAAAAB9/95Y=")</f>
        <v>#REF!</v>
      </c>
      <c r="EV142" t="e">
        <f>AND(#REF!,"AAAAAB9/95c=")</f>
        <v>#REF!</v>
      </c>
      <c r="EW142" t="e">
        <f>AND(#REF!,"AAAAAB9/95g=")</f>
        <v>#REF!</v>
      </c>
      <c r="EX142" t="e">
        <f>AND(#REF!,"AAAAAB9/95k=")</f>
        <v>#REF!</v>
      </c>
      <c r="EY142" t="e">
        <f>AND(#REF!,"AAAAAB9/95o=")</f>
        <v>#REF!</v>
      </c>
      <c r="EZ142" t="e">
        <f>AND(#REF!,"AAAAAB9/95s=")</f>
        <v>#REF!</v>
      </c>
      <c r="FA142" t="e">
        <f>AND(#REF!,"AAAAAB9/95w=")</f>
        <v>#REF!</v>
      </c>
      <c r="FB142" t="e">
        <f>AND(#REF!,"AAAAAB9/950=")</f>
        <v>#REF!</v>
      </c>
      <c r="FC142" t="e">
        <f>AND(#REF!,"AAAAAB9/954=")</f>
        <v>#REF!</v>
      </c>
      <c r="FD142" t="e">
        <f>AND(#REF!,"AAAAAB9/958=")</f>
        <v>#REF!</v>
      </c>
      <c r="FE142" t="e">
        <f>AND(#REF!,"AAAAAB9/96A=")</f>
        <v>#REF!</v>
      </c>
      <c r="FF142" t="e">
        <f>AND(#REF!,"AAAAAB9/96E=")</f>
        <v>#REF!</v>
      </c>
      <c r="FG142" t="e">
        <f>AND(#REF!,"AAAAAB9/96I=")</f>
        <v>#REF!</v>
      </c>
      <c r="FH142" t="e">
        <f>AND(#REF!,"AAAAAB9/96M=")</f>
        <v>#REF!</v>
      </c>
      <c r="FI142" t="e">
        <f>AND(#REF!,"AAAAAB9/96Q=")</f>
        <v>#REF!</v>
      </c>
      <c r="FJ142" t="e">
        <f>AND(#REF!,"AAAAAB9/96U=")</f>
        <v>#REF!</v>
      </c>
      <c r="FK142" t="e">
        <f>AND(#REF!,"AAAAAB9/96Y=")</f>
        <v>#REF!</v>
      </c>
      <c r="FL142" t="e">
        <f>AND(#REF!,"AAAAAB9/96c=")</f>
        <v>#REF!</v>
      </c>
      <c r="FM142" t="e">
        <f>AND(#REF!,"AAAAAB9/96g=")</f>
        <v>#REF!</v>
      </c>
      <c r="FN142" t="e">
        <f>AND(#REF!,"AAAAAB9/96k=")</f>
        <v>#REF!</v>
      </c>
      <c r="FO142" t="e">
        <f>AND(#REF!,"AAAAAB9/96o=")</f>
        <v>#REF!</v>
      </c>
      <c r="FP142" t="e">
        <f>AND(#REF!,"AAAAAB9/96s=")</f>
        <v>#REF!</v>
      </c>
      <c r="FQ142" t="e">
        <f>AND(#REF!,"AAAAAB9/96w=")</f>
        <v>#REF!</v>
      </c>
      <c r="FR142" t="e">
        <f>AND(#REF!,"AAAAAB9/960=")</f>
        <v>#REF!</v>
      </c>
      <c r="FS142" t="e">
        <f>AND(#REF!,"AAAAAB9/964=")</f>
        <v>#REF!</v>
      </c>
      <c r="FT142" t="e">
        <f>IF(#REF!,"AAAAAB9/968=",0)</f>
        <v>#REF!</v>
      </c>
      <c r="FU142" t="e">
        <f>AND(#REF!,"AAAAAB9/97A=")</f>
        <v>#REF!</v>
      </c>
      <c r="FV142" t="e">
        <f>AND(#REF!,"AAAAAB9/97E=")</f>
        <v>#REF!</v>
      </c>
      <c r="FW142" t="e">
        <f>AND(#REF!,"AAAAAB9/97I=")</f>
        <v>#REF!</v>
      </c>
      <c r="FX142" t="e">
        <f>AND(#REF!,"AAAAAB9/97M=")</f>
        <v>#REF!</v>
      </c>
      <c r="FY142" t="e">
        <f>AND(#REF!,"AAAAAB9/97Q=")</f>
        <v>#REF!</v>
      </c>
      <c r="FZ142" t="e">
        <f>AND(#REF!,"AAAAAB9/97U=")</f>
        <v>#REF!</v>
      </c>
      <c r="GA142" t="e">
        <f>AND(#REF!,"AAAAAB9/97Y=")</f>
        <v>#REF!</v>
      </c>
      <c r="GB142" t="e">
        <f>AND(#REF!,"AAAAAB9/97c=")</f>
        <v>#REF!</v>
      </c>
      <c r="GC142" t="e">
        <f>AND(#REF!,"AAAAAB9/97g=")</f>
        <v>#REF!</v>
      </c>
      <c r="GD142" t="e">
        <f>AND(#REF!,"AAAAAB9/97k=")</f>
        <v>#REF!</v>
      </c>
      <c r="GE142" t="e">
        <f>AND(#REF!,"AAAAAB9/97o=")</f>
        <v>#REF!</v>
      </c>
      <c r="GF142" t="e">
        <f>AND(#REF!,"AAAAAB9/97s=")</f>
        <v>#REF!</v>
      </c>
      <c r="GG142" t="e">
        <f>AND(#REF!,"AAAAAB9/97w=")</f>
        <v>#REF!</v>
      </c>
      <c r="GH142" t="e">
        <f>AND(#REF!,"AAAAAB9/970=")</f>
        <v>#REF!</v>
      </c>
      <c r="GI142" t="e">
        <f>AND(#REF!,"AAAAAB9/974=")</f>
        <v>#REF!</v>
      </c>
      <c r="GJ142" t="e">
        <f>AND(#REF!,"AAAAAB9/978=")</f>
        <v>#REF!</v>
      </c>
      <c r="GK142" t="e">
        <f>AND(#REF!,"AAAAAB9/98A=")</f>
        <v>#REF!</v>
      </c>
      <c r="GL142" t="e">
        <f>AND(#REF!,"AAAAAB9/98E=")</f>
        <v>#REF!</v>
      </c>
      <c r="GM142" t="e">
        <f>AND(#REF!,"AAAAAB9/98I=")</f>
        <v>#REF!</v>
      </c>
      <c r="GN142" t="e">
        <f>AND(#REF!,"AAAAAB9/98M=")</f>
        <v>#REF!</v>
      </c>
      <c r="GO142" t="e">
        <f>AND(#REF!,"AAAAAB9/98Q=")</f>
        <v>#REF!</v>
      </c>
      <c r="GP142" t="e">
        <f>AND(#REF!,"AAAAAB9/98U=")</f>
        <v>#REF!</v>
      </c>
      <c r="GQ142" t="e">
        <f>AND(#REF!,"AAAAAB9/98Y=")</f>
        <v>#REF!</v>
      </c>
      <c r="GR142" t="e">
        <f>AND(#REF!,"AAAAAB9/98c=")</f>
        <v>#REF!</v>
      </c>
      <c r="GS142" t="e">
        <f>AND(#REF!,"AAAAAB9/98g=")</f>
        <v>#REF!</v>
      </c>
      <c r="GT142" t="e">
        <f>AND(#REF!,"AAAAAB9/98k=")</f>
        <v>#REF!</v>
      </c>
      <c r="GU142" t="e">
        <f>AND(#REF!,"AAAAAB9/98o=")</f>
        <v>#REF!</v>
      </c>
      <c r="GV142" t="e">
        <f>AND(#REF!,"AAAAAB9/98s=")</f>
        <v>#REF!</v>
      </c>
      <c r="GW142" t="e">
        <f>AND(#REF!,"AAAAAB9/98w=")</f>
        <v>#REF!</v>
      </c>
      <c r="GX142" t="e">
        <f>AND(#REF!,"AAAAAB9/980=")</f>
        <v>#REF!</v>
      </c>
      <c r="GY142" t="e">
        <f>IF(#REF!,"AAAAAB9/984=",0)</f>
        <v>#REF!</v>
      </c>
      <c r="GZ142" t="e">
        <f>AND(#REF!,"AAAAAB9/988=")</f>
        <v>#REF!</v>
      </c>
      <c r="HA142" t="e">
        <f>AND(#REF!,"AAAAAB9/99A=")</f>
        <v>#REF!</v>
      </c>
      <c r="HB142" t="e">
        <f>AND(#REF!,"AAAAAB9/99E=")</f>
        <v>#REF!</v>
      </c>
      <c r="HC142" t="e">
        <f>AND(#REF!,"AAAAAB9/99I=")</f>
        <v>#REF!</v>
      </c>
      <c r="HD142" t="e">
        <f>AND(#REF!,"AAAAAB9/99M=")</f>
        <v>#REF!</v>
      </c>
      <c r="HE142" t="e">
        <f>AND(#REF!,"AAAAAB9/99Q=")</f>
        <v>#REF!</v>
      </c>
      <c r="HF142" t="e">
        <f>AND(#REF!,"AAAAAB9/99U=")</f>
        <v>#REF!</v>
      </c>
      <c r="HG142" t="e">
        <f>AND(#REF!,"AAAAAB9/99Y=")</f>
        <v>#REF!</v>
      </c>
      <c r="HH142" t="e">
        <f>AND(#REF!,"AAAAAB9/99c=")</f>
        <v>#REF!</v>
      </c>
      <c r="HI142" t="e">
        <f>AND(#REF!,"AAAAAB9/99g=")</f>
        <v>#REF!</v>
      </c>
      <c r="HJ142" t="e">
        <f>AND(#REF!,"AAAAAB9/99k=")</f>
        <v>#REF!</v>
      </c>
      <c r="HK142" t="e">
        <f>AND(#REF!,"AAAAAB9/99o=")</f>
        <v>#REF!</v>
      </c>
      <c r="HL142" t="e">
        <f>AND(#REF!,"AAAAAB9/99s=")</f>
        <v>#REF!</v>
      </c>
      <c r="HM142" t="e">
        <f>AND(#REF!,"AAAAAB9/99w=")</f>
        <v>#REF!</v>
      </c>
      <c r="HN142" t="e">
        <f>AND(#REF!,"AAAAAB9/990=")</f>
        <v>#REF!</v>
      </c>
      <c r="HO142" t="e">
        <f>AND(#REF!,"AAAAAB9/994=")</f>
        <v>#REF!</v>
      </c>
      <c r="HP142" t="e">
        <f>AND(#REF!,"AAAAAB9/998=")</f>
        <v>#REF!</v>
      </c>
      <c r="HQ142" t="e">
        <f>AND(#REF!,"AAAAAB9/9+A=")</f>
        <v>#REF!</v>
      </c>
      <c r="HR142" t="e">
        <f>AND(#REF!,"AAAAAB9/9+E=")</f>
        <v>#REF!</v>
      </c>
      <c r="HS142" t="e">
        <f>AND(#REF!,"AAAAAB9/9+I=")</f>
        <v>#REF!</v>
      </c>
      <c r="HT142" t="e">
        <f>AND(#REF!,"AAAAAB9/9+M=")</f>
        <v>#REF!</v>
      </c>
      <c r="HU142" t="e">
        <f>AND(#REF!,"AAAAAB9/9+Q=")</f>
        <v>#REF!</v>
      </c>
      <c r="HV142" t="e">
        <f>AND(#REF!,"AAAAAB9/9+U=")</f>
        <v>#REF!</v>
      </c>
      <c r="HW142" t="e">
        <f>AND(#REF!,"AAAAAB9/9+Y=")</f>
        <v>#REF!</v>
      </c>
      <c r="HX142" t="e">
        <f>AND(#REF!,"AAAAAB9/9+c=")</f>
        <v>#REF!</v>
      </c>
      <c r="HY142" t="e">
        <f>AND(#REF!,"AAAAAB9/9+g=")</f>
        <v>#REF!</v>
      </c>
      <c r="HZ142" t="e">
        <f>AND(#REF!,"AAAAAB9/9+k=")</f>
        <v>#REF!</v>
      </c>
      <c r="IA142" t="e">
        <f>AND(#REF!,"AAAAAB9/9+o=")</f>
        <v>#REF!</v>
      </c>
      <c r="IB142" t="e">
        <f>AND(#REF!,"AAAAAB9/9+s=")</f>
        <v>#REF!</v>
      </c>
      <c r="IC142" t="e">
        <f>AND(#REF!,"AAAAAB9/9+w=")</f>
        <v>#REF!</v>
      </c>
      <c r="ID142" t="e">
        <f>IF(#REF!,"AAAAAB9/9+0=",0)</f>
        <v>#REF!</v>
      </c>
      <c r="IE142" t="e">
        <f>AND(#REF!,"AAAAAB9/9+4=")</f>
        <v>#REF!</v>
      </c>
      <c r="IF142" t="e">
        <f>AND(#REF!,"AAAAAB9/9+8=")</f>
        <v>#REF!</v>
      </c>
      <c r="IG142" t="e">
        <f>AND(#REF!,"AAAAAB9/9/A=")</f>
        <v>#REF!</v>
      </c>
      <c r="IH142" t="e">
        <f>AND(#REF!,"AAAAAB9/9/E=")</f>
        <v>#REF!</v>
      </c>
      <c r="II142" t="e">
        <f>AND(#REF!,"AAAAAB9/9/I=")</f>
        <v>#REF!</v>
      </c>
      <c r="IJ142" t="e">
        <f>AND(#REF!,"AAAAAB9/9/M=")</f>
        <v>#REF!</v>
      </c>
      <c r="IK142" t="e">
        <f>AND(#REF!,"AAAAAB9/9/Q=")</f>
        <v>#REF!</v>
      </c>
      <c r="IL142" t="e">
        <f>AND(#REF!,"AAAAAB9/9/U=")</f>
        <v>#REF!</v>
      </c>
      <c r="IM142" t="e">
        <f>AND(#REF!,"AAAAAB9/9/Y=")</f>
        <v>#REF!</v>
      </c>
      <c r="IN142" t="e">
        <f>AND(#REF!,"AAAAAB9/9/c=")</f>
        <v>#REF!</v>
      </c>
      <c r="IO142" t="e">
        <f>AND(#REF!,"AAAAAB9/9/g=")</f>
        <v>#REF!</v>
      </c>
      <c r="IP142" t="e">
        <f>AND(#REF!,"AAAAAB9/9/k=")</f>
        <v>#REF!</v>
      </c>
      <c r="IQ142" t="e">
        <f>AND(#REF!,"AAAAAB9/9/o=")</f>
        <v>#REF!</v>
      </c>
      <c r="IR142" t="e">
        <f>AND(#REF!,"AAAAAB9/9/s=")</f>
        <v>#REF!</v>
      </c>
      <c r="IS142" t="e">
        <f>AND(#REF!,"AAAAAB9/9/w=")</f>
        <v>#REF!</v>
      </c>
      <c r="IT142" t="e">
        <f>AND(#REF!,"AAAAAB9/9/0=")</f>
        <v>#REF!</v>
      </c>
      <c r="IU142" t="e">
        <f>AND(#REF!,"AAAAAB9/9/4=")</f>
        <v>#REF!</v>
      </c>
      <c r="IV142" t="e">
        <f>AND(#REF!,"AAAAAB9/9/8=")</f>
        <v>#REF!</v>
      </c>
    </row>
    <row r="143" spans="1:256" x14ac:dyDescent="0.2">
      <c r="A143" t="e">
        <f>AND(#REF!,"AAAAAG+yfwA=")</f>
        <v>#REF!</v>
      </c>
      <c r="B143" t="e">
        <f>AND(#REF!,"AAAAAG+yfwE=")</f>
        <v>#REF!</v>
      </c>
      <c r="C143" t="e">
        <f>AND(#REF!,"AAAAAG+yfwI=")</f>
        <v>#REF!</v>
      </c>
      <c r="D143" t="e">
        <f>AND(#REF!,"AAAAAG+yfwM=")</f>
        <v>#REF!</v>
      </c>
      <c r="E143" t="e">
        <f>AND(#REF!,"AAAAAG+yfwQ=")</f>
        <v>#REF!</v>
      </c>
      <c r="F143" t="e">
        <f>AND(#REF!,"AAAAAG+yfwU=")</f>
        <v>#REF!</v>
      </c>
      <c r="G143" t="e">
        <f>AND(#REF!,"AAAAAG+yfwY=")</f>
        <v>#REF!</v>
      </c>
      <c r="H143" t="e">
        <f>AND(#REF!,"AAAAAG+yfwc=")</f>
        <v>#REF!</v>
      </c>
      <c r="I143" t="e">
        <f>AND(#REF!,"AAAAAG+yfwg=")</f>
        <v>#REF!</v>
      </c>
      <c r="J143" t="e">
        <f>AND(#REF!,"AAAAAG+yfwk=")</f>
        <v>#REF!</v>
      </c>
      <c r="K143" t="e">
        <f>AND(#REF!,"AAAAAG+yfwo=")</f>
        <v>#REF!</v>
      </c>
      <c r="L143" t="e">
        <f>AND(#REF!,"AAAAAG+yfws=")</f>
        <v>#REF!</v>
      </c>
      <c r="M143" t="e">
        <f>IF(#REF!,"AAAAAG+yfww=",0)</f>
        <v>#REF!</v>
      </c>
      <c r="N143" t="e">
        <f>AND(#REF!,"AAAAAG+yfw0=")</f>
        <v>#REF!</v>
      </c>
      <c r="O143" t="e">
        <f>AND(#REF!,"AAAAAG+yfw4=")</f>
        <v>#REF!</v>
      </c>
      <c r="P143" t="e">
        <f>AND(#REF!,"AAAAAG+yfw8=")</f>
        <v>#REF!</v>
      </c>
      <c r="Q143" t="e">
        <f>AND(#REF!,"AAAAAG+yfxA=")</f>
        <v>#REF!</v>
      </c>
      <c r="R143" t="e">
        <f>AND(#REF!,"AAAAAG+yfxE=")</f>
        <v>#REF!</v>
      </c>
      <c r="S143" t="e">
        <f>AND(#REF!,"AAAAAG+yfxI=")</f>
        <v>#REF!</v>
      </c>
      <c r="T143" t="e">
        <f>AND(#REF!,"AAAAAG+yfxM=")</f>
        <v>#REF!</v>
      </c>
      <c r="U143" t="e">
        <f>AND(#REF!,"AAAAAG+yfxQ=")</f>
        <v>#REF!</v>
      </c>
      <c r="V143" t="e">
        <f>AND(#REF!,"AAAAAG+yfxU=")</f>
        <v>#REF!</v>
      </c>
      <c r="W143" t="e">
        <f>AND(#REF!,"AAAAAG+yfxY=")</f>
        <v>#REF!</v>
      </c>
      <c r="X143" t="e">
        <f>AND(#REF!,"AAAAAG+yfxc=")</f>
        <v>#REF!</v>
      </c>
      <c r="Y143" t="e">
        <f>AND(#REF!,"AAAAAG+yfxg=")</f>
        <v>#REF!</v>
      </c>
      <c r="Z143" t="e">
        <f>AND(#REF!,"AAAAAG+yfxk=")</f>
        <v>#REF!</v>
      </c>
      <c r="AA143" t="e">
        <f>AND(#REF!,"AAAAAG+yfxo=")</f>
        <v>#REF!</v>
      </c>
      <c r="AB143" t="e">
        <f>AND(#REF!,"AAAAAG+yfxs=")</f>
        <v>#REF!</v>
      </c>
      <c r="AC143" t="e">
        <f>AND(#REF!,"AAAAAG+yfxw=")</f>
        <v>#REF!</v>
      </c>
      <c r="AD143" t="e">
        <f>AND(#REF!,"AAAAAG+yfx0=")</f>
        <v>#REF!</v>
      </c>
      <c r="AE143" t="e">
        <f>AND(#REF!,"AAAAAG+yfx4=")</f>
        <v>#REF!</v>
      </c>
      <c r="AF143" t="e">
        <f>AND(#REF!,"AAAAAG+yfx8=")</f>
        <v>#REF!</v>
      </c>
      <c r="AG143" t="e">
        <f>AND(#REF!,"AAAAAG+yfyA=")</f>
        <v>#REF!</v>
      </c>
      <c r="AH143" t="e">
        <f>AND(#REF!,"AAAAAG+yfyE=")</f>
        <v>#REF!</v>
      </c>
      <c r="AI143" t="e">
        <f>AND(#REF!,"AAAAAG+yfyI=")</f>
        <v>#REF!</v>
      </c>
      <c r="AJ143" t="e">
        <f>AND(#REF!,"AAAAAG+yfyM=")</f>
        <v>#REF!</v>
      </c>
      <c r="AK143" t="e">
        <f>AND(#REF!,"AAAAAG+yfyQ=")</f>
        <v>#REF!</v>
      </c>
      <c r="AL143" t="e">
        <f>AND(#REF!,"AAAAAG+yfyU=")</f>
        <v>#REF!</v>
      </c>
      <c r="AM143" t="e">
        <f>AND(#REF!,"AAAAAG+yfyY=")</f>
        <v>#REF!</v>
      </c>
      <c r="AN143" t="e">
        <f>AND(#REF!,"AAAAAG+yfyc=")</f>
        <v>#REF!</v>
      </c>
      <c r="AO143" t="e">
        <f>AND(#REF!,"AAAAAG+yfyg=")</f>
        <v>#REF!</v>
      </c>
      <c r="AP143" t="e">
        <f>AND(#REF!,"AAAAAG+yfyk=")</f>
        <v>#REF!</v>
      </c>
      <c r="AQ143" t="e">
        <f>AND(#REF!,"AAAAAG+yfyo=")</f>
        <v>#REF!</v>
      </c>
      <c r="AR143" t="e">
        <f>IF(#REF!,"AAAAAG+yfys=",0)</f>
        <v>#REF!</v>
      </c>
      <c r="AS143" t="e">
        <f>AND(#REF!,"AAAAAG+yfyw=")</f>
        <v>#REF!</v>
      </c>
      <c r="AT143" t="e">
        <f>AND(#REF!,"AAAAAG+yfy0=")</f>
        <v>#REF!</v>
      </c>
      <c r="AU143" t="e">
        <f>AND(#REF!,"AAAAAG+yfy4=")</f>
        <v>#REF!</v>
      </c>
      <c r="AV143" t="e">
        <f>AND(#REF!,"AAAAAG+yfy8=")</f>
        <v>#REF!</v>
      </c>
      <c r="AW143" t="e">
        <f>AND(#REF!,"AAAAAG+yfzA=")</f>
        <v>#REF!</v>
      </c>
      <c r="AX143" t="e">
        <f>AND(#REF!,"AAAAAG+yfzE=")</f>
        <v>#REF!</v>
      </c>
      <c r="AY143" t="e">
        <f>AND(#REF!,"AAAAAG+yfzI=")</f>
        <v>#REF!</v>
      </c>
      <c r="AZ143" t="e">
        <f>AND(#REF!,"AAAAAG+yfzM=")</f>
        <v>#REF!</v>
      </c>
      <c r="BA143" t="e">
        <f>AND(#REF!,"AAAAAG+yfzQ=")</f>
        <v>#REF!</v>
      </c>
      <c r="BB143" t="e">
        <f>AND(#REF!,"AAAAAG+yfzU=")</f>
        <v>#REF!</v>
      </c>
      <c r="BC143" t="e">
        <f>AND(#REF!,"AAAAAG+yfzY=")</f>
        <v>#REF!</v>
      </c>
      <c r="BD143" t="e">
        <f>AND(#REF!,"AAAAAG+yfzc=")</f>
        <v>#REF!</v>
      </c>
      <c r="BE143" t="e">
        <f>AND(#REF!,"AAAAAG+yfzg=")</f>
        <v>#REF!</v>
      </c>
      <c r="BF143" t="e">
        <f>AND(#REF!,"AAAAAG+yfzk=")</f>
        <v>#REF!</v>
      </c>
      <c r="BG143" t="e">
        <f>AND(#REF!,"AAAAAG+yfzo=")</f>
        <v>#REF!</v>
      </c>
      <c r="BH143" t="e">
        <f>AND(#REF!,"AAAAAG+yfzs=")</f>
        <v>#REF!</v>
      </c>
      <c r="BI143" t="e">
        <f>AND(#REF!,"AAAAAG+yfzw=")</f>
        <v>#REF!</v>
      </c>
      <c r="BJ143" t="e">
        <f>AND(#REF!,"AAAAAG+yfz0=")</f>
        <v>#REF!</v>
      </c>
      <c r="BK143" t="e">
        <f>AND(#REF!,"AAAAAG+yfz4=")</f>
        <v>#REF!</v>
      </c>
      <c r="BL143" t="e">
        <f>AND(#REF!,"AAAAAG+yfz8=")</f>
        <v>#REF!</v>
      </c>
      <c r="BM143" t="e">
        <f>AND(#REF!,"AAAAAG+yf0A=")</f>
        <v>#REF!</v>
      </c>
      <c r="BN143" t="e">
        <f>AND(#REF!,"AAAAAG+yf0E=")</f>
        <v>#REF!</v>
      </c>
      <c r="BO143" t="e">
        <f>AND(#REF!,"AAAAAG+yf0I=")</f>
        <v>#REF!</v>
      </c>
      <c r="BP143" t="e">
        <f>AND(#REF!,"AAAAAG+yf0M=")</f>
        <v>#REF!</v>
      </c>
      <c r="BQ143" t="e">
        <f>AND(#REF!,"AAAAAG+yf0Q=")</f>
        <v>#REF!</v>
      </c>
      <c r="BR143" t="e">
        <f>AND(#REF!,"AAAAAG+yf0U=")</f>
        <v>#REF!</v>
      </c>
      <c r="BS143" t="e">
        <f>AND(#REF!,"AAAAAG+yf0Y=")</f>
        <v>#REF!</v>
      </c>
      <c r="BT143" t="e">
        <f>AND(#REF!,"AAAAAG+yf0c=")</f>
        <v>#REF!</v>
      </c>
      <c r="BU143" t="e">
        <f>AND(#REF!,"AAAAAG+yf0g=")</f>
        <v>#REF!</v>
      </c>
      <c r="BV143" t="e">
        <f>AND(#REF!,"AAAAAG+yf0k=")</f>
        <v>#REF!</v>
      </c>
      <c r="BW143" t="e">
        <f>IF(#REF!,"AAAAAG+yf0o=",0)</f>
        <v>#REF!</v>
      </c>
      <c r="BX143" t="e">
        <f>AND(#REF!,"AAAAAG+yf0s=")</f>
        <v>#REF!</v>
      </c>
      <c r="BY143" t="e">
        <f>AND(#REF!,"AAAAAG+yf0w=")</f>
        <v>#REF!</v>
      </c>
      <c r="BZ143" t="e">
        <f>AND(#REF!,"AAAAAG+yf00=")</f>
        <v>#REF!</v>
      </c>
      <c r="CA143" t="e">
        <f>AND(#REF!,"AAAAAG+yf04=")</f>
        <v>#REF!</v>
      </c>
      <c r="CB143" t="e">
        <f>AND(#REF!,"AAAAAG+yf08=")</f>
        <v>#REF!</v>
      </c>
      <c r="CC143" t="e">
        <f>AND(#REF!,"AAAAAG+yf1A=")</f>
        <v>#REF!</v>
      </c>
      <c r="CD143" t="e">
        <f>AND(#REF!,"AAAAAG+yf1E=")</f>
        <v>#REF!</v>
      </c>
      <c r="CE143" t="e">
        <f>AND(#REF!,"AAAAAG+yf1I=")</f>
        <v>#REF!</v>
      </c>
      <c r="CF143" t="e">
        <f>AND(#REF!,"AAAAAG+yf1M=")</f>
        <v>#REF!</v>
      </c>
      <c r="CG143" t="e">
        <f>AND(#REF!,"AAAAAG+yf1Q=")</f>
        <v>#REF!</v>
      </c>
      <c r="CH143" t="e">
        <f>AND(#REF!,"AAAAAG+yf1U=")</f>
        <v>#REF!</v>
      </c>
      <c r="CI143" t="e">
        <f>AND(#REF!,"AAAAAG+yf1Y=")</f>
        <v>#REF!</v>
      </c>
      <c r="CJ143" t="e">
        <f>AND(#REF!,"AAAAAG+yf1c=")</f>
        <v>#REF!</v>
      </c>
      <c r="CK143" t="e">
        <f>AND(#REF!,"AAAAAG+yf1g=")</f>
        <v>#REF!</v>
      </c>
      <c r="CL143" t="e">
        <f>AND(#REF!,"AAAAAG+yf1k=")</f>
        <v>#REF!</v>
      </c>
      <c r="CM143" t="e">
        <f>AND(#REF!,"AAAAAG+yf1o=")</f>
        <v>#REF!</v>
      </c>
      <c r="CN143" t="e">
        <f>AND(#REF!,"AAAAAG+yf1s=")</f>
        <v>#REF!</v>
      </c>
      <c r="CO143" t="e">
        <f>AND(#REF!,"AAAAAG+yf1w=")</f>
        <v>#REF!</v>
      </c>
      <c r="CP143" t="e">
        <f>AND(#REF!,"AAAAAG+yf10=")</f>
        <v>#REF!</v>
      </c>
      <c r="CQ143" t="e">
        <f>AND(#REF!,"AAAAAG+yf14=")</f>
        <v>#REF!</v>
      </c>
      <c r="CR143" t="e">
        <f>AND(#REF!,"AAAAAG+yf18=")</f>
        <v>#REF!</v>
      </c>
      <c r="CS143" t="e">
        <f>AND(#REF!,"AAAAAG+yf2A=")</f>
        <v>#REF!</v>
      </c>
      <c r="CT143" t="e">
        <f>AND(#REF!,"AAAAAG+yf2E=")</f>
        <v>#REF!</v>
      </c>
      <c r="CU143" t="e">
        <f>AND(#REF!,"AAAAAG+yf2I=")</f>
        <v>#REF!</v>
      </c>
      <c r="CV143" t="e">
        <f>AND(#REF!,"AAAAAG+yf2M=")</f>
        <v>#REF!</v>
      </c>
      <c r="CW143" t="e">
        <f>AND(#REF!,"AAAAAG+yf2Q=")</f>
        <v>#REF!</v>
      </c>
      <c r="CX143" t="e">
        <f>AND(#REF!,"AAAAAG+yf2U=")</f>
        <v>#REF!</v>
      </c>
      <c r="CY143" t="e">
        <f>AND(#REF!,"AAAAAG+yf2Y=")</f>
        <v>#REF!</v>
      </c>
      <c r="CZ143" t="e">
        <f>AND(#REF!,"AAAAAG+yf2c=")</f>
        <v>#REF!</v>
      </c>
      <c r="DA143" t="e">
        <f>AND(#REF!,"AAAAAG+yf2g=")</f>
        <v>#REF!</v>
      </c>
      <c r="DB143" t="e">
        <f>IF(#REF!,"AAAAAG+yf2k=",0)</f>
        <v>#REF!</v>
      </c>
      <c r="DC143" t="e">
        <f>AND(#REF!,"AAAAAG+yf2o=")</f>
        <v>#REF!</v>
      </c>
      <c r="DD143" t="e">
        <f>AND(#REF!,"AAAAAG+yf2s=")</f>
        <v>#REF!</v>
      </c>
      <c r="DE143" t="e">
        <f>AND(#REF!,"AAAAAG+yf2w=")</f>
        <v>#REF!</v>
      </c>
      <c r="DF143" t="e">
        <f>AND(#REF!,"AAAAAG+yf20=")</f>
        <v>#REF!</v>
      </c>
      <c r="DG143" t="e">
        <f>AND(#REF!,"AAAAAG+yf24=")</f>
        <v>#REF!</v>
      </c>
      <c r="DH143" t="e">
        <f>AND(#REF!,"AAAAAG+yf28=")</f>
        <v>#REF!</v>
      </c>
      <c r="DI143" t="e">
        <f>AND(#REF!,"AAAAAG+yf3A=")</f>
        <v>#REF!</v>
      </c>
      <c r="DJ143" t="e">
        <f>AND(#REF!,"AAAAAG+yf3E=")</f>
        <v>#REF!</v>
      </c>
      <c r="DK143" t="e">
        <f>AND(#REF!,"AAAAAG+yf3I=")</f>
        <v>#REF!</v>
      </c>
      <c r="DL143" t="e">
        <f>AND(#REF!,"AAAAAG+yf3M=")</f>
        <v>#REF!</v>
      </c>
      <c r="DM143" t="e">
        <f>AND(#REF!,"AAAAAG+yf3Q=")</f>
        <v>#REF!</v>
      </c>
      <c r="DN143" t="e">
        <f>AND(#REF!,"AAAAAG+yf3U=")</f>
        <v>#REF!</v>
      </c>
      <c r="DO143" t="e">
        <f>AND(#REF!,"AAAAAG+yf3Y=")</f>
        <v>#REF!</v>
      </c>
      <c r="DP143" t="e">
        <f>AND(#REF!,"AAAAAG+yf3c=")</f>
        <v>#REF!</v>
      </c>
      <c r="DQ143" t="e">
        <f>AND(#REF!,"AAAAAG+yf3g=")</f>
        <v>#REF!</v>
      </c>
      <c r="DR143" t="e">
        <f>AND(#REF!,"AAAAAG+yf3k=")</f>
        <v>#REF!</v>
      </c>
      <c r="DS143" t="e">
        <f>AND(#REF!,"AAAAAG+yf3o=")</f>
        <v>#REF!</v>
      </c>
      <c r="DT143" t="e">
        <f>AND(#REF!,"AAAAAG+yf3s=")</f>
        <v>#REF!</v>
      </c>
      <c r="DU143" t="e">
        <f>AND(#REF!,"AAAAAG+yf3w=")</f>
        <v>#REF!</v>
      </c>
      <c r="DV143" t="e">
        <f>AND(#REF!,"AAAAAG+yf30=")</f>
        <v>#REF!</v>
      </c>
      <c r="DW143" t="e">
        <f>AND(#REF!,"AAAAAG+yf34=")</f>
        <v>#REF!</v>
      </c>
      <c r="DX143" t="e">
        <f>AND(#REF!,"AAAAAG+yf38=")</f>
        <v>#REF!</v>
      </c>
      <c r="DY143" t="e">
        <f>AND(#REF!,"AAAAAG+yf4A=")</f>
        <v>#REF!</v>
      </c>
      <c r="DZ143" t="e">
        <f>AND(#REF!,"AAAAAG+yf4E=")</f>
        <v>#REF!</v>
      </c>
      <c r="EA143" t="e">
        <f>AND(#REF!,"AAAAAG+yf4I=")</f>
        <v>#REF!</v>
      </c>
      <c r="EB143" t="e">
        <f>AND(#REF!,"AAAAAG+yf4M=")</f>
        <v>#REF!</v>
      </c>
      <c r="EC143" t="e">
        <f>AND(#REF!,"AAAAAG+yf4Q=")</f>
        <v>#REF!</v>
      </c>
      <c r="ED143" t="e">
        <f>AND(#REF!,"AAAAAG+yf4U=")</f>
        <v>#REF!</v>
      </c>
      <c r="EE143" t="e">
        <f>AND(#REF!,"AAAAAG+yf4Y=")</f>
        <v>#REF!</v>
      </c>
      <c r="EF143" t="e">
        <f>AND(#REF!,"AAAAAG+yf4c=")</f>
        <v>#REF!</v>
      </c>
      <c r="EG143" t="e">
        <f>IF(#REF!,"AAAAAG+yf4g=",0)</f>
        <v>#REF!</v>
      </c>
      <c r="EH143" t="e">
        <f>AND(#REF!,"AAAAAG+yf4k=")</f>
        <v>#REF!</v>
      </c>
      <c r="EI143" t="e">
        <f>AND(#REF!,"AAAAAG+yf4o=")</f>
        <v>#REF!</v>
      </c>
      <c r="EJ143" t="e">
        <f>AND(#REF!,"AAAAAG+yf4s=")</f>
        <v>#REF!</v>
      </c>
      <c r="EK143" t="e">
        <f>AND(#REF!,"AAAAAG+yf4w=")</f>
        <v>#REF!</v>
      </c>
      <c r="EL143" t="e">
        <f>AND(#REF!,"AAAAAG+yf40=")</f>
        <v>#REF!</v>
      </c>
      <c r="EM143" t="e">
        <f>AND(#REF!,"AAAAAG+yf44=")</f>
        <v>#REF!</v>
      </c>
      <c r="EN143" t="e">
        <f>AND(#REF!,"AAAAAG+yf48=")</f>
        <v>#REF!</v>
      </c>
      <c r="EO143" t="e">
        <f>AND(#REF!,"AAAAAG+yf5A=")</f>
        <v>#REF!</v>
      </c>
      <c r="EP143" t="e">
        <f>AND(#REF!,"AAAAAG+yf5E=")</f>
        <v>#REF!</v>
      </c>
      <c r="EQ143" t="e">
        <f>AND(#REF!,"AAAAAG+yf5I=")</f>
        <v>#REF!</v>
      </c>
      <c r="ER143" t="e">
        <f>AND(#REF!,"AAAAAG+yf5M=")</f>
        <v>#REF!</v>
      </c>
      <c r="ES143" t="e">
        <f>AND(#REF!,"AAAAAG+yf5Q=")</f>
        <v>#REF!</v>
      </c>
      <c r="ET143" t="e">
        <f>AND(#REF!,"AAAAAG+yf5U=")</f>
        <v>#REF!</v>
      </c>
      <c r="EU143" t="e">
        <f>AND(#REF!,"AAAAAG+yf5Y=")</f>
        <v>#REF!</v>
      </c>
      <c r="EV143" t="e">
        <f>AND(#REF!,"AAAAAG+yf5c=")</f>
        <v>#REF!</v>
      </c>
      <c r="EW143" t="e">
        <f>AND(#REF!,"AAAAAG+yf5g=")</f>
        <v>#REF!</v>
      </c>
      <c r="EX143" t="e">
        <f>AND(#REF!,"AAAAAG+yf5k=")</f>
        <v>#REF!</v>
      </c>
      <c r="EY143" t="e">
        <f>AND(#REF!,"AAAAAG+yf5o=")</f>
        <v>#REF!</v>
      </c>
      <c r="EZ143" t="e">
        <f>AND(#REF!,"AAAAAG+yf5s=")</f>
        <v>#REF!</v>
      </c>
      <c r="FA143" t="e">
        <f>AND(#REF!,"AAAAAG+yf5w=")</f>
        <v>#REF!</v>
      </c>
      <c r="FB143" t="e">
        <f>AND(#REF!,"AAAAAG+yf50=")</f>
        <v>#REF!</v>
      </c>
      <c r="FC143" t="e">
        <f>AND(#REF!,"AAAAAG+yf54=")</f>
        <v>#REF!</v>
      </c>
      <c r="FD143" t="e">
        <f>AND(#REF!,"AAAAAG+yf58=")</f>
        <v>#REF!</v>
      </c>
      <c r="FE143" t="e">
        <f>AND(#REF!,"AAAAAG+yf6A=")</f>
        <v>#REF!</v>
      </c>
      <c r="FF143" t="e">
        <f>AND(#REF!,"AAAAAG+yf6E=")</f>
        <v>#REF!</v>
      </c>
      <c r="FG143" t="e">
        <f>AND(#REF!,"AAAAAG+yf6I=")</f>
        <v>#REF!</v>
      </c>
      <c r="FH143" t="e">
        <f>AND(#REF!,"AAAAAG+yf6M=")</f>
        <v>#REF!</v>
      </c>
      <c r="FI143" t="e">
        <f>AND(#REF!,"AAAAAG+yf6Q=")</f>
        <v>#REF!</v>
      </c>
      <c r="FJ143" t="e">
        <f>AND(#REF!,"AAAAAG+yf6U=")</f>
        <v>#REF!</v>
      </c>
      <c r="FK143" t="e">
        <f>AND(#REF!,"AAAAAG+yf6Y=")</f>
        <v>#REF!</v>
      </c>
      <c r="FL143" t="e">
        <f>IF(#REF!,"AAAAAG+yf6c=",0)</f>
        <v>#REF!</v>
      </c>
      <c r="FM143" t="e">
        <f>AND(#REF!,"AAAAAG+yf6g=")</f>
        <v>#REF!</v>
      </c>
      <c r="FN143" t="e">
        <f>AND(#REF!,"AAAAAG+yf6k=")</f>
        <v>#REF!</v>
      </c>
      <c r="FO143" t="e">
        <f>AND(#REF!,"AAAAAG+yf6o=")</f>
        <v>#REF!</v>
      </c>
      <c r="FP143" t="e">
        <f>AND(#REF!,"AAAAAG+yf6s=")</f>
        <v>#REF!</v>
      </c>
      <c r="FQ143" t="e">
        <f>AND(#REF!,"AAAAAG+yf6w=")</f>
        <v>#REF!</v>
      </c>
      <c r="FR143" t="e">
        <f>AND(#REF!,"AAAAAG+yf60=")</f>
        <v>#REF!</v>
      </c>
      <c r="FS143" t="e">
        <f>AND(#REF!,"AAAAAG+yf64=")</f>
        <v>#REF!</v>
      </c>
      <c r="FT143" t="e">
        <f>AND(#REF!,"AAAAAG+yf68=")</f>
        <v>#REF!</v>
      </c>
      <c r="FU143" t="e">
        <f>AND(#REF!,"AAAAAG+yf7A=")</f>
        <v>#REF!</v>
      </c>
      <c r="FV143" t="e">
        <f>AND(#REF!,"AAAAAG+yf7E=")</f>
        <v>#REF!</v>
      </c>
      <c r="FW143" t="e">
        <f>AND(#REF!,"AAAAAG+yf7I=")</f>
        <v>#REF!</v>
      </c>
      <c r="FX143" t="e">
        <f>AND(#REF!,"AAAAAG+yf7M=")</f>
        <v>#REF!</v>
      </c>
      <c r="FY143" t="e">
        <f>AND(#REF!,"AAAAAG+yf7Q=")</f>
        <v>#REF!</v>
      </c>
      <c r="FZ143" t="e">
        <f>AND(#REF!,"AAAAAG+yf7U=")</f>
        <v>#REF!</v>
      </c>
      <c r="GA143" t="e">
        <f>AND(#REF!,"AAAAAG+yf7Y=")</f>
        <v>#REF!</v>
      </c>
      <c r="GB143" t="e">
        <f>AND(#REF!,"AAAAAG+yf7c=")</f>
        <v>#REF!</v>
      </c>
      <c r="GC143" t="e">
        <f>AND(#REF!,"AAAAAG+yf7g=")</f>
        <v>#REF!</v>
      </c>
      <c r="GD143" t="e">
        <f>AND(#REF!,"AAAAAG+yf7k=")</f>
        <v>#REF!</v>
      </c>
      <c r="GE143" t="e">
        <f>AND(#REF!,"AAAAAG+yf7o=")</f>
        <v>#REF!</v>
      </c>
      <c r="GF143" t="e">
        <f>AND(#REF!,"AAAAAG+yf7s=")</f>
        <v>#REF!</v>
      </c>
      <c r="GG143" t="e">
        <f>AND(#REF!,"AAAAAG+yf7w=")</f>
        <v>#REF!</v>
      </c>
      <c r="GH143" t="e">
        <f>AND(#REF!,"AAAAAG+yf70=")</f>
        <v>#REF!</v>
      </c>
      <c r="GI143" t="e">
        <f>AND(#REF!,"AAAAAG+yf74=")</f>
        <v>#REF!</v>
      </c>
      <c r="GJ143" t="e">
        <f>AND(#REF!,"AAAAAG+yf78=")</f>
        <v>#REF!</v>
      </c>
      <c r="GK143" t="e">
        <f>AND(#REF!,"AAAAAG+yf8A=")</f>
        <v>#REF!</v>
      </c>
      <c r="GL143" t="e">
        <f>AND(#REF!,"AAAAAG+yf8E=")</f>
        <v>#REF!</v>
      </c>
      <c r="GM143" t="e">
        <f>AND(#REF!,"AAAAAG+yf8I=")</f>
        <v>#REF!</v>
      </c>
      <c r="GN143" t="e">
        <f>AND(#REF!,"AAAAAG+yf8M=")</f>
        <v>#REF!</v>
      </c>
      <c r="GO143" t="e">
        <f>AND(#REF!,"AAAAAG+yf8Q=")</f>
        <v>#REF!</v>
      </c>
      <c r="GP143" t="e">
        <f>AND(#REF!,"AAAAAG+yf8U=")</f>
        <v>#REF!</v>
      </c>
      <c r="GQ143" t="e">
        <f>IF(#REF!,"AAAAAG+yf8Y=",0)</f>
        <v>#REF!</v>
      </c>
      <c r="GR143" t="e">
        <f>AND(#REF!,"AAAAAG+yf8c=")</f>
        <v>#REF!</v>
      </c>
      <c r="GS143" t="e">
        <f>AND(#REF!,"AAAAAG+yf8g=")</f>
        <v>#REF!</v>
      </c>
      <c r="GT143" t="e">
        <f>AND(#REF!,"AAAAAG+yf8k=")</f>
        <v>#REF!</v>
      </c>
      <c r="GU143" t="e">
        <f>AND(#REF!,"AAAAAG+yf8o=")</f>
        <v>#REF!</v>
      </c>
      <c r="GV143" t="e">
        <f>AND(#REF!,"AAAAAG+yf8s=")</f>
        <v>#REF!</v>
      </c>
      <c r="GW143" t="e">
        <f>AND(#REF!,"AAAAAG+yf8w=")</f>
        <v>#REF!</v>
      </c>
      <c r="GX143" t="e">
        <f>AND(#REF!,"AAAAAG+yf80=")</f>
        <v>#REF!</v>
      </c>
      <c r="GY143" t="e">
        <f>AND(#REF!,"AAAAAG+yf84=")</f>
        <v>#REF!</v>
      </c>
      <c r="GZ143" t="e">
        <f>AND(#REF!,"AAAAAG+yf88=")</f>
        <v>#REF!</v>
      </c>
      <c r="HA143" t="e">
        <f>AND(#REF!,"AAAAAG+yf9A=")</f>
        <v>#REF!</v>
      </c>
      <c r="HB143" t="e">
        <f>AND(#REF!,"AAAAAG+yf9E=")</f>
        <v>#REF!</v>
      </c>
      <c r="HC143" t="e">
        <f>AND(#REF!,"AAAAAG+yf9I=")</f>
        <v>#REF!</v>
      </c>
      <c r="HD143" t="e">
        <f>AND(#REF!,"AAAAAG+yf9M=")</f>
        <v>#REF!</v>
      </c>
      <c r="HE143" t="e">
        <f>AND(#REF!,"AAAAAG+yf9Q=")</f>
        <v>#REF!</v>
      </c>
      <c r="HF143" t="e">
        <f>AND(#REF!,"AAAAAG+yf9U=")</f>
        <v>#REF!</v>
      </c>
      <c r="HG143" t="e">
        <f>AND(#REF!,"AAAAAG+yf9Y=")</f>
        <v>#REF!</v>
      </c>
      <c r="HH143" t="e">
        <f>AND(#REF!,"AAAAAG+yf9c=")</f>
        <v>#REF!</v>
      </c>
      <c r="HI143" t="e">
        <f>AND(#REF!,"AAAAAG+yf9g=")</f>
        <v>#REF!</v>
      </c>
      <c r="HJ143" t="e">
        <f>AND(#REF!,"AAAAAG+yf9k=")</f>
        <v>#REF!</v>
      </c>
      <c r="HK143" t="e">
        <f>AND(#REF!,"AAAAAG+yf9o=")</f>
        <v>#REF!</v>
      </c>
      <c r="HL143" t="e">
        <f>AND(#REF!,"AAAAAG+yf9s=")</f>
        <v>#REF!</v>
      </c>
      <c r="HM143" t="e">
        <f>AND(#REF!,"AAAAAG+yf9w=")</f>
        <v>#REF!</v>
      </c>
      <c r="HN143" t="e">
        <f>AND(#REF!,"AAAAAG+yf90=")</f>
        <v>#REF!</v>
      </c>
      <c r="HO143" t="e">
        <f>AND(#REF!,"AAAAAG+yf94=")</f>
        <v>#REF!</v>
      </c>
      <c r="HP143" t="e">
        <f>AND(#REF!,"AAAAAG+yf98=")</f>
        <v>#REF!</v>
      </c>
      <c r="HQ143" t="e">
        <f>AND(#REF!,"AAAAAG+yf+A=")</f>
        <v>#REF!</v>
      </c>
      <c r="HR143" t="e">
        <f>AND(#REF!,"AAAAAG+yf+E=")</f>
        <v>#REF!</v>
      </c>
      <c r="HS143" t="e">
        <f>AND(#REF!,"AAAAAG+yf+I=")</f>
        <v>#REF!</v>
      </c>
      <c r="HT143" t="e">
        <f>AND(#REF!,"AAAAAG+yf+M=")</f>
        <v>#REF!</v>
      </c>
      <c r="HU143" t="e">
        <f>AND(#REF!,"AAAAAG+yf+Q=")</f>
        <v>#REF!</v>
      </c>
      <c r="HV143" t="e">
        <f>IF(#REF!,"AAAAAG+yf+U=",0)</f>
        <v>#REF!</v>
      </c>
      <c r="HW143" t="e">
        <f>AND(#REF!,"AAAAAG+yf+Y=")</f>
        <v>#REF!</v>
      </c>
      <c r="HX143" t="e">
        <f>AND(#REF!,"AAAAAG+yf+c=")</f>
        <v>#REF!</v>
      </c>
      <c r="HY143" t="e">
        <f>AND(#REF!,"AAAAAG+yf+g=")</f>
        <v>#REF!</v>
      </c>
      <c r="HZ143" t="e">
        <f>AND(#REF!,"AAAAAG+yf+k=")</f>
        <v>#REF!</v>
      </c>
      <c r="IA143" t="e">
        <f>AND(#REF!,"AAAAAG+yf+o=")</f>
        <v>#REF!</v>
      </c>
      <c r="IB143" t="e">
        <f>AND(#REF!,"AAAAAG+yf+s=")</f>
        <v>#REF!</v>
      </c>
      <c r="IC143" t="e">
        <f>AND(#REF!,"AAAAAG+yf+w=")</f>
        <v>#REF!</v>
      </c>
      <c r="ID143" t="e">
        <f>AND(#REF!,"AAAAAG+yf+0=")</f>
        <v>#REF!</v>
      </c>
      <c r="IE143" t="e">
        <f>AND(#REF!,"AAAAAG+yf+4=")</f>
        <v>#REF!</v>
      </c>
      <c r="IF143" t="e">
        <f>AND(#REF!,"AAAAAG+yf+8=")</f>
        <v>#REF!</v>
      </c>
      <c r="IG143" t="e">
        <f>AND(#REF!,"AAAAAG+yf/A=")</f>
        <v>#REF!</v>
      </c>
      <c r="IH143" t="e">
        <f>AND(#REF!,"AAAAAG+yf/E=")</f>
        <v>#REF!</v>
      </c>
      <c r="II143" t="e">
        <f>AND(#REF!,"AAAAAG+yf/I=")</f>
        <v>#REF!</v>
      </c>
      <c r="IJ143" t="e">
        <f>AND(#REF!,"AAAAAG+yf/M=")</f>
        <v>#REF!</v>
      </c>
      <c r="IK143" t="e">
        <f>AND(#REF!,"AAAAAG+yf/Q=")</f>
        <v>#REF!</v>
      </c>
      <c r="IL143" t="e">
        <f>AND(#REF!,"AAAAAG+yf/U=")</f>
        <v>#REF!</v>
      </c>
      <c r="IM143" t="e">
        <f>AND(#REF!,"AAAAAG+yf/Y=")</f>
        <v>#REF!</v>
      </c>
      <c r="IN143" t="e">
        <f>AND(#REF!,"AAAAAG+yf/c=")</f>
        <v>#REF!</v>
      </c>
      <c r="IO143" t="e">
        <f>AND(#REF!,"AAAAAG+yf/g=")</f>
        <v>#REF!</v>
      </c>
      <c r="IP143" t="e">
        <f>AND(#REF!,"AAAAAG+yf/k=")</f>
        <v>#REF!</v>
      </c>
      <c r="IQ143" t="e">
        <f>AND(#REF!,"AAAAAG+yf/o=")</f>
        <v>#REF!</v>
      </c>
      <c r="IR143" t="e">
        <f>AND(#REF!,"AAAAAG+yf/s=")</f>
        <v>#REF!</v>
      </c>
      <c r="IS143" t="e">
        <f>AND(#REF!,"AAAAAG+yf/w=")</f>
        <v>#REF!</v>
      </c>
      <c r="IT143" t="e">
        <f>AND(#REF!,"AAAAAG+yf/0=")</f>
        <v>#REF!</v>
      </c>
      <c r="IU143" t="e">
        <f>AND(#REF!,"AAAAAG+yf/4=")</f>
        <v>#REF!</v>
      </c>
      <c r="IV143" t="e">
        <f>AND(#REF!,"AAAAAG+yf/8=")</f>
        <v>#REF!</v>
      </c>
    </row>
    <row r="144" spans="1:256" x14ac:dyDescent="0.2">
      <c r="A144" t="e">
        <f>AND(#REF!,"AAAAAGc//gA=")</f>
        <v>#REF!</v>
      </c>
      <c r="B144" t="e">
        <f>AND(#REF!,"AAAAAGc//gE=")</f>
        <v>#REF!</v>
      </c>
      <c r="C144" t="e">
        <f>AND(#REF!,"AAAAAGc//gI=")</f>
        <v>#REF!</v>
      </c>
      <c r="D144" t="e">
        <f>AND(#REF!,"AAAAAGc//gM=")</f>
        <v>#REF!</v>
      </c>
      <c r="E144" t="e">
        <f>IF(#REF!,"AAAAAGc//gQ=",0)</f>
        <v>#REF!</v>
      </c>
      <c r="F144" t="e">
        <f>AND(#REF!,"AAAAAGc//gU=")</f>
        <v>#REF!</v>
      </c>
      <c r="G144" t="e">
        <f>AND(#REF!,"AAAAAGc//gY=")</f>
        <v>#REF!</v>
      </c>
      <c r="H144" t="e">
        <f>AND(#REF!,"AAAAAGc//gc=")</f>
        <v>#REF!</v>
      </c>
      <c r="I144" t="e">
        <f>AND(#REF!,"AAAAAGc//gg=")</f>
        <v>#REF!</v>
      </c>
      <c r="J144" t="e">
        <f>AND(#REF!,"AAAAAGc//gk=")</f>
        <v>#REF!</v>
      </c>
      <c r="K144" t="e">
        <f>AND(#REF!,"AAAAAGc//go=")</f>
        <v>#REF!</v>
      </c>
      <c r="L144" t="e">
        <f>AND(#REF!,"AAAAAGc//gs=")</f>
        <v>#REF!</v>
      </c>
      <c r="M144" t="e">
        <f>AND(#REF!,"AAAAAGc//gw=")</f>
        <v>#REF!</v>
      </c>
      <c r="N144" t="e">
        <f>AND(#REF!,"AAAAAGc//g0=")</f>
        <v>#REF!</v>
      </c>
      <c r="O144" t="e">
        <f>AND(#REF!,"AAAAAGc//g4=")</f>
        <v>#REF!</v>
      </c>
      <c r="P144" t="e">
        <f>AND(#REF!,"AAAAAGc//g8=")</f>
        <v>#REF!</v>
      </c>
      <c r="Q144" t="e">
        <f>AND(#REF!,"AAAAAGc//hA=")</f>
        <v>#REF!</v>
      </c>
      <c r="R144" t="e">
        <f>AND(#REF!,"AAAAAGc//hE=")</f>
        <v>#REF!</v>
      </c>
      <c r="S144" t="e">
        <f>AND(#REF!,"AAAAAGc//hI=")</f>
        <v>#REF!</v>
      </c>
      <c r="T144" t="e">
        <f>AND(#REF!,"AAAAAGc//hM=")</f>
        <v>#REF!</v>
      </c>
      <c r="U144" t="e">
        <f>AND(#REF!,"AAAAAGc//hQ=")</f>
        <v>#REF!</v>
      </c>
      <c r="V144" t="e">
        <f>AND(#REF!,"AAAAAGc//hU=")</f>
        <v>#REF!</v>
      </c>
      <c r="W144" t="e">
        <f>AND(#REF!,"AAAAAGc//hY=")</f>
        <v>#REF!</v>
      </c>
      <c r="X144" t="e">
        <f>AND(#REF!,"AAAAAGc//hc=")</f>
        <v>#REF!</v>
      </c>
      <c r="Y144" t="e">
        <f>AND(#REF!,"AAAAAGc//hg=")</f>
        <v>#REF!</v>
      </c>
      <c r="Z144" t="e">
        <f>AND(#REF!,"AAAAAGc//hk=")</f>
        <v>#REF!</v>
      </c>
      <c r="AA144" t="e">
        <f>AND(#REF!,"AAAAAGc//ho=")</f>
        <v>#REF!</v>
      </c>
      <c r="AB144" t="e">
        <f>AND(#REF!,"AAAAAGc//hs=")</f>
        <v>#REF!</v>
      </c>
      <c r="AC144" t="e">
        <f>AND(#REF!,"AAAAAGc//hw=")</f>
        <v>#REF!</v>
      </c>
      <c r="AD144" t="e">
        <f>AND(#REF!,"AAAAAGc//h0=")</f>
        <v>#REF!</v>
      </c>
      <c r="AE144" t="e">
        <f>AND(#REF!,"AAAAAGc//h4=")</f>
        <v>#REF!</v>
      </c>
      <c r="AF144" t="e">
        <f>AND(#REF!,"AAAAAGc//h8=")</f>
        <v>#REF!</v>
      </c>
      <c r="AG144" t="e">
        <f>AND(#REF!,"AAAAAGc//iA=")</f>
        <v>#REF!</v>
      </c>
      <c r="AH144" t="e">
        <f>AND(#REF!,"AAAAAGc//iE=")</f>
        <v>#REF!</v>
      </c>
      <c r="AI144" t="e">
        <f>AND(#REF!,"AAAAAGc//iI=")</f>
        <v>#REF!</v>
      </c>
      <c r="AJ144" t="e">
        <f>IF(#REF!,"AAAAAGc//iM=",0)</f>
        <v>#REF!</v>
      </c>
      <c r="AK144" t="e">
        <f>AND(#REF!,"AAAAAGc//iQ=")</f>
        <v>#REF!</v>
      </c>
      <c r="AL144" t="e">
        <f>AND(#REF!,"AAAAAGc//iU=")</f>
        <v>#REF!</v>
      </c>
      <c r="AM144" t="e">
        <f>AND(#REF!,"AAAAAGc//iY=")</f>
        <v>#REF!</v>
      </c>
      <c r="AN144" t="e">
        <f>AND(#REF!,"AAAAAGc//ic=")</f>
        <v>#REF!</v>
      </c>
      <c r="AO144" t="e">
        <f>AND(#REF!,"AAAAAGc//ig=")</f>
        <v>#REF!</v>
      </c>
      <c r="AP144" t="e">
        <f>AND(#REF!,"AAAAAGc//ik=")</f>
        <v>#REF!</v>
      </c>
      <c r="AQ144" t="e">
        <f>AND(#REF!,"AAAAAGc//io=")</f>
        <v>#REF!</v>
      </c>
      <c r="AR144" t="e">
        <f>AND(#REF!,"AAAAAGc//is=")</f>
        <v>#REF!</v>
      </c>
      <c r="AS144" t="e">
        <f>AND(#REF!,"AAAAAGc//iw=")</f>
        <v>#REF!</v>
      </c>
      <c r="AT144" t="e">
        <f>AND(#REF!,"AAAAAGc//i0=")</f>
        <v>#REF!</v>
      </c>
      <c r="AU144" t="e">
        <f>AND(#REF!,"AAAAAGc//i4=")</f>
        <v>#REF!</v>
      </c>
      <c r="AV144" t="e">
        <f>AND(#REF!,"AAAAAGc//i8=")</f>
        <v>#REF!</v>
      </c>
      <c r="AW144" t="e">
        <f>AND(#REF!,"AAAAAGc//jA=")</f>
        <v>#REF!</v>
      </c>
      <c r="AX144" t="e">
        <f>AND(#REF!,"AAAAAGc//jE=")</f>
        <v>#REF!</v>
      </c>
      <c r="AY144" t="e">
        <f>AND(#REF!,"AAAAAGc//jI=")</f>
        <v>#REF!</v>
      </c>
      <c r="AZ144" t="e">
        <f>AND(#REF!,"AAAAAGc//jM=")</f>
        <v>#REF!</v>
      </c>
      <c r="BA144" t="e">
        <f>AND(#REF!,"AAAAAGc//jQ=")</f>
        <v>#REF!</v>
      </c>
      <c r="BB144" t="e">
        <f>AND(#REF!,"AAAAAGc//jU=")</f>
        <v>#REF!</v>
      </c>
      <c r="BC144" t="e">
        <f>AND(#REF!,"AAAAAGc//jY=")</f>
        <v>#REF!</v>
      </c>
      <c r="BD144" t="e">
        <f>AND(#REF!,"AAAAAGc//jc=")</f>
        <v>#REF!</v>
      </c>
      <c r="BE144" t="e">
        <f>AND(#REF!,"AAAAAGc//jg=")</f>
        <v>#REF!</v>
      </c>
      <c r="BF144" t="e">
        <f>AND(#REF!,"AAAAAGc//jk=")</f>
        <v>#REF!</v>
      </c>
      <c r="BG144" t="e">
        <f>AND(#REF!,"AAAAAGc//jo=")</f>
        <v>#REF!</v>
      </c>
      <c r="BH144" t="e">
        <f>AND(#REF!,"AAAAAGc//js=")</f>
        <v>#REF!</v>
      </c>
      <c r="BI144" t="e">
        <f>AND(#REF!,"AAAAAGc//jw=")</f>
        <v>#REF!</v>
      </c>
      <c r="BJ144" t="e">
        <f>AND(#REF!,"AAAAAGc//j0=")</f>
        <v>#REF!</v>
      </c>
      <c r="BK144" t="e">
        <f>AND(#REF!,"AAAAAGc//j4=")</f>
        <v>#REF!</v>
      </c>
      <c r="BL144" t="e">
        <f>AND(#REF!,"AAAAAGc//j8=")</f>
        <v>#REF!</v>
      </c>
      <c r="BM144" t="e">
        <f>AND(#REF!,"AAAAAGc//kA=")</f>
        <v>#REF!</v>
      </c>
      <c r="BN144" t="e">
        <f>AND(#REF!,"AAAAAGc//kE=")</f>
        <v>#REF!</v>
      </c>
      <c r="BO144" t="e">
        <f>IF(#REF!,"AAAAAGc//kI=",0)</f>
        <v>#REF!</v>
      </c>
      <c r="BP144" t="e">
        <f>AND(#REF!,"AAAAAGc//kM=")</f>
        <v>#REF!</v>
      </c>
      <c r="BQ144" t="e">
        <f>AND(#REF!,"AAAAAGc//kQ=")</f>
        <v>#REF!</v>
      </c>
      <c r="BR144" t="e">
        <f>AND(#REF!,"AAAAAGc//kU=")</f>
        <v>#REF!</v>
      </c>
      <c r="BS144" t="e">
        <f>AND(#REF!,"AAAAAGc//kY=")</f>
        <v>#REF!</v>
      </c>
      <c r="BT144" t="e">
        <f>AND(#REF!,"AAAAAGc//kc=")</f>
        <v>#REF!</v>
      </c>
      <c r="BU144" t="e">
        <f>AND(#REF!,"AAAAAGc//kg=")</f>
        <v>#REF!</v>
      </c>
      <c r="BV144" t="e">
        <f>AND(#REF!,"AAAAAGc//kk=")</f>
        <v>#REF!</v>
      </c>
      <c r="BW144" t="e">
        <f>AND(#REF!,"AAAAAGc//ko=")</f>
        <v>#REF!</v>
      </c>
      <c r="BX144" t="e">
        <f>AND(#REF!,"AAAAAGc//ks=")</f>
        <v>#REF!</v>
      </c>
      <c r="BY144" t="e">
        <f>AND(#REF!,"AAAAAGc//kw=")</f>
        <v>#REF!</v>
      </c>
      <c r="BZ144" t="e">
        <f>AND(#REF!,"AAAAAGc//k0=")</f>
        <v>#REF!</v>
      </c>
      <c r="CA144" t="e">
        <f>AND(#REF!,"AAAAAGc//k4=")</f>
        <v>#REF!</v>
      </c>
      <c r="CB144" t="e">
        <f>AND(#REF!,"AAAAAGc//k8=")</f>
        <v>#REF!</v>
      </c>
      <c r="CC144" t="e">
        <f>AND(#REF!,"AAAAAGc//lA=")</f>
        <v>#REF!</v>
      </c>
      <c r="CD144" t="e">
        <f>AND(#REF!,"AAAAAGc//lE=")</f>
        <v>#REF!</v>
      </c>
      <c r="CE144" t="e">
        <f>AND(#REF!,"AAAAAGc//lI=")</f>
        <v>#REF!</v>
      </c>
      <c r="CF144" t="e">
        <f>AND(#REF!,"AAAAAGc//lM=")</f>
        <v>#REF!</v>
      </c>
      <c r="CG144" t="e">
        <f>AND(#REF!,"AAAAAGc//lQ=")</f>
        <v>#REF!</v>
      </c>
      <c r="CH144" t="e">
        <f>AND(#REF!,"AAAAAGc//lU=")</f>
        <v>#REF!</v>
      </c>
      <c r="CI144" t="e">
        <f>AND(#REF!,"AAAAAGc//lY=")</f>
        <v>#REF!</v>
      </c>
      <c r="CJ144" t="e">
        <f>AND(#REF!,"AAAAAGc//lc=")</f>
        <v>#REF!</v>
      </c>
      <c r="CK144" t="e">
        <f>AND(#REF!,"AAAAAGc//lg=")</f>
        <v>#REF!</v>
      </c>
      <c r="CL144" t="e">
        <f>AND(#REF!,"AAAAAGc//lk=")</f>
        <v>#REF!</v>
      </c>
      <c r="CM144" t="e">
        <f>AND(#REF!,"AAAAAGc//lo=")</f>
        <v>#REF!</v>
      </c>
      <c r="CN144" t="e">
        <f>AND(#REF!,"AAAAAGc//ls=")</f>
        <v>#REF!</v>
      </c>
      <c r="CO144" t="e">
        <f>AND(#REF!,"AAAAAGc//lw=")</f>
        <v>#REF!</v>
      </c>
      <c r="CP144" t="e">
        <f>AND(#REF!,"AAAAAGc//l0=")</f>
        <v>#REF!</v>
      </c>
      <c r="CQ144" t="e">
        <f>AND(#REF!,"AAAAAGc//l4=")</f>
        <v>#REF!</v>
      </c>
      <c r="CR144" t="e">
        <f>AND(#REF!,"AAAAAGc//l8=")</f>
        <v>#REF!</v>
      </c>
      <c r="CS144" t="e">
        <f>AND(#REF!,"AAAAAGc//mA=")</f>
        <v>#REF!</v>
      </c>
      <c r="CT144" t="e">
        <f>IF(#REF!,"AAAAAGc//mE=",0)</f>
        <v>#REF!</v>
      </c>
      <c r="CU144" t="e">
        <f>AND(#REF!,"AAAAAGc//mI=")</f>
        <v>#REF!</v>
      </c>
      <c r="CV144" t="e">
        <f>AND(#REF!,"AAAAAGc//mM=")</f>
        <v>#REF!</v>
      </c>
      <c r="CW144" t="e">
        <f>AND(#REF!,"AAAAAGc//mQ=")</f>
        <v>#REF!</v>
      </c>
      <c r="CX144" t="e">
        <f>AND(#REF!,"AAAAAGc//mU=")</f>
        <v>#REF!</v>
      </c>
      <c r="CY144" t="e">
        <f>AND(#REF!,"AAAAAGc//mY=")</f>
        <v>#REF!</v>
      </c>
      <c r="CZ144" t="e">
        <f>AND(#REF!,"AAAAAGc//mc=")</f>
        <v>#REF!</v>
      </c>
      <c r="DA144" t="e">
        <f>AND(#REF!,"AAAAAGc//mg=")</f>
        <v>#REF!</v>
      </c>
      <c r="DB144" t="e">
        <f>AND(#REF!,"AAAAAGc//mk=")</f>
        <v>#REF!</v>
      </c>
      <c r="DC144" t="e">
        <f>AND(#REF!,"AAAAAGc//mo=")</f>
        <v>#REF!</v>
      </c>
      <c r="DD144" t="e">
        <f>AND(#REF!,"AAAAAGc//ms=")</f>
        <v>#REF!</v>
      </c>
      <c r="DE144" t="e">
        <f>AND(#REF!,"AAAAAGc//mw=")</f>
        <v>#REF!</v>
      </c>
      <c r="DF144" t="e">
        <f>AND(#REF!,"AAAAAGc//m0=")</f>
        <v>#REF!</v>
      </c>
      <c r="DG144" t="e">
        <f>AND(#REF!,"AAAAAGc//m4=")</f>
        <v>#REF!</v>
      </c>
      <c r="DH144" t="e">
        <f>AND(#REF!,"AAAAAGc//m8=")</f>
        <v>#REF!</v>
      </c>
      <c r="DI144" t="e">
        <f>AND(#REF!,"AAAAAGc//nA=")</f>
        <v>#REF!</v>
      </c>
      <c r="DJ144" t="e">
        <f>AND(#REF!,"AAAAAGc//nE=")</f>
        <v>#REF!</v>
      </c>
      <c r="DK144" t="e">
        <f>AND(#REF!,"AAAAAGc//nI=")</f>
        <v>#REF!</v>
      </c>
      <c r="DL144" t="e">
        <f>AND(#REF!,"AAAAAGc//nM=")</f>
        <v>#REF!</v>
      </c>
      <c r="DM144" t="e">
        <f>AND(#REF!,"AAAAAGc//nQ=")</f>
        <v>#REF!</v>
      </c>
      <c r="DN144" t="e">
        <f>AND(#REF!,"AAAAAGc//nU=")</f>
        <v>#REF!</v>
      </c>
      <c r="DO144" t="e">
        <f>AND(#REF!,"AAAAAGc//nY=")</f>
        <v>#REF!</v>
      </c>
      <c r="DP144" t="e">
        <f>AND(#REF!,"AAAAAGc//nc=")</f>
        <v>#REF!</v>
      </c>
      <c r="DQ144" t="e">
        <f>AND(#REF!,"AAAAAGc//ng=")</f>
        <v>#REF!</v>
      </c>
      <c r="DR144" t="e">
        <f>AND(#REF!,"AAAAAGc//nk=")</f>
        <v>#REF!</v>
      </c>
      <c r="DS144" t="e">
        <f>AND(#REF!,"AAAAAGc//no=")</f>
        <v>#REF!</v>
      </c>
      <c r="DT144" t="e">
        <f>AND(#REF!,"AAAAAGc//ns=")</f>
        <v>#REF!</v>
      </c>
      <c r="DU144" t="e">
        <f>AND(#REF!,"AAAAAGc//nw=")</f>
        <v>#REF!</v>
      </c>
      <c r="DV144" t="e">
        <f>AND(#REF!,"AAAAAGc//n0=")</f>
        <v>#REF!</v>
      </c>
      <c r="DW144" t="e">
        <f>AND(#REF!,"AAAAAGc//n4=")</f>
        <v>#REF!</v>
      </c>
      <c r="DX144" t="e">
        <f>AND(#REF!,"AAAAAGc//n8=")</f>
        <v>#REF!</v>
      </c>
      <c r="DY144" t="e">
        <f>IF(#REF!,"AAAAAGc//oA=",0)</f>
        <v>#REF!</v>
      </c>
      <c r="DZ144" t="e">
        <f>AND(#REF!,"AAAAAGc//oE=")</f>
        <v>#REF!</v>
      </c>
      <c r="EA144" t="e">
        <f>AND(#REF!,"AAAAAGc//oI=")</f>
        <v>#REF!</v>
      </c>
      <c r="EB144" t="e">
        <f>AND(#REF!,"AAAAAGc//oM=")</f>
        <v>#REF!</v>
      </c>
      <c r="EC144" t="e">
        <f>AND(#REF!,"AAAAAGc//oQ=")</f>
        <v>#REF!</v>
      </c>
      <c r="ED144" t="e">
        <f>AND(#REF!,"AAAAAGc//oU=")</f>
        <v>#REF!</v>
      </c>
      <c r="EE144" t="e">
        <f>AND(#REF!,"AAAAAGc//oY=")</f>
        <v>#REF!</v>
      </c>
      <c r="EF144" t="e">
        <f>AND(#REF!,"AAAAAGc//oc=")</f>
        <v>#REF!</v>
      </c>
      <c r="EG144" t="e">
        <f>AND(#REF!,"AAAAAGc//og=")</f>
        <v>#REF!</v>
      </c>
      <c r="EH144" t="e">
        <f>AND(#REF!,"AAAAAGc//ok=")</f>
        <v>#REF!</v>
      </c>
      <c r="EI144" t="e">
        <f>AND(#REF!,"AAAAAGc//oo=")</f>
        <v>#REF!</v>
      </c>
      <c r="EJ144" t="e">
        <f>AND(#REF!,"AAAAAGc//os=")</f>
        <v>#REF!</v>
      </c>
      <c r="EK144" t="e">
        <f>AND(#REF!,"AAAAAGc//ow=")</f>
        <v>#REF!</v>
      </c>
      <c r="EL144" t="e">
        <f>AND(#REF!,"AAAAAGc//o0=")</f>
        <v>#REF!</v>
      </c>
      <c r="EM144" t="e">
        <f>AND(#REF!,"AAAAAGc//o4=")</f>
        <v>#REF!</v>
      </c>
      <c r="EN144" t="e">
        <f>AND(#REF!,"AAAAAGc//o8=")</f>
        <v>#REF!</v>
      </c>
      <c r="EO144" t="e">
        <f>AND(#REF!,"AAAAAGc//pA=")</f>
        <v>#REF!</v>
      </c>
      <c r="EP144" t="e">
        <f>AND(#REF!,"AAAAAGc//pE=")</f>
        <v>#REF!</v>
      </c>
      <c r="EQ144" t="e">
        <f>AND(#REF!,"AAAAAGc//pI=")</f>
        <v>#REF!</v>
      </c>
      <c r="ER144" t="e">
        <f>AND(#REF!,"AAAAAGc//pM=")</f>
        <v>#REF!</v>
      </c>
      <c r="ES144" t="e">
        <f>AND(#REF!,"AAAAAGc//pQ=")</f>
        <v>#REF!</v>
      </c>
      <c r="ET144" t="e">
        <f>AND(#REF!,"AAAAAGc//pU=")</f>
        <v>#REF!</v>
      </c>
      <c r="EU144" t="e">
        <f>AND(#REF!,"AAAAAGc//pY=")</f>
        <v>#REF!</v>
      </c>
      <c r="EV144" t="e">
        <f>AND(#REF!,"AAAAAGc//pc=")</f>
        <v>#REF!</v>
      </c>
      <c r="EW144" t="e">
        <f>AND(#REF!,"AAAAAGc//pg=")</f>
        <v>#REF!</v>
      </c>
      <c r="EX144" t="e">
        <f>AND(#REF!,"AAAAAGc//pk=")</f>
        <v>#REF!</v>
      </c>
      <c r="EY144" t="e">
        <f>AND(#REF!,"AAAAAGc//po=")</f>
        <v>#REF!</v>
      </c>
      <c r="EZ144" t="e">
        <f>AND(#REF!,"AAAAAGc//ps=")</f>
        <v>#REF!</v>
      </c>
      <c r="FA144" t="e">
        <f>AND(#REF!,"AAAAAGc//pw=")</f>
        <v>#REF!</v>
      </c>
      <c r="FB144" t="e">
        <f>AND(#REF!,"AAAAAGc//p0=")</f>
        <v>#REF!</v>
      </c>
      <c r="FC144" t="e">
        <f>AND(#REF!,"AAAAAGc//p4=")</f>
        <v>#REF!</v>
      </c>
      <c r="FD144" t="e">
        <f>IF(#REF!,"AAAAAGc//p8=",0)</f>
        <v>#REF!</v>
      </c>
      <c r="FE144" t="e">
        <f>AND(#REF!,"AAAAAGc//qA=")</f>
        <v>#REF!</v>
      </c>
      <c r="FF144" t="e">
        <f>AND(#REF!,"AAAAAGc//qE=")</f>
        <v>#REF!</v>
      </c>
      <c r="FG144" t="e">
        <f>AND(#REF!,"AAAAAGc//qI=")</f>
        <v>#REF!</v>
      </c>
      <c r="FH144" t="e">
        <f>AND(#REF!,"AAAAAGc//qM=")</f>
        <v>#REF!</v>
      </c>
      <c r="FI144" t="e">
        <f>AND(#REF!,"AAAAAGc//qQ=")</f>
        <v>#REF!</v>
      </c>
      <c r="FJ144" t="e">
        <f>AND(#REF!,"AAAAAGc//qU=")</f>
        <v>#REF!</v>
      </c>
      <c r="FK144" t="e">
        <f>AND(#REF!,"AAAAAGc//qY=")</f>
        <v>#REF!</v>
      </c>
      <c r="FL144" t="e">
        <f>AND(#REF!,"AAAAAGc//qc=")</f>
        <v>#REF!</v>
      </c>
      <c r="FM144" t="e">
        <f>AND(#REF!,"AAAAAGc//qg=")</f>
        <v>#REF!</v>
      </c>
      <c r="FN144" t="e">
        <f>AND(#REF!,"AAAAAGc//qk=")</f>
        <v>#REF!</v>
      </c>
      <c r="FO144" t="e">
        <f>AND(#REF!,"AAAAAGc//qo=")</f>
        <v>#REF!</v>
      </c>
      <c r="FP144" t="e">
        <f>AND(#REF!,"AAAAAGc//qs=")</f>
        <v>#REF!</v>
      </c>
      <c r="FQ144" t="e">
        <f>AND(#REF!,"AAAAAGc//qw=")</f>
        <v>#REF!</v>
      </c>
      <c r="FR144" t="e">
        <f>AND(#REF!,"AAAAAGc//q0=")</f>
        <v>#REF!</v>
      </c>
      <c r="FS144" t="e">
        <f>AND(#REF!,"AAAAAGc//q4=")</f>
        <v>#REF!</v>
      </c>
      <c r="FT144" t="e">
        <f>AND(#REF!,"AAAAAGc//q8=")</f>
        <v>#REF!</v>
      </c>
      <c r="FU144" t="e">
        <f>AND(#REF!,"AAAAAGc//rA=")</f>
        <v>#REF!</v>
      </c>
      <c r="FV144" t="e">
        <f>AND(#REF!,"AAAAAGc//rE=")</f>
        <v>#REF!</v>
      </c>
      <c r="FW144" t="e">
        <f>AND(#REF!,"AAAAAGc//rI=")</f>
        <v>#REF!</v>
      </c>
      <c r="FX144" t="e">
        <f>AND(#REF!,"AAAAAGc//rM=")</f>
        <v>#REF!</v>
      </c>
      <c r="FY144" t="e">
        <f>AND(#REF!,"AAAAAGc//rQ=")</f>
        <v>#REF!</v>
      </c>
      <c r="FZ144" t="e">
        <f>AND(#REF!,"AAAAAGc//rU=")</f>
        <v>#REF!</v>
      </c>
      <c r="GA144" t="e">
        <f>AND(#REF!,"AAAAAGc//rY=")</f>
        <v>#REF!</v>
      </c>
      <c r="GB144" t="e">
        <f>AND(#REF!,"AAAAAGc//rc=")</f>
        <v>#REF!</v>
      </c>
      <c r="GC144" t="e">
        <f>AND(#REF!,"AAAAAGc//rg=")</f>
        <v>#REF!</v>
      </c>
      <c r="GD144" t="e">
        <f>AND(#REF!,"AAAAAGc//rk=")</f>
        <v>#REF!</v>
      </c>
      <c r="GE144" t="e">
        <f>AND(#REF!,"AAAAAGc//ro=")</f>
        <v>#REF!</v>
      </c>
      <c r="GF144" t="e">
        <f>AND(#REF!,"AAAAAGc//rs=")</f>
        <v>#REF!</v>
      </c>
      <c r="GG144" t="e">
        <f>AND(#REF!,"AAAAAGc//rw=")</f>
        <v>#REF!</v>
      </c>
      <c r="GH144" t="e">
        <f>AND(#REF!,"AAAAAGc//r0=")</f>
        <v>#REF!</v>
      </c>
      <c r="GI144" t="e">
        <f>IF(#REF!,"AAAAAGc//r4=",0)</f>
        <v>#REF!</v>
      </c>
      <c r="GJ144" t="e">
        <f>AND(#REF!,"AAAAAGc//r8=")</f>
        <v>#REF!</v>
      </c>
      <c r="GK144" t="e">
        <f>AND(#REF!,"AAAAAGc//sA=")</f>
        <v>#REF!</v>
      </c>
      <c r="GL144" t="e">
        <f>AND(#REF!,"AAAAAGc//sE=")</f>
        <v>#REF!</v>
      </c>
      <c r="GM144" t="e">
        <f>AND(#REF!,"AAAAAGc//sI=")</f>
        <v>#REF!</v>
      </c>
      <c r="GN144" t="e">
        <f>AND(#REF!,"AAAAAGc//sM=")</f>
        <v>#REF!</v>
      </c>
      <c r="GO144" t="e">
        <f>AND(#REF!,"AAAAAGc//sQ=")</f>
        <v>#REF!</v>
      </c>
      <c r="GP144" t="e">
        <f>AND(#REF!,"AAAAAGc//sU=")</f>
        <v>#REF!</v>
      </c>
      <c r="GQ144" t="e">
        <f>AND(#REF!,"AAAAAGc//sY=")</f>
        <v>#REF!</v>
      </c>
      <c r="GR144" t="e">
        <f>AND(#REF!,"AAAAAGc//sc=")</f>
        <v>#REF!</v>
      </c>
      <c r="GS144" t="e">
        <f>AND(#REF!,"AAAAAGc//sg=")</f>
        <v>#REF!</v>
      </c>
      <c r="GT144" t="e">
        <f>AND(#REF!,"AAAAAGc//sk=")</f>
        <v>#REF!</v>
      </c>
      <c r="GU144" t="e">
        <f>AND(#REF!,"AAAAAGc//so=")</f>
        <v>#REF!</v>
      </c>
      <c r="GV144" t="e">
        <f>AND(#REF!,"AAAAAGc//ss=")</f>
        <v>#REF!</v>
      </c>
      <c r="GW144" t="e">
        <f>AND(#REF!,"AAAAAGc//sw=")</f>
        <v>#REF!</v>
      </c>
      <c r="GX144" t="e">
        <f>AND(#REF!,"AAAAAGc//s0=")</f>
        <v>#REF!</v>
      </c>
      <c r="GY144" t="e">
        <f>AND(#REF!,"AAAAAGc//s4=")</f>
        <v>#REF!</v>
      </c>
      <c r="GZ144" t="e">
        <f>AND(#REF!,"AAAAAGc//s8=")</f>
        <v>#REF!</v>
      </c>
      <c r="HA144" t="e">
        <f>AND(#REF!,"AAAAAGc//tA=")</f>
        <v>#REF!</v>
      </c>
      <c r="HB144" t="e">
        <f>AND(#REF!,"AAAAAGc//tE=")</f>
        <v>#REF!</v>
      </c>
      <c r="HC144" t="e">
        <f>AND(#REF!,"AAAAAGc//tI=")</f>
        <v>#REF!</v>
      </c>
      <c r="HD144" t="e">
        <f>AND(#REF!,"AAAAAGc//tM=")</f>
        <v>#REF!</v>
      </c>
      <c r="HE144" t="e">
        <f>AND(#REF!,"AAAAAGc//tQ=")</f>
        <v>#REF!</v>
      </c>
      <c r="HF144" t="e">
        <f>AND(#REF!,"AAAAAGc//tU=")</f>
        <v>#REF!</v>
      </c>
      <c r="HG144" t="e">
        <f>AND(#REF!,"AAAAAGc//tY=")</f>
        <v>#REF!</v>
      </c>
      <c r="HH144" t="e">
        <f>AND(#REF!,"AAAAAGc//tc=")</f>
        <v>#REF!</v>
      </c>
      <c r="HI144" t="e">
        <f>AND(#REF!,"AAAAAGc//tg=")</f>
        <v>#REF!</v>
      </c>
      <c r="HJ144" t="e">
        <f>AND(#REF!,"AAAAAGc//tk=")</f>
        <v>#REF!</v>
      </c>
      <c r="HK144" t="e">
        <f>AND(#REF!,"AAAAAGc//to=")</f>
        <v>#REF!</v>
      </c>
      <c r="HL144" t="e">
        <f>AND(#REF!,"AAAAAGc//ts=")</f>
        <v>#REF!</v>
      </c>
      <c r="HM144" t="e">
        <f>AND(#REF!,"AAAAAGc//tw=")</f>
        <v>#REF!</v>
      </c>
      <c r="HN144" t="e">
        <f>IF(#REF!,"AAAAAGc//t0=",0)</f>
        <v>#REF!</v>
      </c>
      <c r="HO144" t="e">
        <f>AND(#REF!,"AAAAAGc//t4=")</f>
        <v>#REF!</v>
      </c>
      <c r="HP144" t="e">
        <f>AND(#REF!,"AAAAAGc//t8=")</f>
        <v>#REF!</v>
      </c>
      <c r="HQ144" t="e">
        <f>AND(#REF!,"AAAAAGc//uA=")</f>
        <v>#REF!</v>
      </c>
      <c r="HR144" t="e">
        <f>AND(#REF!,"AAAAAGc//uE=")</f>
        <v>#REF!</v>
      </c>
      <c r="HS144" t="e">
        <f>AND(#REF!,"AAAAAGc//uI=")</f>
        <v>#REF!</v>
      </c>
      <c r="HT144" t="e">
        <f>AND(#REF!,"AAAAAGc//uM=")</f>
        <v>#REF!</v>
      </c>
      <c r="HU144" t="e">
        <f>AND(#REF!,"AAAAAGc//uQ=")</f>
        <v>#REF!</v>
      </c>
      <c r="HV144" t="e">
        <f>AND(#REF!,"AAAAAGc//uU=")</f>
        <v>#REF!</v>
      </c>
      <c r="HW144" t="e">
        <f>AND(#REF!,"AAAAAGc//uY=")</f>
        <v>#REF!</v>
      </c>
      <c r="HX144" t="e">
        <f>AND(#REF!,"AAAAAGc//uc=")</f>
        <v>#REF!</v>
      </c>
      <c r="HY144" t="e">
        <f>AND(#REF!,"AAAAAGc//ug=")</f>
        <v>#REF!</v>
      </c>
      <c r="HZ144" t="e">
        <f>AND(#REF!,"AAAAAGc//uk=")</f>
        <v>#REF!</v>
      </c>
      <c r="IA144" t="e">
        <f>AND(#REF!,"AAAAAGc//uo=")</f>
        <v>#REF!</v>
      </c>
      <c r="IB144" t="e">
        <f>AND(#REF!,"AAAAAGc//us=")</f>
        <v>#REF!</v>
      </c>
      <c r="IC144" t="e">
        <f>AND(#REF!,"AAAAAGc//uw=")</f>
        <v>#REF!</v>
      </c>
      <c r="ID144" t="e">
        <f>AND(#REF!,"AAAAAGc//u0=")</f>
        <v>#REF!</v>
      </c>
      <c r="IE144" t="e">
        <f>AND(#REF!,"AAAAAGc//u4=")</f>
        <v>#REF!</v>
      </c>
      <c r="IF144" t="e">
        <f>AND(#REF!,"AAAAAGc//u8=")</f>
        <v>#REF!</v>
      </c>
      <c r="IG144" t="e">
        <f>AND(#REF!,"AAAAAGc//vA=")</f>
        <v>#REF!</v>
      </c>
      <c r="IH144" t="e">
        <f>AND(#REF!,"AAAAAGc//vE=")</f>
        <v>#REF!</v>
      </c>
      <c r="II144" t="e">
        <f>AND(#REF!,"AAAAAGc//vI=")</f>
        <v>#REF!</v>
      </c>
      <c r="IJ144" t="e">
        <f>AND(#REF!,"AAAAAGc//vM=")</f>
        <v>#REF!</v>
      </c>
      <c r="IK144" t="e">
        <f>AND(#REF!,"AAAAAGc//vQ=")</f>
        <v>#REF!</v>
      </c>
      <c r="IL144" t="e">
        <f>AND(#REF!,"AAAAAGc//vU=")</f>
        <v>#REF!</v>
      </c>
      <c r="IM144" t="e">
        <f>AND(#REF!,"AAAAAGc//vY=")</f>
        <v>#REF!</v>
      </c>
      <c r="IN144" t="e">
        <f>AND(#REF!,"AAAAAGc//vc=")</f>
        <v>#REF!</v>
      </c>
      <c r="IO144" t="e">
        <f>AND(#REF!,"AAAAAGc//vg=")</f>
        <v>#REF!</v>
      </c>
      <c r="IP144" t="e">
        <f>AND(#REF!,"AAAAAGc//vk=")</f>
        <v>#REF!</v>
      </c>
      <c r="IQ144" t="e">
        <f>AND(#REF!,"AAAAAGc//vo=")</f>
        <v>#REF!</v>
      </c>
      <c r="IR144" t="e">
        <f>AND(#REF!,"AAAAAGc//vs=")</f>
        <v>#REF!</v>
      </c>
      <c r="IS144" t="e">
        <f>IF(#REF!,"AAAAAGc//vw=",0)</f>
        <v>#REF!</v>
      </c>
      <c r="IT144" t="e">
        <f>AND(#REF!,"AAAAAGc//v0=")</f>
        <v>#REF!</v>
      </c>
      <c r="IU144" t="e">
        <f>AND(#REF!,"AAAAAGc//v4=")</f>
        <v>#REF!</v>
      </c>
      <c r="IV144" t="e">
        <f>AND(#REF!,"AAAAAGc//v8=")</f>
        <v>#REF!</v>
      </c>
    </row>
    <row r="145" spans="1:256" x14ac:dyDescent="0.2">
      <c r="A145" t="e">
        <f>AND(#REF!,"AAAAAE/v9AA=")</f>
        <v>#REF!</v>
      </c>
      <c r="B145" t="e">
        <f>AND(#REF!,"AAAAAE/v9AE=")</f>
        <v>#REF!</v>
      </c>
      <c r="C145" t="e">
        <f>AND(#REF!,"AAAAAE/v9AI=")</f>
        <v>#REF!</v>
      </c>
      <c r="D145" t="e">
        <f>AND(#REF!,"AAAAAE/v9AM=")</f>
        <v>#REF!</v>
      </c>
      <c r="E145" t="e">
        <f>AND(#REF!,"AAAAAE/v9AQ=")</f>
        <v>#REF!</v>
      </c>
      <c r="F145" t="e">
        <f>AND(#REF!,"AAAAAE/v9AU=")</f>
        <v>#REF!</v>
      </c>
      <c r="G145" t="e">
        <f>AND(#REF!,"AAAAAE/v9AY=")</f>
        <v>#REF!</v>
      </c>
      <c r="H145" t="e">
        <f>AND(#REF!,"AAAAAE/v9Ac=")</f>
        <v>#REF!</v>
      </c>
      <c r="I145" t="e">
        <f>AND(#REF!,"AAAAAE/v9Ag=")</f>
        <v>#REF!</v>
      </c>
      <c r="J145" t="e">
        <f>AND(#REF!,"AAAAAE/v9Ak=")</f>
        <v>#REF!</v>
      </c>
      <c r="K145" t="e">
        <f>AND(#REF!,"AAAAAE/v9Ao=")</f>
        <v>#REF!</v>
      </c>
      <c r="L145" t="e">
        <f>AND(#REF!,"AAAAAE/v9As=")</f>
        <v>#REF!</v>
      </c>
      <c r="M145" t="e">
        <f>AND(#REF!,"AAAAAE/v9Aw=")</f>
        <v>#REF!</v>
      </c>
      <c r="N145" t="e">
        <f>AND(#REF!,"AAAAAE/v9A0=")</f>
        <v>#REF!</v>
      </c>
      <c r="O145" t="e">
        <f>AND(#REF!,"AAAAAE/v9A4=")</f>
        <v>#REF!</v>
      </c>
      <c r="P145" t="e">
        <f>AND(#REF!,"AAAAAE/v9A8=")</f>
        <v>#REF!</v>
      </c>
      <c r="Q145" t="e">
        <f>AND(#REF!,"AAAAAE/v9BA=")</f>
        <v>#REF!</v>
      </c>
      <c r="R145" t="e">
        <f>AND(#REF!,"AAAAAE/v9BE=")</f>
        <v>#REF!</v>
      </c>
      <c r="S145" t="e">
        <f>AND(#REF!,"AAAAAE/v9BI=")</f>
        <v>#REF!</v>
      </c>
      <c r="T145" t="e">
        <f>AND(#REF!,"AAAAAE/v9BM=")</f>
        <v>#REF!</v>
      </c>
      <c r="U145" t="e">
        <f>AND(#REF!,"AAAAAE/v9BQ=")</f>
        <v>#REF!</v>
      </c>
      <c r="V145" t="e">
        <f>AND(#REF!,"AAAAAE/v9BU=")</f>
        <v>#REF!</v>
      </c>
      <c r="W145" t="e">
        <f>AND(#REF!,"AAAAAE/v9BY=")</f>
        <v>#REF!</v>
      </c>
      <c r="X145" t="e">
        <f>AND(#REF!,"AAAAAE/v9Bc=")</f>
        <v>#REF!</v>
      </c>
      <c r="Y145" t="e">
        <f>AND(#REF!,"AAAAAE/v9Bg=")</f>
        <v>#REF!</v>
      </c>
      <c r="Z145" t="e">
        <f>AND(#REF!,"AAAAAE/v9Bk=")</f>
        <v>#REF!</v>
      </c>
      <c r="AA145" t="e">
        <f>AND(#REF!,"AAAAAE/v9Bo=")</f>
        <v>#REF!</v>
      </c>
      <c r="AB145" t="e">
        <f>IF(#REF!,"AAAAAE/v9Bs=",0)</f>
        <v>#REF!</v>
      </c>
      <c r="AC145" t="e">
        <f>AND(#REF!,"AAAAAE/v9Bw=")</f>
        <v>#REF!</v>
      </c>
      <c r="AD145" t="e">
        <f>AND(#REF!,"AAAAAE/v9B0=")</f>
        <v>#REF!</v>
      </c>
      <c r="AE145" t="e">
        <f>AND(#REF!,"AAAAAE/v9B4=")</f>
        <v>#REF!</v>
      </c>
      <c r="AF145" t="e">
        <f>AND(#REF!,"AAAAAE/v9B8=")</f>
        <v>#REF!</v>
      </c>
      <c r="AG145" t="e">
        <f>AND(#REF!,"AAAAAE/v9CA=")</f>
        <v>#REF!</v>
      </c>
      <c r="AH145" t="e">
        <f>AND(#REF!,"AAAAAE/v9CE=")</f>
        <v>#REF!</v>
      </c>
      <c r="AI145" t="e">
        <f>AND(#REF!,"AAAAAE/v9CI=")</f>
        <v>#REF!</v>
      </c>
      <c r="AJ145" t="e">
        <f>AND(#REF!,"AAAAAE/v9CM=")</f>
        <v>#REF!</v>
      </c>
      <c r="AK145" t="e">
        <f>AND(#REF!,"AAAAAE/v9CQ=")</f>
        <v>#REF!</v>
      </c>
      <c r="AL145" t="e">
        <f>AND(#REF!,"AAAAAE/v9CU=")</f>
        <v>#REF!</v>
      </c>
      <c r="AM145" t="e">
        <f>AND(#REF!,"AAAAAE/v9CY=")</f>
        <v>#REF!</v>
      </c>
      <c r="AN145" t="e">
        <f>AND(#REF!,"AAAAAE/v9Cc=")</f>
        <v>#REF!</v>
      </c>
      <c r="AO145" t="e">
        <f>AND(#REF!,"AAAAAE/v9Cg=")</f>
        <v>#REF!</v>
      </c>
      <c r="AP145" t="e">
        <f>AND(#REF!,"AAAAAE/v9Ck=")</f>
        <v>#REF!</v>
      </c>
      <c r="AQ145" t="e">
        <f>AND(#REF!,"AAAAAE/v9Co=")</f>
        <v>#REF!</v>
      </c>
      <c r="AR145" t="e">
        <f>AND(#REF!,"AAAAAE/v9Cs=")</f>
        <v>#REF!</v>
      </c>
      <c r="AS145" t="e">
        <f>AND(#REF!,"AAAAAE/v9Cw=")</f>
        <v>#REF!</v>
      </c>
      <c r="AT145" t="e">
        <f>AND(#REF!,"AAAAAE/v9C0=")</f>
        <v>#REF!</v>
      </c>
      <c r="AU145" t="e">
        <f>AND(#REF!,"AAAAAE/v9C4=")</f>
        <v>#REF!</v>
      </c>
      <c r="AV145" t="e">
        <f>AND(#REF!,"AAAAAE/v9C8=")</f>
        <v>#REF!</v>
      </c>
      <c r="AW145" t="e">
        <f>AND(#REF!,"AAAAAE/v9DA=")</f>
        <v>#REF!</v>
      </c>
      <c r="AX145" t="e">
        <f>AND(#REF!,"AAAAAE/v9DE=")</f>
        <v>#REF!</v>
      </c>
      <c r="AY145" t="e">
        <f>AND(#REF!,"AAAAAE/v9DI=")</f>
        <v>#REF!</v>
      </c>
      <c r="AZ145" t="e">
        <f>AND(#REF!,"AAAAAE/v9DM=")</f>
        <v>#REF!</v>
      </c>
      <c r="BA145" t="e">
        <f>AND(#REF!,"AAAAAE/v9DQ=")</f>
        <v>#REF!</v>
      </c>
      <c r="BB145" t="e">
        <f>AND(#REF!,"AAAAAE/v9DU=")</f>
        <v>#REF!</v>
      </c>
      <c r="BC145" t="e">
        <f>AND(#REF!,"AAAAAE/v9DY=")</f>
        <v>#REF!</v>
      </c>
      <c r="BD145" t="e">
        <f>AND(#REF!,"AAAAAE/v9Dc=")</f>
        <v>#REF!</v>
      </c>
      <c r="BE145" t="e">
        <f>AND(#REF!,"AAAAAE/v9Dg=")</f>
        <v>#REF!</v>
      </c>
      <c r="BF145" t="e">
        <f>AND(#REF!,"AAAAAE/v9Dk=")</f>
        <v>#REF!</v>
      </c>
      <c r="BG145" t="e">
        <f>IF(#REF!,"AAAAAE/v9Do=",0)</f>
        <v>#REF!</v>
      </c>
      <c r="BH145" t="e">
        <f>AND(#REF!,"AAAAAE/v9Ds=")</f>
        <v>#REF!</v>
      </c>
      <c r="BI145" t="e">
        <f>AND(#REF!,"AAAAAE/v9Dw=")</f>
        <v>#REF!</v>
      </c>
      <c r="BJ145" t="e">
        <f>AND(#REF!,"AAAAAE/v9D0=")</f>
        <v>#REF!</v>
      </c>
      <c r="BK145" t="e">
        <f>AND(#REF!,"AAAAAE/v9D4=")</f>
        <v>#REF!</v>
      </c>
      <c r="BL145" t="e">
        <f>AND(#REF!,"AAAAAE/v9D8=")</f>
        <v>#REF!</v>
      </c>
      <c r="BM145" t="e">
        <f>AND(#REF!,"AAAAAE/v9EA=")</f>
        <v>#REF!</v>
      </c>
      <c r="BN145" t="e">
        <f>AND(#REF!,"AAAAAE/v9EE=")</f>
        <v>#REF!</v>
      </c>
      <c r="BO145" t="e">
        <f>AND(#REF!,"AAAAAE/v9EI=")</f>
        <v>#REF!</v>
      </c>
      <c r="BP145" t="e">
        <f>AND(#REF!,"AAAAAE/v9EM=")</f>
        <v>#REF!</v>
      </c>
      <c r="BQ145" t="e">
        <f>AND(#REF!,"AAAAAE/v9EQ=")</f>
        <v>#REF!</v>
      </c>
      <c r="BR145" t="e">
        <f>AND(#REF!,"AAAAAE/v9EU=")</f>
        <v>#REF!</v>
      </c>
      <c r="BS145" t="e">
        <f>AND(#REF!,"AAAAAE/v9EY=")</f>
        <v>#REF!</v>
      </c>
      <c r="BT145" t="e">
        <f>AND(#REF!,"AAAAAE/v9Ec=")</f>
        <v>#REF!</v>
      </c>
      <c r="BU145" t="e">
        <f>AND(#REF!,"AAAAAE/v9Eg=")</f>
        <v>#REF!</v>
      </c>
      <c r="BV145" t="e">
        <f>AND(#REF!,"AAAAAE/v9Ek=")</f>
        <v>#REF!</v>
      </c>
      <c r="BW145" t="e">
        <f>AND(#REF!,"AAAAAE/v9Eo=")</f>
        <v>#REF!</v>
      </c>
      <c r="BX145" t="e">
        <f>AND(#REF!,"AAAAAE/v9Es=")</f>
        <v>#REF!</v>
      </c>
      <c r="BY145" t="e">
        <f>AND(#REF!,"AAAAAE/v9Ew=")</f>
        <v>#REF!</v>
      </c>
      <c r="BZ145" t="e">
        <f>AND(#REF!,"AAAAAE/v9E0=")</f>
        <v>#REF!</v>
      </c>
      <c r="CA145" t="e">
        <f>AND(#REF!,"AAAAAE/v9E4=")</f>
        <v>#REF!</v>
      </c>
      <c r="CB145" t="e">
        <f>AND(#REF!,"AAAAAE/v9E8=")</f>
        <v>#REF!</v>
      </c>
      <c r="CC145" t="e">
        <f>AND(#REF!,"AAAAAE/v9FA=")</f>
        <v>#REF!</v>
      </c>
      <c r="CD145" t="e">
        <f>AND(#REF!,"AAAAAE/v9FE=")</f>
        <v>#REF!</v>
      </c>
      <c r="CE145" t="e">
        <f>AND(#REF!,"AAAAAE/v9FI=")</f>
        <v>#REF!</v>
      </c>
      <c r="CF145" t="e">
        <f>AND(#REF!,"AAAAAE/v9FM=")</f>
        <v>#REF!</v>
      </c>
      <c r="CG145" t="e">
        <f>AND(#REF!,"AAAAAE/v9FQ=")</f>
        <v>#REF!</v>
      </c>
      <c r="CH145" t="e">
        <f>AND(#REF!,"AAAAAE/v9FU=")</f>
        <v>#REF!</v>
      </c>
      <c r="CI145" t="e">
        <f>AND(#REF!,"AAAAAE/v9FY=")</f>
        <v>#REF!</v>
      </c>
      <c r="CJ145" t="e">
        <f>AND(#REF!,"AAAAAE/v9Fc=")</f>
        <v>#REF!</v>
      </c>
      <c r="CK145" t="e">
        <f>AND(#REF!,"AAAAAE/v9Fg=")</f>
        <v>#REF!</v>
      </c>
      <c r="CL145" t="e">
        <f>IF(#REF!,"AAAAAE/v9Fk=",0)</f>
        <v>#REF!</v>
      </c>
      <c r="CM145" t="e">
        <f>AND(#REF!,"AAAAAE/v9Fo=")</f>
        <v>#REF!</v>
      </c>
      <c r="CN145" t="e">
        <f>AND(#REF!,"AAAAAE/v9Fs=")</f>
        <v>#REF!</v>
      </c>
      <c r="CO145" t="e">
        <f>AND(#REF!,"AAAAAE/v9Fw=")</f>
        <v>#REF!</v>
      </c>
      <c r="CP145" t="e">
        <f>AND(#REF!,"AAAAAE/v9F0=")</f>
        <v>#REF!</v>
      </c>
      <c r="CQ145" t="e">
        <f>AND(#REF!,"AAAAAE/v9F4=")</f>
        <v>#REF!</v>
      </c>
      <c r="CR145" t="e">
        <f>AND(#REF!,"AAAAAE/v9F8=")</f>
        <v>#REF!</v>
      </c>
      <c r="CS145" t="e">
        <f>AND(#REF!,"AAAAAE/v9GA=")</f>
        <v>#REF!</v>
      </c>
      <c r="CT145" t="e">
        <f>AND(#REF!,"AAAAAE/v9GE=")</f>
        <v>#REF!</v>
      </c>
      <c r="CU145" t="e">
        <f>AND(#REF!,"AAAAAE/v9GI=")</f>
        <v>#REF!</v>
      </c>
      <c r="CV145" t="e">
        <f>AND(#REF!,"AAAAAE/v9GM=")</f>
        <v>#REF!</v>
      </c>
      <c r="CW145" t="e">
        <f>AND(#REF!,"AAAAAE/v9GQ=")</f>
        <v>#REF!</v>
      </c>
      <c r="CX145" t="e">
        <f>AND(#REF!,"AAAAAE/v9GU=")</f>
        <v>#REF!</v>
      </c>
      <c r="CY145" t="e">
        <f>AND(#REF!,"AAAAAE/v9GY=")</f>
        <v>#REF!</v>
      </c>
      <c r="CZ145" t="e">
        <f>AND(#REF!,"AAAAAE/v9Gc=")</f>
        <v>#REF!</v>
      </c>
      <c r="DA145" t="e">
        <f>AND(#REF!,"AAAAAE/v9Gg=")</f>
        <v>#REF!</v>
      </c>
      <c r="DB145" t="e">
        <f>AND(#REF!,"AAAAAE/v9Gk=")</f>
        <v>#REF!</v>
      </c>
      <c r="DC145" t="e">
        <f>AND(#REF!,"AAAAAE/v9Go=")</f>
        <v>#REF!</v>
      </c>
      <c r="DD145" t="e">
        <f>AND(#REF!,"AAAAAE/v9Gs=")</f>
        <v>#REF!</v>
      </c>
      <c r="DE145" t="e">
        <f>AND(#REF!,"AAAAAE/v9Gw=")</f>
        <v>#REF!</v>
      </c>
      <c r="DF145" t="e">
        <f>AND(#REF!,"AAAAAE/v9G0=")</f>
        <v>#REF!</v>
      </c>
      <c r="DG145" t="e">
        <f>AND(#REF!,"AAAAAE/v9G4=")</f>
        <v>#REF!</v>
      </c>
      <c r="DH145" t="e">
        <f>AND(#REF!,"AAAAAE/v9G8=")</f>
        <v>#REF!</v>
      </c>
      <c r="DI145" t="e">
        <f>AND(#REF!,"AAAAAE/v9HA=")</f>
        <v>#REF!</v>
      </c>
      <c r="DJ145" t="e">
        <f>AND(#REF!,"AAAAAE/v9HE=")</f>
        <v>#REF!</v>
      </c>
      <c r="DK145" t="e">
        <f>AND(#REF!,"AAAAAE/v9HI=")</f>
        <v>#REF!</v>
      </c>
      <c r="DL145" t="e">
        <f>AND(#REF!,"AAAAAE/v9HM=")</f>
        <v>#REF!</v>
      </c>
      <c r="DM145" t="e">
        <f>AND(#REF!,"AAAAAE/v9HQ=")</f>
        <v>#REF!</v>
      </c>
      <c r="DN145" t="e">
        <f>AND(#REF!,"AAAAAE/v9HU=")</f>
        <v>#REF!</v>
      </c>
      <c r="DO145" t="e">
        <f>AND(#REF!,"AAAAAE/v9HY=")</f>
        <v>#REF!</v>
      </c>
      <c r="DP145" t="e">
        <f>AND(#REF!,"AAAAAE/v9Hc=")</f>
        <v>#REF!</v>
      </c>
      <c r="DQ145" t="e">
        <f>IF(#REF!,"AAAAAE/v9Hg=",0)</f>
        <v>#REF!</v>
      </c>
      <c r="DR145" t="e">
        <f>AND(#REF!,"AAAAAE/v9Hk=")</f>
        <v>#REF!</v>
      </c>
      <c r="DS145" t="e">
        <f>AND(#REF!,"AAAAAE/v9Ho=")</f>
        <v>#REF!</v>
      </c>
      <c r="DT145" t="e">
        <f>AND(#REF!,"AAAAAE/v9Hs=")</f>
        <v>#REF!</v>
      </c>
      <c r="DU145" t="e">
        <f>AND(#REF!,"AAAAAE/v9Hw=")</f>
        <v>#REF!</v>
      </c>
      <c r="DV145" t="e">
        <f>AND(#REF!,"AAAAAE/v9H0=")</f>
        <v>#REF!</v>
      </c>
      <c r="DW145" t="e">
        <f>AND(#REF!,"AAAAAE/v9H4=")</f>
        <v>#REF!</v>
      </c>
      <c r="DX145" t="e">
        <f>AND(#REF!,"AAAAAE/v9H8=")</f>
        <v>#REF!</v>
      </c>
      <c r="DY145" t="e">
        <f>AND(#REF!,"AAAAAE/v9IA=")</f>
        <v>#REF!</v>
      </c>
      <c r="DZ145" t="e">
        <f>AND(#REF!,"AAAAAE/v9IE=")</f>
        <v>#REF!</v>
      </c>
      <c r="EA145" t="e">
        <f>AND(#REF!,"AAAAAE/v9II=")</f>
        <v>#REF!</v>
      </c>
      <c r="EB145" t="e">
        <f>AND(#REF!,"AAAAAE/v9IM=")</f>
        <v>#REF!</v>
      </c>
      <c r="EC145" t="e">
        <f>AND(#REF!,"AAAAAE/v9IQ=")</f>
        <v>#REF!</v>
      </c>
      <c r="ED145" t="e">
        <f>AND(#REF!,"AAAAAE/v9IU=")</f>
        <v>#REF!</v>
      </c>
      <c r="EE145" t="e">
        <f>AND(#REF!,"AAAAAE/v9IY=")</f>
        <v>#REF!</v>
      </c>
      <c r="EF145" t="e">
        <f>AND(#REF!,"AAAAAE/v9Ic=")</f>
        <v>#REF!</v>
      </c>
      <c r="EG145" t="e">
        <f>AND(#REF!,"AAAAAE/v9Ig=")</f>
        <v>#REF!</v>
      </c>
      <c r="EH145" t="e">
        <f>AND(#REF!,"AAAAAE/v9Ik=")</f>
        <v>#REF!</v>
      </c>
      <c r="EI145" t="e">
        <f>AND(#REF!,"AAAAAE/v9Io=")</f>
        <v>#REF!</v>
      </c>
      <c r="EJ145" t="e">
        <f>AND(#REF!,"AAAAAE/v9Is=")</f>
        <v>#REF!</v>
      </c>
      <c r="EK145" t="e">
        <f>AND(#REF!,"AAAAAE/v9Iw=")</f>
        <v>#REF!</v>
      </c>
      <c r="EL145" t="e">
        <f>AND(#REF!,"AAAAAE/v9I0=")</f>
        <v>#REF!</v>
      </c>
      <c r="EM145" t="e">
        <f>AND(#REF!,"AAAAAE/v9I4=")</f>
        <v>#REF!</v>
      </c>
      <c r="EN145" t="e">
        <f>AND(#REF!,"AAAAAE/v9I8=")</f>
        <v>#REF!</v>
      </c>
      <c r="EO145" t="e">
        <f>AND(#REF!,"AAAAAE/v9JA=")</f>
        <v>#REF!</v>
      </c>
      <c r="EP145" t="e">
        <f>AND(#REF!,"AAAAAE/v9JE=")</f>
        <v>#REF!</v>
      </c>
      <c r="EQ145" t="e">
        <f>AND(#REF!,"AAAAAE/v9JI=")</f>
        <v>#REF!</v>
      </c>
      <c r="ER145" t="e">
        <f>AND(#REF!,"AAAAAE/v9JM=")</f>
        <v>#REF!</v>
      </c>
      <c r="ES145" t="e">
        <f>AND(#REF!,"AAAAAE/v9JQ=")</f>
        <v>#REF!</v>
      </c>
      <c r="ET145" t="e">
        <f>AND(#REF!,"AAAAAE/v9JU=")</f>
        <v>#REF!</v>
      </c>
      <c r="EU145" t="e">
        <f>AND(#REF!,"AAAAAE/v9JY=")</f>
        <v>#REF!</v>
      </c>
      <c r="EV145" t="e">
        <f>IF(#REF!,"AAAAAE/v9Jc=",0)</f>
        <v>#REF!</v>
      </c>
      <c r="EW145" t="e">
        <f>AND(#REF!,"AAAAAE/v9Jg=")</f>
        <v>#REF!</v>
      </c>
      <c r="EX145" t="e">
        <f>AND(#REF!,"AAAAAE/v9Jk=")</f>
        <v>#REF!</v>
      </c>
      <c r="EY145" t="e">
        <f>AND(#REF!,"AAAAAE/v9Jo=")</f>
        <v>#REF!</v>
      </c>
      <c r="EZ145" t="e">
        <f>AND(#REF!,"AAAAAE/v9Js=")</f>
        <v>#REF!</v>
      </c>
      <c r="FA145" t="e">
        <f>AND(#REF!,"AAAAAE/v9Jw=")</f>
        <v>#REF!</v>
      </c>
      <c r="FB145" t="e">
        <f>AND(#REF!,"AAAAAE/v9J0=")</f>
        <v>#REF!</v>
      </c>
      <c r="FC145" t="e">
        <f>AND(#REF!,"AAAAAE/v9J4=")</f>
        <v>#REF!</v>
      </c>
      <c r="FD145" t="e">
        <f>AND(#REF!,"AAAAAE/v9J8=")</f>
        <v>#REF!</v>
      </c>
      <c r="FE145" t="e">
        <f>AND(#REF!,"AAAAAE/v9KA=")</f>
        <v>#REF!</v>
      </c>
      <c r="FF145" t="e">
        <f>AND(#REF!,"AAAAAE/v9KE=")</f>
        <v>#REF!</v>
      </c>
      <c r="FG145" t="e">
        <f>AND(#REF!,"AAAAAE/v9KI=")</f>
        <v>#REF!</v>
      </c>
      <c r="FH145" t="e">
        <f>AND(#REF!,"AAAAAE/v9KM=")</f>
        <v>#REF!</v>
      </c>
      <c r="FI145" t="e">
        <f>AND(#REF!,"AAAAAE/v9KQ=")</f>
        <v>#REF!</v>
      </c>
      <c r="FJ145" t="e">
        <f>AND(#REF!,"AAAAAE/v9KU=")</f>
        <v>#REF!</v>
      </c>
      <c r="FK145" t="e">
        <f>AND(#REF!,"AAAAAE/v9KY=")</f>
        <v>#REF!</v>
      </c>
      <c r="FL145" t="e">
        <f>AND(#REF!,"AAAAAE/v9Kc=")</f>
        <v>#REF!</v>
      </c>
      <c r="FM145" t="e">
        <f>AND(#REF!,"AAAAAE/v9Kg=")</f>
        <v>#REF!</v>
      </c>
      <c r="FN145" t="e">
        <f>AND(#REF!,"AAAAAE/v9Kk=")</f>
        <v>#REF!</v>
      </c>
      <c r="FO145" t="e">
        <f>AND(#REF!,"AAAAAE/v9Ko=")</f>
        <v>#REF!</v>
      </c>
      <c r="FP145" t="e">
        <f>AND(#REF!,"AAAAAE/v9Ks=")</f>
        <v>#REF!</v>
      </c>
      <c r="FQ145" t="e">
        <f>AND(#REF!,"AAAAAE/v9Kw=")</f>
        <v>#REF!</v>
      </c>
      <c r="FR145" t="e">
        <f>AND(#REF!,"AAAAAE/v9K0=")</f>
        <v>#REF!</v>
      </c>
      <c r="FS145" t="e">
        <f>AND(#REF!,"AAAAAE/v9K4=")</f>
        <v>#REF!</v>
      </c>
      <c r="FT145" t="e">
        <f>AND(#REF!,"AAAAAE/v9K8=")</f>
        <v>#REF!</v>
      </c>
      <c r="FU145" t="e">
        <f>AND(#REF!,"AAAAAE/v9LA=")</f>
        <v>#REF!</v>
      </c>
      <c r="FV145" t="e">
        <f>AND(#REF!,"AAAAAE/v9LE=")</f>
        <v>#REF!</v>
      </c>
      <c r="FW145" t="e">
        <f>AND(#REF!,"AAAAAE/v9LI=")</f>
        <v>#REF!</v>
      </c>
      <c r="FX145" t="e">
        <f>AND(#REF!,"AAAAAE/v9LM=")</f>
        <v>#REF!</v>
      </c>
      <c r="FY145" t="e">
        <f>AND(#REF!,"AAAAAE/v9LQ=")</f>
        <v>#REF!</v>
      </c>
      <c r="FZ145" t="e">
        <f>AND(#REF!,"AAAAAE/v9LU=")</f>
        <v>#REF!</v>
      </c>
      <c r="GA145" t="e">
        <f>IF(#REF!,"AAAAAE/v9LY=",0)</f>
        <v>#REF!</v>
      </c>
      <c r="GB145" t="e">
        <f>AND(#REF!,"AAAAAE/v9Lc=")</f>
        <v>#REF!</v>
      </c>
      <c r="GC145" t="e">
        <f>AND(#REF!,"AAAAAE/v9Lg=")</f>
        <v>#REF!</v>
      </c>
      <c r="GD145" t="e">
        <f>AND(#REF!,"AAAAAE/v9Lk=")</f>
        <v>#REF!</v>
      </c>
      <c r="GE145" t="e">
        <f>AND(#REF!,"AAAAAE/v9Lo=")</f>
        <v>#REF!</v>
      </c>
      <c r="GF145" t="e">
        <f>AND(#REF!,"AAAAAE/v9Ls=")</f>
        <v>#REF!</v>
      </c>
      <c r="GG145" t="e">
        <f>AND(#REF!,"AAAAAE/v9Lw=")</f>
        <v>#REF!</v>
      </c>
      <c r="GH145" t="e">
        <f>AND(#REF!,"AAAAAE/v9L0=")</f>
        <v>#REF!</v>
      </c>
      <c r="GI145" t="e">
        <f>AND(#REF!,"AAAAAE/v9L4=")</f>
        <v>#REF!</v>
      </c>
      <c r="GJ145" t="e">
        <f>AND(#REF!,"AAAAAE/v9L8=")</f>
        <v>#REF!</v>
      </c>
      <c r="GK145" t="e">
        <f>AND(#REF!,"AAAAAE/v9MA=")</f>
        <v>#REF!</v>
      </c>
      <c r="GL145" t="e">
        <f>AND(#REF!,"AAAAAE/v9ME=")</f>
        <v>#REF!</v>
      </c>
      <c r="GM145" t="e">
        <f>AND(#REF!,"AAAAAE/v9MI=")</f>
        <v>#REF!</v>
      </c>
      <c r="GN145" t="e">
        <f>AND(#REF!,"AAAAAE/v9MM=")</f>
        <v>#REF!</v>
      </c>
      <c r="GO145" t="e">
        <f>AND(#REF!,"AAAAAE/v9MQ=")</f>
        <v>#REF!</v>
      </c>
      <c r="GP145" t="e">
        <f>AND(#REF!,"AAAAAE/v9MU=")</f>
        <v>#REF!</v>
      </c>
      <c r="GQ145" t="e">
        <f>AND(#REF!,"AAAAAE/v9MY=")</f>
        <v>#REF!</v>
      </c>
      <c r="GR145" t="e">
        <f>AND(#REF!,"AAAAAE/v9Mc=")</f>
        <v>#REF!</v>
      </c>
      <c r="GS145" t="e">
        <f>AND(#REF!,"AAAAAE/v9Mg=")</f>
        <v>#REF!</v>
      </c>
      <c r="GT145" t="e">
        <f>AND(#REF!,"AAAAAE/v9Mk=")</f>
        <v>#REF!</v>
      </c>
      <c r="GU145" t="e">
        <f>AND(#REF!,"AAAAAE/v9Mo=")</f>
        <v>#REF!</v>
      </c>
      <c r="GV145" t="e">
        <f>AND(#REF!,"AAAAAE/v9Ms=")</f>
        <v>#REF!</v>
      </c>
      <c r="GW145" t="e">
        <f>AND(#REF!,"AAAAAE/v9Mw=")</f>
        <v>#REF!</v>
      </c>
      <c r="GX145" t="e">
        <f>AND(#REF!,"AAAAAE/v9M0=")</f>
        <v>#REF!</v>
      </c>
      <c r="GY145" t="e">
        <f>AND(#REF!,"AAAAAE/v9M4=")</f>
        <v>#REF!</v>
      </c>
      <c r="GZ145" t="e">
        <f>AND(#REF!,"AAAAAE/v9M8=")</f>
        <v>#REF!</v>
      </c>
      <c r="HA145" t="e">
        <f>AND(#REF!,"AAAAAE/v9NA=")</f>
        <v>#REF!</v>
      </c>
      <c r="HB145" t="e">
        <f>AND(#REF!,"AAAAAE/v9NE=")</f>
        <v>#REF!</v>
      </c>
      <c r="HC145" t="e">
        <f>AND(#REF!,"AAAAAE/v9NI=")</f>
        <v>#REF!</v>
      </c>
      <c r="HD145" t="e">
        <f>AND(#REF!,"AAAAAE/v9NM=")</f>
        <v>#REF!</v>
      </c>
      <c r="HE145" t="e">
        <f>AND(#REF!,"AAAAAE/v9NQ=")</f>
        <v>#REF!</v>
      </c>
      <c r="HF145" t="e">
        <f>IF(#REF!,"AAAAAE/v9NU=",0)</f>
        <v>#REF!</v>
      </c>
      <c r="HG145" t="e">
        <f>AND(#REF!,"AAAAAE/v9NY=")</f>
        <v>#REF!</v>
      </c>
      <c r="HH145" t="e">
        <f>AND(#REF!,"AAAAAE/v9Nc=")</f>
        <v>#REF!</v>
      </c>
      <c r="HI145" t="e">
        <f>AND(#REF!,"AAAAAE/v9Ng=")</f>
        <v>#REF!</v>
      </c>
      <c r="HJ145" t="e">
        <f>AND(#REF!,"AAAAAE/v9Nk=")</f>
        <v>#REF!</v>
      </c>
      <c r="HK145" t="e">
        <f>AND(#REF!,"AAAAAE/v9No=")</f>
        <v>#REF!</v>
      </c>
      <c r="HL145" t="e">
        <f>AND(#REF!,"AAAAAE/v9Ns=")</f>
        <v>#REF!</v>
      </c>
      <c r="HM145" t="e">
        <f>AND(#REF!,"AAAAAE/v9Nw=")</f>
        <v>#REF!</v>
      </c>
      <c r="HN145" t="e">
        <f>AND(#REF!,"AAAAAE/v9N0=")</f>
        <v>#REF!</v>
      </c>
      <c r="HO145" t="e">
        <f>AND(#REF!,"AAAAAE/v9N4=")</f>
        <v>#REF!</v>
      </c>
      <c r="HP145" t="e">
        <f>AND(#REF!,"AAAAAE/v9N8=")</f>
        <v>#REF!</v>
      </c>
      <c r="HQ145" t="e">
        <f>AND(#REF!,"AAAAAE/v9OA=")</f>
        <v>#REF!</v>
      </c>
      <c r="HR145" t="e">
        <f>AND(#REF!,"AAAAAE/v9OE=")</f>
        <v>#REF!</v>
      </c>
      <c r="HS145" t="e">
        <f>AND(#REF!,"AAAAAE/v9OI=")</f>
        <v>#REF!</v>
      </c>
      <c r="HT145" t="e">
        <f>AND(#REF!,"AAAAAE/v9OM=")</f>
        <v>#REF!</v>
      </c>
      <c r="HU145" t="e">
        <f>AND(#REF!,"AAAAAE/v9OQ=")</f>
        <v>#REF!</v>
      </c>
      <c r="HV145" t="e">
        <f>AND(#REF!,"AAAAAE/v9OU=")</f>
        <v>#REF!</v>
      </c>
      <c r="HW145" t="e">
        <f>AND(#REF!,"AAAAAE/v9OY=")</f>
        <v>#REF!</v>
      </c>
      <c r="HX145" t="e">
        <f>AND(#REF!,"AAAAAE/v9Oc=")</f>
        <v>#REF!</v>
      </c>
      <c r="HY145" t="e">
        <f>AND(#REF!,"AAAAAE/v9Og=")</f>
        <v>#REF!</v>
      </c>
      <c r="HZ145" t="e">
        <f>AND(#REF!,"AAAAAE/v9Ok=")</f>
        <v>#REF!</v>
      </c>
      <c r="IA145" t="e">
        <f>AND(#REF!,"AAAAAE/v9Oo=")</f>
        <v>#REF!</v>
      </c>
      <c r="IB145" t="e">
        <f>AND(#REF!,"AAAAAE/v9Os=")</f>
        <v>#REF!</v>
      </c>
      <c r="IC145" t="e">
        <f>AND(#REF!,"AAAAAE/v9Ow=")</f>
        <v>#REF!</v>
      </c>
      <c r="ID145" t="e">
        <f>AND(#REF!,"AAAAAE/v9O0=")</f>
        <v>#REF!</v>
      </c>
      <c r="IE145" t="e">
        <f>AND(#REF!,"AAAAAE/v9O4=")</f>
        <v>#REF!</v>
      </c>
      <c r="IF145" t="e">
        <f>AND(#REF!,"AAAAAE/v9O8=")</f>
        <v>#REF!</v>
      </c>
      <c r="IG145" t="e">
        <f>AND(#REF!,"AAAAAE/v9PA=")</f>
        <v>#REF!</v>
      </c>
      <c r="IH145" t="e">
        <f>AND(#REF!,"AAAAAE/v9PE=")</f>
        <v>#REF!</v>
      </c>
      <c r="II145" t="e">
        <f>AND(#REF!,"AAAAAE/v9PI=")</f>
        <v>#REF!</v>
      </c>
      <c r="IJ145" t="e">
        <f>AND(#REF!,"AAAAAE/v9PM=")</f>
        <v>#REF!</v>
      </c>
      <c r="IK145" t="e">
        <f>IF(#REF!,"AAAAAE/v9PQ=",0)</f>
        <v>#REF!</v>
      </c>
      <c r="IL145" t="e">
        <f>AND(#REF!,"AAAAAE/v9PU=")</f>
        <v>#REF!</v>
      </c>
      <c r="IM145" t="e">
        <f>AND(#REF!,"AAAAAE/v9PY=")</f>
        <v>#REF!</v>
      </c>
      <c r="IN145" t="e">
        <f>AND(#REF!,"AAAAAE/v9Pc=")</f>
        <v>#REF!</v>
      </c>
      <c r="IO145" t="e">
        <f>AND(#REF!,"AAAAAE/v9Pg=")</f>
        <v>#REF!</v>
      </c>
      <c r="IP145" t="e">
        <f>AND(#REF!,"AAAAAE/v9Pk=")</f>
        <v>#REF!</v>
      </c>
      <c r="IQ145" t="e">
        <f>AND(#REF!,"AAAAAE/v9Po=")</f>
        <v>#REF!</v>
      </c>
      <c r="IR145" t="e">
        <f>AND(#REF!,"AAAAAE/v9Ps=")</f>
        <v>#REF!</v>
      </c>
      <c r="IS145" t="e">
        <f>AND(#REF!,"AAAAAE/v9Pw=")</f>
        <v>#REF!</v>
      </c>
      <c r="IT145" t="e">
        <f>AND(#REF!,"AAAAAE/v9P0=")</f>
        <v>#REF!</v>
      </c>
      <c r="IU145" t="e">
        <f>AND(#REF!,"AAAAAE/v9P4=")</f>
        <v>#REF!</v>
      </c>
      <c r="IV145" t="e">
        <f>AND(#REF!,"AAAAAE/v9P8=")</f>
        <v>#REF!</v>
      </c>
    </row>
    <row r="146" spans="1:256" x14ac:dyDescent="0.2">
      <c r="A146" t="e">
        <f>AND(#REF!,"AAAAAH/3uwA=")</f>
        <v>#REF!</v>
      </c>
      <c r="B146" t="e">
        <f>AND(#REF!,"AAAAAH/3uwE=")</f>
        <v>#REF!</v>
      </c>
      <c r="C146" t="e">
        <f>AND(#REF!,"AAAAAH/3uwI=")</f>
        <v>#REF!</v>
      </c>
      <c r="D146" t="e">
        <f>AND(#REF!,"AAAAAH/3uwM=")</f>
        <v>#REF!</v>
      </c>
      <c r="E146" t="e">
        <f>AND(#REF!,"AAAAAH/3uwQ=")</f>
        <v>#REF!</v>
      </c>
      <c r="F146" t="e">
        <f>AND(#REF!,"AAAAAH/3uwU=")</f>
        <v>#REF!</v>
      </c>
      <c r="G146" t="e">
        <f>AND(#REF!,"AAAAAH/3uwY=")</f>
        <v>#REF!</v>
      </c>
      <c r="H146" t="e">
        <f>AND(#REF!,"AAAAAH/3uwc=")</f>
        <v>#REF!</v>
      </c>
      <c r="I146" t="e">
        <f>AND(#REF!,"AAAAAH/3uwg=")</f>
        <v>#REF!</v>
      </c>
      <c r="J146" t="e">
        <f>AND(#REF!,"AAAAAH/3uwk=")</f>
        <v>#REF!</v>
      </c>
      <c r="K146" t="e">
        <f>AND(#REF!,"AAAAAH/3uwo=")</f>
        <v>#REF!</v>
      </c>
      <c r="L146" t="e">
        <f>AND(#REF!,"AAAAAH/3uws=")</f>
        <v>#REF!</v>
      </c>
      <c r="M146" t="e">
        <f>AND(#REF!,"AAAAAH/3uww=")</f>
        <v>#REF!</v>
      </c>
      <c r="N146" t="e">
        <f>AND(#REF!,"AAAAAH/3uw0=")</f>
        <v>#REF!</v>
      </c>
      <c r="O146" t="e">
        <f>AND(#REF!,"AAAAAH/3uw4=")</f>
        <v>#REF!</v>
      </c>
      <c r="P146" t="e">
        <f>AND(#REF!,"AAAAAH/3uw8=")</f>
        <v>#REF!</v>
      </c>
      <c r="Q146" t="e">
        <f>AND(#REF!,"AAAAAH/3uxA=")</f>
        <v>#REF!</v>
      </c>
      <c r="R146" t="e">
        <f>AND(#REF!,"AAAAAH/3uxE=")</f>
        <v>#REF!</v>
      </c>
      <c r="S146" t="e">
        <f>AND(#REF!,"AAAAAH/3uxI=")</f>
        <v>#REF!</v>
      </c>
      <c r="T146" t="e">
        <f>IF(#REF!,"AAAAAH/3uxM=",0)</f>
        <v>#REF!</v>
      </c>
      <c r="U146" t="e">
        <f>AND(#REF!,"AAAAAH/3uxQ=")</f>
        <v>#REF!</v>
      </c>
      <c r="V146" t="e">
        <f>AND(#REF!,"AAAAAH/3uxU=")</f>
        <v>#REF!</v>
      </c>
      <c r="W146" t="e">
        <f>AND(#REF!,"AAAAAH/3uxY=")</f>
        <v>#REF!</v>
      </c>
      <c r="X146" t="e">
        <f>AND(#REF!,"AAAAAH/3uxc=")</f>
        <v>#REF!</v>
      </c>
      <c r="Y146" t="e">
        <f>AND(#REF!,"AAAAAH/3uxg=")</f>
        <v>#REF!</v>
      </c>
      <c r="Z146" t="e">
        <f>AND(#REF!,"AAAAAH/3uxk=")</f>
        <v>#REF!</v>
      </c>
      <c r="AA146" t="e">
        <f>AND(#REF!,"AAAAAH/3uxo=")</f>
        <v>#REF!</v>
      </c>
      <c r="AB146" t="e">
        <f>AND(#REF!,"AAAAAH/3uxs=")</f>
        <v>#REF!</v>
      </c>
      <c r="AC146" t="e">
        <f>AND(#REF!,"AAAAAH/3uxw=")</f>
        <v>#REF!</v>
      </c>
      <c r="AD146" t="e">
        <f>AND(#REF!,"AAAAAH/3ux0=")</f>
        <v>#REF!</v>
      </c>
      <c r="AE146" t="e">
        <f>AND(#REF!,"AAAAAH/3ux4=")</f>
        <v>#REF!</v>
      </c>
      <c r="AF146" t="e">
        <f>AND(#REF!,"AAAAAH/3ux8=")</f>
        <v>#REF!</v>
      </c>
      <c r="AG146" t="e">
        <f>AND(#REF!,"AAAAAH/3uyA=")</f>
        <v>#REF!</v>
      </c>
      <c r="AH146" t="e">
        <f>AND(#REF!,"AAAAAH/3uyE=")</f>
        <v>#REF!</v>
      </c>
      <c r="AI146" t="e">
        <f>AND(#REF!,"AAAAAH/3uyI=")</f>
        <v>#REF!</v>
      </c>
      <c r="AJ146" t="e">
        <f>AND(#REF!,"AAAAAH/3uyM=")</f>
        <v>#REF!</v>
      </c>
      <c r="AK146" t="e">
        <f>AND(#REF!,"AAAAAH/3uyQ=")</f>
        <v>#REF!</v>
      </c>
      <c r="AL146" t="e">
        <f>AND(#REF!,"AAAAAH/3uyU=")</f>
        <v>#REF!</v>
      </c>
      <c r="AM146" t="e">
        <f>AND(#REF!,"AAAAAH/3uyY=")</f>
        <v>#REF!</v>
      </c>
      <c r="AN146" t="e">
        <f>AND(#REF!,"AAAAAH/3uyc=")</f>
        <v>#REF!</v>
      </c>
      <c r="AO146" t="e">
        <f>AND(#REF!,"AAAAAH/3uyg=")</f>
        <v>#REF!</v>
      </c>
      <c r="AP146" t="e">
        <f>AND(#REF!,"AAAAAH/3uyk=")</f>
        <v>#REF!</v>
      </c>
      <c r="AQ146" t="e">
        <f>AND(#REF!,"AAAAAH/3uyo=")</f>
        <v>#REF!</v>
      </c>
      <c r="AR146" t="e">
        <f>AND(#REF!,"AAAAAH/3uys=")</f>
        <v>#REF!</v>
      </c>
      <c r="AS146" t="e">
        <f>AND(#REF!,"AAAAAH/3uyw=")</f>
        <v>#REF!</v>
      </c>
      <c r="AT146" t="e">
        <f>AND(#REF!,"AAAAAH/3uy0=")</f>
        <v>#REF!</v>
      </c>
      <c r="AU146" t="e">
        <f>AND(#REF!,"AAAAAH/3uy4=")</f>
        <v>#REF!</v>
      </c>
      <c r="AV146" t="e">
        <f>AND(#REF!,"AAAAAH/3uy8=")</f>
        <v>#REF!</v>
      </c>
      <c r="AW146" t="e">
        <f>AND(#REF!,"AAAAAH/3uzA=")</f>
        <v>#REF!</v>
      </c>
      <c r="AX146" t="e">
        <f>AND(#REF!,"AAAAAH/3uzE=")</f>
        <v>#REF!</v>
      </c>
      <c r="AY146" t="e">
        <f>IF(#REF!,"AAAAAH/3uzI=",0)</f>
        <v>#REF!</v>
      </c>
      <c r="AZ146" t="e">
        <f>AND(#REF!,"AAAAAH/3uzM=")</f>
        <v>#REF!</v>
      </c>
      <c r="BA146" t="e">
        <f>AND(#REF!,"AAAAAH/3uzQ=")</f>
        <v>#REF!</v>
      </c>
      <c r="BB146" t="e">
        <f>AND(#REF!,"AAAAAH/3uzU=")</f>
        <v>#REF!</v>
      </c>
      <c r="BC146" t="e">
        <f>AND(#REF!,"AAAAAH/3uzY=")</f>
        <v>#REF!</v>
      </c>
      <c r="BD146" t="e">
        <f>AND(#REF!,"AAAAAH/3uzc=")</f>
        <v>#REF!</v>
      </c>
      <c r="BE146" t="e">
        <f>AND(#REF!,"AAAAAH/3uzg=")</f>
        <v>#REF!</v>
      </c>
      <c r="BF146" t="e">
        <f>AND(#REF!,"AAAAAH/3uzk=")</f>
        <v>#REF!</v>
      </c>
      <c r="BG146" t="e">
        <f>AND(#REF!,"AAAAAH/3uzo=")</f>
        <v>#REF!</v>
      </c>
      <c r="BH146" t="e">
        <f>AND(#REF!,"AAAAAH/3uzs=")</f>
        <v>#REF!</v>
      </c>
      <c r="BI146" t="e">
        <f>AND(#REF!,"AAAAAH/3uzw=")</f>
        <v>#REF!</v>
      </c>
      <c r="BJ146" t="e">
        <f>AND(#REF!,"AAAAAH/3uz0=")</f>
        <v>#REF!</v>
      </c>
      <c r="BK146" t="e">
        <f>AND(#REF!,"AAAAAH/3uz4=")</f>
        <v>#REF!</v>
      </c>
      <c r="BL146" t="e">
        <f>AND(#REF!,"AAAAAH/3uz8=")</f>
        <v>#REF!</v>
      </c>
      <c r="BM146" t="e">
        <f>AND(#REF!,"AAAAAH/3u0A=")</f>
        <v>#REF!</v>
      </c>
      <c r="BN146" t="e">
        <f>AND(#REF!,"AAAAAH/3u0E=")</f>
        <v>#REF!</v>
      </c>
      <c r="BO146" t="e">
        <f>AND(#REF!,"AAAAAH/3u0I=")</f>
        <v>#REF!</v>
      </c>
      <c r="BP146" t="e">
        <f>AND(#REF!,"AAAAAH/3u0M=")</f>
        <v>#REF!</v>
      </c>
      <c r="BQ146" t="e">
        <f>AND(#REF!,"AAAAAH/3u0Q=")</f>
        <v>#REF!</v>
      </c>
      <c r="BR146" t="e">
        <f>AND(#REF!,"AAAAAH/3u0U=")</f>
        <v>#REF!</v>
      </c>
      <c r="BS146" t="e">
        <f>AND(#REF!,"AAAAAH/3u0Y=")</f>
        <v>#REF!</v>
      </c>
      <c r="BT146" t="e">
        <f>AND(#REF!,"AAAAAH/3u0c=")</f>
        <v>#REF!</v>
      </c>
      <c r="BU146" t="e">
        <f>AND(#REF!,"AAAAAH/3u0g=")</f>
        <v>#REF!</v>
      </c>
      <c r="BV146" t="e">
        <f>AND(#REF!,"AAAAAH/3u0k=")</f>
        <v>#REF!</v>
      </c>
      <c r="BW146" t="e">
        <f>AND(#REF!,"AAAAAH/3u0o=")</f>
        <v>#REF!</v>
      </c>
      <c r="BX146" t="e">
        <f>AND(#REF!,"AAAAAH/3u0s=")</f>
        <v>#REF!</v>
      </c>
      <c r="BY146" t="e">
        <f>AND(#REF!,"AAAAAH/3u0w=")</f>
        <v>#REF!</v>
      </c>
      <c r="BZ146" t="e">
        <f>AND(#REF!,"AAAAAH/3u00=")</f>
        <v>#REF!</v>
      </c>
      <c r="CA146" t="e">
        <f>AND(#REF!,"AAAAAH/3u04=")</f>
        <v>#REF!</v>
      </c>
      <c r="CB146" t="e">
        <f>AND(#REF!,"AAAAAH/3u08=")</f>
        <v>#REF!</v>
      </c>
      <c r="CC146" t="e">
        <f>AND(#REF!,"AAAAAH/3u1A=")</f>
        <v>#REF!</v>
      </c>
      <c r="CD146" t="e">
        <f>IF(#REF!,"AAAAAH/3u1E=",0)</f>
        <v>#REF!</v>
      </c>
      <c r="CE146" t="e">
        <f>AND(#REF!,"AAAAAH/3u1I=")</f>
        <v>#REF!</v>
      </c>
      <c r="CF146" t="e">
        <f>AND(#REF!,"AAAAAH/3u1M=")</f>
        <v>#REF!</v>
      </c>
      <c r="CG146" t="e">
        <f>AND(#REF!,"AAAAAH/3u1Q=")</f>
        <v>#REF!</v>
      </c>
      <c r="CH146" t="e">
        <f>AND(#REF!,"AAAAAH/3u1U=")</f>
        <v>#REF!</v>
      </c>
      <c r="CI146" t="e">
        <f>AND(#REF!,"AAAAAH/3u1Y=")</f>
        <v>#REF!</v>
      </c>
      <c r="CJ146" t="e">
        <f>AND(#REF!,"AAAAAH/3u1c=")</f>
        <v>#REF!</v>
      </c>
      <c r="CK146" t="e">
        <f>AND(#REF!,"AAAAAH/3u1g=")</f>
        <v>#REF!</v>
      </c>
      <c r="CL146" t="e">
        <f>AND(#REF!,"AAAAAH/3u1k=")</f>
        <v>#REF!</v>
      </c>
      <c r="CM146" t="e">
        <f>AND(#REF!,"AAAAAH/3u1o=")</f>
        <v>#REF!</v>
      </c>
      <c r="CN146" t="e">
        <f>AND(#REF!,"AAAAAH/3u1s=")</f>
        <v>#REF!</v>
      </c>
      <c r="CO146" t="e">
        <f>AND(#REF!,"AAAAAH/3u1w=")</f>
        <v>#REF!</v>
      </c>
      <c r="CP146" t="e">
        <f>AND(#REF!,"AAAAAH/3u10=")</f>
        <v>#REF!</v>
      </c>
      <c r="CQ146" t="e">
        <f>AND(#REF!,"AAAAAH/3u14=")</f>
        <v>#REF!</v>
      </c>
      <c r="CR146" t="e">
        <f>AND(#REF!,"AAAAAH/3u18=")</f>
        <v>#REF!</v>
      </c>
      <c r="CS146" t="e">
        <f>AND(#REF!,"AAAAAH/3u2A=")</f>
        <v>#REF!</v>
      </c>
      <c r="CT146" t="e">
        <f>AND(#REF!,"AAAAAH/3u2E=")</f>
        <v>#REF!</v>
      </c>
      <c r="CU146" t="e">
        <f>AND(#REF!,"AAAAAH/3u2I=")</f>
        <v>#REF!</v>
      </c>
      <c r="CV146" t="e">
        <f>AND(#REF!,"AAAAAH/3u2M=")</f>
        <v>#REF!</v>
      </c>
      <c r="CW146" t="e">
        <f>AND(#REF!,"AAAAAH/3u2Q=")</f>
        <v>#REF!</v>
      </c>
      <c r="CX146" t="e">
        <f>AND(#REF!,"AAAAAH/3u2U=")</f>
        <v>#REF!</v>
      </c>
      <c r="CY146" t="e">
        <f>AND(#REF!,"AAAAAH/3u2Y=")</f>
        <v>#REF!</v>
      </c>
      <c r="CZ146" t="e">
        <f>AND(#REF!,"AAAAAH/3u2c=")</f>
        <v>#REF!</v>
      </c>
      <c r="DA146" t="e">
        <f>AND(#REF!,"AAAAAH/3u2g=")</f>
        <v>#REF!</v>
      </c>
      <c r="DB146" t="e">
        <f>AND(#REF!,"AAAAAH/3u2k=")</f>
        <v>#REF!</v>
      </c>
      <c r="DC146" t="e">
        <f>AND(#REF!,"AAAAAH/3u2o=")</f>
        <v>#REF!</v>
      </c>
      <c r="DD146" t="e">
        <f>AND(#REF!,"AAAAAH/3u2s=")</f>
        <v>#REF!</v>
      </c>
      <c r="DE146" t="e">
        <f>AND(#REF!,"AAAAAH/3u2w=")</f>
        <v>#REF!</v>
      </c>
      <c r="DF146" t="e">
        <f>AND(#REF!,"AAAAAH/3u20=")</f>
        <v>#REF!</v>
      </c>
      <c r="DG146" t="e">
        <f>AND(#REF!,"AAAAAH/3u24=")</f>
        <v>#REF!</v>
      </c>
      <c r="DH146" t="e">
        <f>AND(#REF!,"AAAAAH/3u28=")</f>
        <v>#REF!</v>
      </c>
      <c r="DI146" t="e">
        <f>IF(#REF!,"AAAAAH/3u3A=",0)</f>
        <v>#REF!</v>
      </c>
      <c r="DJ146" t="e">
        <f>AND(#REF!,"AAAAAH/3u3E=")</f>
        <v>#REF!</v>
      </c>
      <c r="DK146" t="e">
        <f>AND(#REF!,"AAAAAH/3u3I=")</f>
        <v>#REF!</v>
      </c>
      <c r="DL146" t="e">
        <f>AND(#REF!,"AAAAAH/3u3M=")</f>
        <v>#REF!</v>
      </c>
      <c r="DM146" t="e">
        <f>AND(#REF!,"AAAAAH/3u3Q=")</f>
        <v>#REF!</v>
      </c>
      <c r="DN146" t="e">
        <f>AND(#REF!,"AAAAAH/3u3U=")</f>
        <v>#REF!</v>
      </c>
      <c r="DO146" t="e">
        <f>AND(#REF!,"AAAAAH/3u3Y=")</f>
        <v>#REF!</v>
      </c>
      <c r="DP146" t="e">
        <f>AND(#REF!,"AAAAAH/3u3c=")</f>
        <v>#REF!</v>
      </c>
      <c r="DQ146" t="e">
        <f>AND(#REF!,"AAAAAH/3u3g=")</f>
        <v>#REF!</v>
      </c>
      <c r="DR146" t="e">
        <f>AND(#REF!,"AAAAAH/3u3k=")</f>
        <v>#REF!</v>
      </c>
      <c r="DS146" t="e">
        <f>AND(#REF!,"AAAAAH/3u3o=")</f>
        <v>#REF!</v>
      </c>
      <c r="DT146" t="e">
        <f>AND(#REF!,"AAAAAH/3u3s=")</f>
        <v>#REF!</v>
      </c>
      <c r="DU146" t="e">
        <f>AND(#REF!,"AAAAAH/3u3w=")</f>
        <v>#REF!</v>
      </c>
      <c r="DV146" t="e">
        <f>AND(#REF!,"AAAAAH/3u30=")</f>
        <v>#REF!</v>
      </c>
      <c r="DW146" t="e">
        <f>AND(#REF!,"AAAAAH/3u34=")</f>
        <v>#REF!</v>
      </c>
      <c r="DX146" t="e">
        <f>AND(#REF!,"AAAAAH/3u38=")</f>
        <v>#REF!</v>
      </c>
      <c r="DY146" t="e">
        <f>AND(#REF!,"AAAAAH/3u4A=")</f>
        <v>#REF!</v>
      </c>
      <c r="DZ146" t="e">
        <f>AND(#REF!,"AAAAAH/3u4E=")</f>
        <v>#REF!</v>
      </c>
      <c r="EA146" t="e">
        <f>AND(#REF!,"AAAAAH/3u4I=")</f>
        <v>#REF!</v>
      </c>
      <c r="EB146" t="e">
        <f>AND(#REF!,"AAAAAH/3u4M=")</f>
        <v>#REF!</v>
      </c>
      <c r="EC146" t="e">
        <f>AND(#REF!,"AAAAAH/3u4Q=")</f>
        <v>#REF!</v>
      </c>
      <c r="ED146" t="e">
        <f>AND(#REF!,"AAAAAH/3u4U=")</f>
        <v>#REF!</v>
      </c>
      <c r="EE146" t="e">
        <f>AND(#REF!,"AAAAAH/3u4Y=")</f>
        <v>#REF!</v>
      </c>
      <c r="EF146" t="e">
        <f>AND(#REF!,"AAAAAH/3u4c=")</f>
        <v>#REF!</v>
      </c>
      <c r="EG146" t="e">
        <f>AND(#REF!,"AAAAAH/3u4g=")</f>
        <v>#REF!</v>
      </c>
      <c r="EH146" t="e">
        <f>AND(#REF!,"AAAAAH/3u4k=")</f>
        <v>#REF!</v>
      </c>
      <c r="EI146" t="e">
        <f>AND(#REF!,"AAAAAH/3u4o=")</f>
        <v>#REF!</v>
      </c>
      <c r="EJ146" t="e">
        <f>AND(#REF!,"AAAAAH/3u4s=")</f>
        <v>#REF!</v>
      </c>
      <c r="EK146" t="e">
        <f>AND(#REF!,"AAAAAH/3u4w=")</f>
        <v>#REF!</v>
      </c>
      <c r="EL146" t="e">
        <f>AND(#REF!,"AAAAAH/3u40=")</f>
        <v>#REF!</v>
      </c>
      <c r="EM146" t="e">
        <f>AND(#REF!,"AAAAAH/3u44=")</f>
        <v>#REF!</v>
      </c>
      <c r="EN146" t="e">
        <f>IF(#REF!,"AAAAAH/3u48=",0)</f>
        <v>#REF!</v>
      </c>
      <c r="EO146" t="e">
        <f>AND(#REF!,"AAAAAH/3u5A=")</f>
        <v>#REF!</v>
      </c>
      <c r="EP146" t="e">
        <f>AND(#REF!,"AAAAAH/3u5E=")</f>
        <v>#REF!</v>
      </c>
      <c r="EQ146" t="e">
        <f>AND(#REF!,"AAAAAH/3u5I=")</f>
        <v>#REF!</v>
      </c>
      <c r="ER146" t="e">
        <f>AND(#REF!,"AAAAAH/3u5M=")</f>
        <v>#REF!</v>
      </c>
      <c r="ES146" t="e">
        <f>AND(#REF!,"AAAAAH/3u5Q=")</f>
        <v>#REF!</v>
      </c>
      <c r="ET146" t="e">
        <f>AND(#REF!,"AAAAAH/3u5U=")</f>
        <v>#REF!</v>
      </c>
      <c r="EU146" t="e">
        <f>AND(#REF!,"AAAAAH/3u5Y=")</f>
        <v>#REF!</v>
      </c>
      <c r="EV146" t="e">
        <f>AND(#REF!,"AAAAAH/3u5c=")</f>
        <v>#REF!</v>
      </c>
      <c r="EW146" t="e">
        <f>AND(#REF!,"AAAAAH/3u5g=")</f>
        <v>#REF!</v>
      </c>
      <c r="EX146" t="e">
        <f>AND(#REF!,"AAAAAH/3u5k=")</f>
        <v>#REF!</v>
      </c>
      <c r="EY146" t="e">
        <f>AND(#REF!,"AAAAAH/3u5o=")</f>
        <v>#REF!</v>
      </c>
      <c r="EZ146" t="e">
        <f>AND(#REF!,"AAAAAH/3u5s=")</f>
        <v>#REF!</v>
      </c>
      <c r="FA146" t="e">
        <f>AND(#REF!,"AAAAAH/3u5w=")</f>
        <v>#REF!</v>
      </c>
      <c r="FB146" t="e">
        <f>AND(#REF!,"AAAAAH/3u50=")</f>
        <v>#REF!</v>
      </c>
      <c r="FC146" t="e">
        <f>AND(#REF!,"AAAAAH/3u54=")</f>
        <v>#REF!</v>
      </c>
      <c r="FD146" t="e">
        <f>AND(#REF!,"AAAAAH/3u58=")</f>
        <v>#REF!</v>
      </c>
      <c r="FE146" t="e">
        <f>AND(#REF!,"AAAAAH/3u6A=")</f>
        <v>#REF!</v>
      </c>
      <c r="FF146" t="e">
        <f>AND(#REF!,"AAAAAH/3u6E=")</f>
        <v>#REF!</v>
      </c>
      <c r="FG146" t="e">
        <f>AND(#REF!,"AAAAAH/3u6I=")</f>
        <v>#REF!</v>
      </c>
      <c r="FH146" t="e">
        <f>AND(#REF!,"AAAAAH/3u6M=")</f>
        <v>#REF!</v>
      </c>
      <c r="FI146" t="e">
        <f>AND(#REF!,"AAAAAH/3u6Q=")</f>
        <v>#REF!</v>
      </c>
      <c r="FJ146" t="e">
        <f>AND(#REF!,"AAAAAH/3u6U=")</f>
        <v>#REF!</v>
      </c>
      <c r="FK146" t="e">
        <f>AND(#REF!,"AAAAAH/3u6Y=")</f>
        <v>#REF!</v>
      </c>
      <c r="FL146" t="e">
        <f>AND(#REF!,"AAAAAH/3u6c=")</f>
        <v>#REF!</v>
      </c>
      <c r="FM146" t="e">
        <f>AND(#REF!,"AAAAAH/3u6g=")</f>
        <v>#REF!</v>
      </c>
      <c r="FN146" t="e">
        <f>AND(#REF!,"AAAAAH/3u6k=")</f>
        <v>#REF!</v>
      </c>
      <c r="FO146" t="e">
        <f>AND(#REF!,"AAAAAH/3u6o=")</f>
        <v>#REF!</v>
      </c>
      <c r="FP146" t="e">
        <f>AND(#REF!,"AAAAAH/3u6s=")</f>
        <v>#REF!</v>
      </c>
      <c r="FQ146" t="e">
        <f>AND(#REF!,"AAAAAH/3u6w=")</f>
        <v>#REF!</v>
      </c>
      <c r="FR146" t="e">
        <f>AND(#REF!,"AAAAAH/3u60=")</f>
        <v>#REF!</v>
      </c>
      <c r="FS146" t="e">
        <f>IF(#REF!,"AAAAAH/3u64=",0)</f>
        <v>#REF!</v>
      </c>
      <c r="FT146" t="e">
        <f>AND(#REF!,"AAAAAH/3u68=")</f>
        <v>#REF!</v>
      </c>
      <c r="FU146" t="e">
        <f>AND(#REF!,"AAAAAH/3u7A=")</f>
        <v>#REF!</v>
      </c>
      <c r="FV146" t="e">
        <f>AND(#REF!,"AAAAAH/3u7E=")</f>
        <v>#REF!</v>
      </c>
      <c r="FW146" t="e">
        <f>AND(#REF!,"AAAAAH/3u7I=")</f>
        <v>#REF!</v>
      </c>
      <c r="FX146" t="e">
        <f>AND(#REF!,"AAAAAH/3u7M=")</f>
        <v>#REF!</v>
      </c>
      <c r="FY146" t="e">
        <f>AND(#REF!,"AAAAAH/3u7Q=")</f>
        <v>#REF!</v>
      </c>
      <c r="FZ146" t="e">
        <f>AND(#REF!,"AAAAAH/3u7U=")</f>
        <v>#REF!</v>
      </c>
      <c r="GA146" t="e">
        <f>AND(#REF!,"AAAAAH/3u7Y=")</f>
        <v>#REF!</v>
      </c>
      <c r="GB146" t="e">
        <f>AND(#REF!,"AAAAAH/3u7c=")</f>
        <v>#REF!</v>
      </c>
      <c r="GC146" t="e">
        <f>AND(#REF!,"AAAAAH/3u7g=")</f>
        <v>#REF!</v>
      </c>
      <c r="GD146" t="e">
        <f>AND(#REF!,"AAAAAH/3u7k=")</f>
        <v>#REF!</v>
      </c>
      <c r="GE146" t="e">
        <f>AND(#REF!,"AAAAAH/3u7o=")</f>
        <v>#REF!</v>
      </c>
      <c r="GF146" t="e">
        <f>AND(#REF!,"AAAAAH/3u7s=")</f>
        <v>#REF!</v>
      </c>
      <c r="GG146" t="e">
        <f>AND(#REF!,"AAAAAH/3u7w=")</f>
        <v>#REF!</v>
      </c>
      <c r="GH146" t="e">
        <f>AND(#REF!,"AAAAAH/3u70=")</f>
        <v>#REF!</v>
      </c>
      <c r="GI146" t="e">
        <f>AND(#REF!,"AAAAAH/3u74=")</f>
        <v>#REF!</v>
      </c>
      <c r="GJ146" t="e">
        <f>AND(#REF!,"AAAAAH/3u78=")</f>
        <v>#REF!</v>
      </c>
      <c r="GK146" t="e">
        <f>AND(#REF!,"AAAAAH/3u8A=")</f>
        <v>#REF!</v>
      </c>
      <c r="GL146" t="e">
        <f>AND(#REF!,"AAAAAH/3u8E=")</f>
        <v>#REF!</v>
      </c>
      <c r="GM146" t="e">
        <f>AND(#REF!,"AAAAAH/3u8I=")</f>
        <v>#REF!</v>
      </c>
      <c r="GN146" t="e">
        <f>AND(#REF!,"AAAAAH/3u8M=")</f>
        <v>#REF!</v>
      </c>
      <c r="GO146" t="e">
        <f>AND(#REF!,"AAAAAH/3u8Q=")</f>
        <v>#REF!</v>
      </c>
      <c r="GP146" t="e">
        <f>AND(#REF!,"AAAAAH/3u8U=")</f>
        <v>#REF!</v>
      </c>
      <c r="GQ146" t="e">
        <f>AND(#REF!,"AAAAAH/3u8Y=")</f>
        <v>#REF!</v>
      </c>
      <c r="GR146" t="e">
        <f>AND(#REF!,"AAAAAH/3u8c=")</f>
        <v>#REF!</v>
      </c>
      <c r="GS146" t="e">
        <f>AND(#REF!,"AAAAAH/3u8g=")</f>
        <v>#REF!</v>
      </c>
      <c r="GT146" t="e">
        <f>AND(#REF!,"AAAAAH/3u8k=")</f>
        <v>#REF!</v>
      </c>
      <c r="GU146" t="e">
        <f>AND(#REF!,"AAAAAH/3u8o=")</f>
        <v>#REF!</v>
      </c>
      <c r="GV146" t="e">
        <f>AND(#REF!,"AAAAAH/3u8s=")</f>
        <v>#REF!</v>
      </c>
      <c r="GW146" t="e">
        <f>AND(#REF!,"AAAAAH/3u8w=")</f>
        <v>#REF!</v>
      </c>
      <c r="GX146" t="e">
        <f>IF(#REF!,"AAAAAH/3u80=",0)</f>
        <v>#REF!</v>
      </c>
      <c r="GY146" t="e">
        <f>AND(#REF!,"AAAAAH/3u84=")</f>
        <v>#REF!</v>
      </c>
      <c r="GZ146" t="e">
        <f>AND(#REF!,"AAAAAH/3u88=")</f>
        <v>#REF!</v>
      </c>
      <c r="HA146" t="e">
        <f>AND(#REF!,"AAAAAH/3u9A=")</f>
        <v>#REF!</v>
      </c>
      <c r="HB146" t="e">
        <f>AND(#REF!,"AAAAAH/3u9E=")</f>
        <v>#REF!</v>
      </c>
      <c r="HC146" t="e">
        <f>AND(#REF!,"AAAAAH/3u9I=")</f>
        <v>#REF!</v>
      </c>
      <c r="HD146" t="e">
        <f>AND(#REF!,"AAAAAH/3u9M=")</f>
        <v>#REF!</v>
      </c>
      <c r="HE146" t="e">
        <f>AND(#REF!,"AAAAAH/3u9Q=")</f>
        <v>#REF!</v>
      </c>
      <c r="HF146" t="e">
        <f>AND(#REF!,"AAAAAH/3u9U=")</f>
        <v>#REF!</v>
      </c>
      <c r="HG146" t="e">
        <f>AND(#REF!,"AAAAAH/3u9Y=")</f>
        <v>#REF!</v>
      </c>
      <c r="HH146" t="e">
        <f>AND(#REF!,"AAAAAH/3u9c=")</f>
        <v>#REF!</v>
      </c>
      <c r="HI146" t="e">
        <f>AND(#REF!,"AAAAAH/3u9g=")</f>
        <v>#REF!</v>
      </c>
      <c r="HJ146" t="e">
        <f>AND(#REF!,"AAAAAH/3u9k=")</f>
        <v>#REF!</v>
      </c>
      <c r="HK146" t="e">
        <f>AND(#REF!,"AAAAAH/3u9o=")</f>
        <v>#REF!</v>
      </c>
      <c r="HL146" t="e">
        <f>AND(#REF!,"AAAAAH/3u9s=")</f>
        <v>#REF!</v>
      </c>
      <c r="HM146" t="e">
        <f>AND(#REF!,"AAAAAH/3u9w=")</f>
        <v>#REF!</v>
      </c>
      <c r="HN146" t="e">
        <f>AND(#REF!,"AAAAAH/3u90=")</f>
        <v>#REF!</v>
      </c>
      <c r="HO146" t="e">
        <f>AND(#REF!,"AAAAAH/3u94=")</f>
        <v>#REF!</v>
      </c>
      <c r="HP146" t="e">
        <f>AND(#REF!,"AAAAAH/3u98=")</f>
        <v>#REF!</v>
      </c>
      <c r="HQ146" t="e">
        <f>AND(#REF!,"AAAAAH/3u+A=")</f>
        <v>#REF!</v>
      </c>
      <c r="HR146" t="e">
        <f>AND(#REF!,"AAAAAH/3u+E=")</f>
        <v>#REF!</v>
      </c>
      <c r="HS146" t="e">
        <f>AND(#REF!,"AAAAAH/3u+I=")</f>
        <v>#REF!</v>
      </c>
      <c r="HT146" t="e">
        <f>AND(#REF!,"AAAAAH/3u+M=")</f>
        <v>#REF!</v>
      </c>
      <c r="HU146" t="e">
        <f>AND(#REF!,"AAAAAH/3u+Q=")</f>
        <v>#REF!</v>
      </c>
      <c r="HV146" t="e">
        <f>AND(#REF!,"AAAAAH/3u+U=")</f>
        <v>#REF!</v>
      </c>
      <c r="HW146" t="e">
        <f>AND(#REF!,"AAAAAH/3u+Y=")</f>
        <v>#REF!</v>
      </c>
      <c r="HX146" t="e">
        <f>AND(#REF!,"AAAAAH/3u+c=")</f>
        <v>#REF!</v>
      </c>
      <c r="HY146" t="e">
        <f>AND(#REF!,"AAAAAH/3u+g=")</f>
        <v>#REF!</v>
      </c>
      <c r="HZ146" t="e">
        <f>AND(#REF!,"AAAAAH/3u+k=")</f>
        <v>#REF!</v>
      </c>
      <c r="IA146" t="e">
        <f>AND(#REF!,"AAAAAH/3u+o=")</f>
        <v>#REF!</v>
      </c>
      <c r="IB146" t="e">
        <f>AND(#REF!,"AAAAAH/3u+s=")</f>
        <v>#REF!</v>
      </c>
      <c r="IC146" t="e">
        <f>IF(#REF!,"AAAAAH/3u+w=",0)</f>
        <v>#REF!</v>
      </c>
      <c r="ID146" t="e">
        <f>AND(#REF!,"AAAAAH/3u+0=")</f>
        <v>#REF!</v>
      </c>
      <c r="IE146" t="e">
        <f>AND(#REF!,"AAAAAH/3u+4=")</f>
        <v>#REF!</v>
      </c>
      <c r="IF146" t="e">
        <f>AND(#REF!,"AAAAAH/3u+8=")</f>
        <v>#REF!</v>
      </c>
      <c r="IG146" t="e">
        <f>AND(#REF!,"AAAAAH/3u/A=")</f>
        <v>#REF!</v>
      </c>
      <c r="IH146" t="e">
        <f>AND(#REF!,"AAAAAH/3u/E=")</f>
        <v>#REF!</v>
      </c>
      <c r="II146" t="e">
        <f>AND(#REF!,"AAAAAH/3u/I=")</f>
        <v>#REF!</v>
      </c>
      <c r="IJ146" t="e">
        <f>AND(#REF!,"AAAAAH/3u/M=")</f>
        <v>#REF!</v>
      </c>
      <c r="IK146" t="e">
        <f>AND(#REF!,"AAAAAH/3u/Q=")</f>
        <v>#REF!</v>
      </c>
      <c r="IL146" t="e">
        <f>AND(#REF!,"AAAAAH/3u/U=")</f>
        <v>#REF!</v>
      </c>
      <c r="IM146" t="e">
        <f>AND(#REF!,"AAAAAH/3u/Y=")</f>
        <v>#REF!</v>
      </c>
      <c r="IN146" t="e">
        <f>AND(#REF!,"AAAAAH/3u/c=")</f>
        <v>#REF!</v>
      </c>
      <c r="IO146" t="e">
        <f>AND(#REF!,"AAAAAH/3u/g=")</f>
        <v>#REF!</v>
      </c>
      <c r="IP146" t="e">
        <f>AND(#REF!,"AAAAAH/3u/k=")</f>
        <v>#REF!</v>
      </c>
      <c r="IQ146" t="e">
        <f>AND(#REF!,"AAAAAH/3u/o=")</f>
        <v>#REF!</v>
      </c>
      <c r="IR146" t="e">
        <f>AND(#REF!,"AAAAAH/3u/s=")</f>
        <v>#REF!</v>
      </c>
      <c r="IS146" t="e">
        <f>AND(#REF!,"AAAAAH/3u/w=")</f>
        <v>#REF!</v>
      </c>
      <c r="IT146" t="e">
        <f>AND(#REF!,"AAAAAH/3u/0=")</f>
        <v>#REF!</v>
      </c>
      <c r="IU146" t="e">
        <f>AND(#REF!,"AAAAAH/3u/4=")</f>
        <v>#REF!</v>
      </c>
      <c r="IV146" t="e">
        <f>AND(#REF!,"AAAAAH/3u/8=")</f>
        <v>#REF!</v>
      </c>
    </row>
    <row r="147" spans="1:256" x14ac:dyDescent="0.2">
      <c r="A147" t="e">
        <f>AND(#REF!,"AAAAAC//+wA=")</f>
        <v>#REF!</v>
      </c>
      <c r="B147" t="e">
        <f>AND(#REF!,"AAAAAC//+wE=")</f>
        <v>#REF!</v>
      </c>
      <c r="C147" t="e">
        <f>AND(#REF!,"AAAAAC//+wI=")</f>
        <v>#REF!</v>
      </c>
      <c r="D147" t="e">
        <f>AND(#REF!,"AAAAAC//+wM=")</f>
        <v>#REF!</v>
      </c>
      <c r="E147" t="e">
        <f>AND(#REF!,"AAAAAC//+wQ=")</f>
        <v>#REF!</v>
      </c>
      <c r="F147" t="e">
        <f>AND(#REF!,"AAAAAC//+wU=")</f>
        <v>#REF!</v>
      </c>
      <c r="G147" t="e">
        <f>AND(#REF!,"AAAAAC//+wY=")</f>
        <v>#REF!</v>
      </c>
      <c r="H147" t="e">
        <f>AND(#REF!,"AAAAAC//+wc=")</f>
        <v>#REF!</v>
      </c>
      <c r="I147" t="e">
        <f>AND(#REF!,"AAAAAC//+wg=")</f>
        <v>#REF!</v>
      </c>
      <c r="J147" t="e">
        <f>AND(#REF!,"AAAAAC//+wk=")</f>
        <v>#REF!</v>
      </c>
      <c r="K147" t="e">
        <f>AND(#REF!,"AAAAAC//+wo=")</f>
        <v>#REF!</v>
      </c>
      <c r="L147" t="e">
        <f>IF(#REF!,"AAAAAC//+ws=",0)</f>
        <v>#REF!</v>
      </c>
      <c r="M147" t="e">
        <f>AND(#REF!,"AAAAAC//+ww=")</f>
        <v>#REF!</v>
      </c>
      <c r="N147" t="e">
        <f>AND(#REF!,"AAAAAC//+w0=")</f>
        <v>#REF!</v>
      </c>
      <c r="O147" t="e">
        <f>AND(#REF!,"AAAAAC//+w4=")</f>
        <v>#REF!</v>
      </c>
      <c r="P147" t="e">
        <f>AND(#REF!,"AAAAAC//+w8=")</f>
        <v>#REF!</v>
      </c>
      <c r="Q147" t="e">
        <f>AND(#REF!,"AAAAAC//+xA=")</f>
        <v>#REF!</v>
      </c>
      <c r="R147" t="e">
        <f>AND(#REF!,"AAAAAC//+xE=")</f>
        <v>#REF!</v>
      </c>
      <c r="S147" t="e">
        <f>AND(#REF!,"AAAAAC//+xI=")</f>
        <v>#REF!</v>
      </c>
      <c r="T147" t="e">
        <f>AND(#REF!,"AAAAAC//+xM=")</f>
        <v>#REF!</v>
      </c>
      <c r="U147" t="e">
        <f>AND(#REF!,"AAAAAC//+xQ=")</f>
        <v>#REF!</v>
      </c>
      <c r="V147" t="e">
        <f>AND(#REF!,"AAAAAC//+xU=")</f>
        <v>#REF!</v>
      </c>
      <c r="W147" t="e">
        <f>AND(#REF!,"AAAAAC//+xY=")</f>
        <v>#REF!</v>
      </c>
      <c r="X147" t="e">
        <f>AND(#REF!,"AAAAAC//+xc=")</f>
        <v>#REF!</v>
      </c>
      <c r="Y147" t="e">
        <f>AND(#REF!,"AAAAAC//+xg=")</f>
        <v>#REF!</v>
      </c>
      <c r="Z147" t="e">
        <f>AND(#REF!,"AAAAAC//+xk=")</f>
        <v>#REF!</v>
      </c>
      <c r="AA147" t="e">
        <f>AND(#REF!,"AAAAAC//+xo=")</f>
        <v>#REF!</v>
      </c>
      <c r="AB147" t="e">
        <f>AND(#REF!,"AAAAAC//+xs=")</f>
        <v>#REF!</v>
      </c>
      <c r="AC147" t="e">
        <f>AND(#REF!,"AAAAAC//+xw=")</f>
        <v>#REF!</v>
      </c>
      <c r="AD147" t="e">
        <f>AND(#REF!,"AAAAAC//+x0=")</f>
        <v>#REF!</v>
      </c>
      <c r="AE147" t="e">
        <f>AND(#REF!,"AAAAAC//+x4=")</f>
        <v>#REF!</v>
      </c>
      <c r="AF147" t="e">
        <f>AND(#REF!,"AAAAAC//+x8=")</f>
        <v>#REF!</v>
      </c>
      <c r="AG147" t="e">
        <f>AND(#REF!,"AAAAAC//+yA=")</f>
        <v>#REF!</v>
      </c>
      <c r="AH147" t="e">
        <f>AND(#REF!,"AAAAAC//+yE=")</f>
        <v>#REF!</v>
      </c>
      <c r="AI147" t="e">
        <f>AND(#REF!,"AAAAAC//+yI=")</f>
        <v>#REF!</v>
      </c>
      <c r="AJ147" t="e">
        <f>AND(#REF!,"AAAAAC//+yM=")</f>
        <v>#REF!</v>
      </c>
      <c r="AK147" t="e">
        <f>AND(#REF!,"AAAAAC//+yQ=")</f>
        <v>#REF!</v>
      </c>
      <c r="AL147" t="e">
        <f>AND(#REF!,"AAAAAC//+yU=")</f>
        <v>#REF!</v>
      </c>
      <c r="AM147" t="e">
        <f>AND(#REF!,"AAAAAC//+yY=")</f>
        <v>#REF!</v>
      </c>
      <c r="AN147" t="e">
        <f>AND(#REF!,"AAAAAC//+yc=")</f>
        <v>#REF!</v>
      </c>
      <c r="AO147" t="e">
        <f>AND(#REF!,"AAAAAC//+yg=")</f>
        <v>#REF!</v>
      </c>
      <c r="AP147" t="e">
        <f>AND(#REF!,"AAAAAC//+yk=")</f>
        <v>#REF!</v>
      </c>
      <c r="AQ147" t="e">
        <f>IF(#REF!,"AAAAAC//+yo=",0)</f>
        <v>#REF!</v>
      </c>
      <c r="AR147" t="e">
        <f>AND(#REF!,"AAAAAC//+ys=")</f>
        <v>#REF!</v>
      </c>
      <c r="AS147" t="e">
        <f>AND(#REF!,"AAAAAC//+yw=")</f>
        <v>#REF!</v>
      </c>
      <c r="AT147" t="e">
        <f>AND(#REF!,"AAAAAC//+y0=")</f>
        <v>#REF!</v>
      </c>
      <c r="AU147" t="e">
        <f>AND(#REF!,"AAAAAC//+y4=")</f>
        <v>#REF!</v>
      </c>
      <c r="AV147" t="e">
        <f>AND(#REF!,"AAAAAC//+y8=")</f>
        <v>#REF!</v>
      </c>
      <c r="AW147" t="e">
        <f>AND(#REF!,"AAAAAC//+zA=")</f>
        <v>#REF!</v>
      </c>
      <c r="AX147" t="e">
        <f>AND(#REF!,"AAAAAC//+zE=")</f>
        <v>#REF!</v>
      </c>
      <c r="AY147" t="e">
        <f>AND(#REF!,"AAAAAC//+zI=")</f>
        <v>#REF!</v>
      </c>
      <c r="AZ147" t="e">
        <f>AND(#REF!,"AAAAAC//+zM=")</f>
        <v>#REF!</v>
      </c>
      <c r="BA147" t="e">
        <f>AND(#REF!,"AAAAAC//+zQ=")</f>
        <v>#REF!</v>
      </c>
      <c r="BB147" t="e">
        <f>AND(#REF!,"AAAAAC//+zU=")</f>
        <v>#REF!</v>
      </c>
      <c r="BC147" t="e">
        <f>AND(#REF!,"AAAAAC//+zY=")</f>
        <v>#REF!</v>
      </c>
      <c r="BD147" t="e">
        <f>AND(#REF!,"AAAAAC//+zc=")</f>
        <v>#REF!</v>
      </c>
      <c r="BE147" t="e">
        <f>AND(#REF!,"AAAAAC//+zg=")</f>
        <v>#REF!</v>
      </c>
      <c r="BF147" t="e">
        <f>AND(#REF!,"AAAAAC//+zk=")</f>
        <v>#REF!</v>
      </c>
      <c r="BG147" t="e">
        <f>AND(#REF!,"AAAAAC//+zo=")</f>
        <v>#REF!</v>
      </c>
      <c r="BH147" t="e">
        <f>AND(#REF!,"AAAAAC//+zs=")</f>
        <v>#REF!</v>
      </c>
      <c r="BI147" t="e">
        <f>AND(#REF!,"AAAAAC//+zw=")</f>
        <v>#REF!</v>
      </c>
      <c r="BJ147" t="e">
        <f>AND(#REF!,"AAAAAC//+z0=")</f>
        <v>#REF!</v>
      </c>
      <c r="BK147" t="e">
        <f>AND(#REF!,"AAAAAC//+z4=")</f>
        <v>#REF!</v>
      </c>
      <c r="BL147" t="e">
        <f>AND(#REF!,"AAAAAC//+z8=")</f>
        <v>#REF!</v>
      </c>
      <c r="BM147" t="e">
        <f>AND(#REF!,"AAAAAC//+0A=")</f>
        <v>#REF!</v>
      </c>
      <c r="BN147" t="e">
        <f>AND(#REF!,"AAAAAC//+0E=")</f>
        <v>#REF!</v>
      </c>
      <c r="BO147" t="e">
        <f>AND(#REF!,"AAAAAC//+0I=")</f>
        <v>#REF!</v>
      </c>
      <c r="BP147" t="e">
        <f>AND(#REF!,"AAAAAC//+0M=")</f>
        <v>#REF!</v>
      </c>
      <c r="BQ147" t="e">
        <f>AND(#REF!,"AAAAAC//+0Q=")</f>
        <v>#REF!</v>
      </c>
      <c r="BR147" t="e">
        <f>AND(#REF!,"AAAAAC//+0U=")</f>
        <v>#REF!</v>
      </c>
      <c r="BS147" t="e">
        <f>AND(#REF!,"AAAAAC//+0Y=")</f>
        <v>#REF!</v>
      </c>
      <c r="BT147" t="e">
        <f>AND(#REF!,"AAAAAC//+0c=")</f>
        <v>#REF!</v>
      </c>
      <c r="BU147" t="e">
        <f>AND(#REF!,"AAAAAC//+0g=")</f>
        <v>#REF!</v>
      </c>
      <c r="BV147" t="e">
        <f>IF(#REF!,"AAAAAC//+0k=",0)</f>
        <v>#REF!</v>
      </c>
      <c r="BW147" t="e">
        <f>AND(#REF!,"AAAAAC//+0o=")</f>
        <v>#REF!</v>
      </c>
      <c r="BX147" t="e">
        <f>AND(#REF!,"AAAAAC//+0s=")</f>
        <v>#REF!</v>
      </c>
      <c r="BY147" t="e">
        <f>AND(#REF!,"AAAAAC//+0w=")</f>
        <v>#REF!</v>
      </c>
      <c r="BZ147" t="e">
        <f>AND(#REF!,"AAAAAC//+00=")</f>
        <v>#REF!</v>
      </c>
      <c r="CA147" t="e">
        <f>AND(#REF!,"AAAAAC//+04=")</f>
        <v>#REF!</v>
      </c>
      <c r="CB147" t="e">
        <f>AND(#REF!,"AAAAAC//+08=")</f>
        <v>#REF!</v>
      </c>
      <c r="CC147" t="e">
        <f>AND(#REF!,"AAAAAC//+1A=")</f>
        <v>#REF!</v>
      </c>
      <c r="CD147" t="e">
        <f>AND(#REF!,"AAAAAC//+1E=")</f>
        <v>#REF!</v>
      </c>
      <c r="CE147" t="e">
        <f>AND(#REF!,"AAAAAC//+1I=")</f>
        <v>#REF!</v>
      </c>
      <c r="CF147" t="e">
        <f>AND(#REF!,"AAAAAC//+1M=")</f>
        <v>#REF!</v>
      </c>
      <c r="CG147" t="e">
        <f>AND(#REF!,"AAAAAC//+1Q=")</f>
        <v>#REF!</v>
      </c>
      <c r="CH147" t="e">
        <f>AND(#REF!,"AAAAAC//+1U=")</f>
        <v>#REF!</v>
      </c>
      <c r="CI147" t="e">
        <f>AND(#REF!,"AAAAAC//+1Y=")</f>
        <v>#REF!</v>
      </c>
      <c r="CJ147" t="e">
        <f>AND(#REF!,"AAAAAC//+1c=")</f>
        <v>#REF!</v>
      </c>
      <c r="CK147" t="e">
        <f>AND(#REF!,"AAAAAC//+1g=")</f>
        <v>#REF!</v>
      </c>
      <c r="CL147" t="e">
        <f>AND(#REF!,"AAAAAC//+1k=")</f>
        <v>#REF!</v>
      </c>
      <c r="CM147" t="e">
        <f>AND(#REF!,"AAAAAC//+1o=")</f>
        <v>#REF!</v>
      </c>
      <c r="CN147" t="e">
        <f>AND(#REF!,"AAAAAC//+1s=")</f>
        <v>#REF!</v>
      </c>
      <c r="CO147" t="e">
        <f>AND(#REF!,"AAAAAC//+1w=")</f>
        <v>#REF!</v>
      </c>
      <c r="CP147" t="e">
        <f>AND(#REF!,"AAAAAC//+10=")</f>
        <v>#REF!</v>
      </c>
      <c r="CQ147" t="e">
        <f>AND(#REF!,"AAAAAC//+14=")</f>
        <v>#REF!</v>
      </c>
      <c r="CR147" t="e">
        <f>AND(#REF!,"AAAAAC//+18=")</f>
        <v>#REF!</v>
      </c>
      <c r="CS147" t="e">
        <f>AND(#REF!,"AAAAAC//+2A=")</f>
        <v>#REF!</v>
      </c>
      <c r="CT147" t="e">
        <f>AND(#REF!,"AAAAAC//+2E=")</f>
        <v>#REF!</v>
      </c>
      <c r="CU147" t="e">
        <f>AND(#REF!,"AAAAAC//+2I=")</f>
        <v>#REF!</v>
      </c>
      <c r="CV147" t="e">
        <f>AND(#REF!,"AAAAAC//+2M=")</f>
        <v>#REF!</v>
      </c>
      <c r="CW147" t="e">
        <f>AND(#REF!,"AAAAAC//+2Q=")</f>
        <v>#REF!</v>
      </c>
      <c r="CX147" t="e">
        <f>AND(#REF!,"AAAAAC//+2U=")</f>
        <v>#REF!</v>
      </c>
      <c r="CY147" t="e">
        <f>AND(#REF!,"AAAAAC//+2Y=")</f>
        <v>#REF!</v>
      </c>
      <c r="CZ147" t="e">
        <f>AND(#REF!,"AAAAAC//+2c=")</f>
        <v>#REF!</v>
      </c>
      <c r="DA147" t="e">
        <f>IF(#REF!,"AAAAAC//+2g=",0)</f>
        <v>#REF!</v>
      </c>
      <c r="DB147" t="e">
        <f>AND(#REF!,"AAAAAC//+2k=")</f>
        <v>#REF!</v>
      </c>
      <c r="DC147" t="e">
        <f>AND(#REF!,"AAAAAC//+2o=")</f>
        <v>#REF!</v>
      </c>
      <c r="DD147" t="e">
        <f>AND(#REF!,"AAAAAC//+2s=")</f>
        <v>#REF!</v>
      </c>
      <c r="DE147" t="e">
        <f>AND(#REF!,"AAAAAC//+2w=")</f>
        <v>#REF!</v>
      </c>
      <c r="DF147" t="e">
        <f>AND(#REF!,"AAAAAC//+20=")</f>
        <v>#REF!</v>
      </c>
      <c r="DG147" t="e">
        <f>AND(#REF!,"AAAAAC//+24=")</f>
        <v>#REF!</v>
      </c>
      <c r="DH147" t="e">
        <f>AND(#REF!,"AAAAAC//+28=")</f>
        <v>#REF!</v>
      </c>
      <c r="DI147" t="e">
        <f>AND(#REF!,"AAAAAC//+3A=")</f>
        <v>#REF!</v>
      </c>
      <c r="DJ147" t="e">
        <f>AND(#REF!,"AAAAAC//+3E=")</f>
        <v>#REF!</v>
      </c>
      <c r="DK147" t="e">
        <f>AND(#REF!,"AAAAAC//+3I=")</f>
        <v>#REF!</v>
      </c>
      <c r="DL147" t="e">
        <f>AND(#REF!,"AAAAAC//+3M=")</f>
        <v>#REF!</v>
      </c>
      <c r="DM147" t="e">
        <f>AND(#REF!,"AAAAAC//+3Q=")</f>
        <v>#REF!</v>
      </c>
      <c r="DN147" t="e">
        <f>AND(#REF!,"AAAAAC//+3U=")</f>
        <v>#REF!</v>
      </c>
      <c r="DO147" t="e">
        <f>AND(#REF!,"AAAAAC//+3Y=")</f>
        <v>#REF!</v>
      </c>
      <c r="DP147" t="e">
        <f>AND(#REF!,"AAAAAC//+3c=")</f>
        <v>#REF!</v>
      </c>
      <c r="DQ147" t="e">
        <f>AND(#REF!,"AAAAAC//+3g=")</f>
        <v>#REF!</v>
      </c>
      <c r="DR147" t="e">
        <f>AND(#REF!,"AAAAAC//+3k=")</f>
        <v>#REF!</v>
      </c>
      <c r="DS147" t="e">
        <f>AND(#REF!,"AAAAAC//+3o=")</f>
        <v>#REF!</v>
      </c>
      <c r="DT147" t="e">
        <f>AND(#REF!,"AAAAAC//+3s=")</f>
        <v>#REF!</v>
      </c>
      <c r="DU147" t="e">
        <f>AND(#REF!,"AAAAAC//+3w=")</f>
        <v>#REF!</v>
      </c>
      <c r="DV147" t="e">
        <f>AND(#REF!,"AAAAAC//+30=")</f>
        <v>#REF!</v>
      </c>
      <c r="DW147" t="e">
        <f>AND(#REF!,"AAAAAC//+34=")</f>
        <v>#REF!</v>
      </c>
      <c r="DX147" t="e">
        <f>AND(#REF!,"AAAAAC//+38=")</f>
        <v>#REF!</v>
      </c>
      <c r="DY147" t="e">
        <f>AND(#REF!,"AAAAAC//+4A=")</f>
        <v>#REF!</v>
      </c>
      <c r="DZ147" t="e">
        <f>AND(#REF!,"AAAAAC//+4E=")</f>
        <v>#REF!</v>
      </c>
      <c r="EA147" t="e">
        <f>AND(#REF!,"AAAAAC//+4I=")</f>
        <v>#REF!</v>
      </c>
      <c r="EB147" t="e">
        <f>AND(#REF!,"AAAAAC//+4M=")</f>
        <v>#REF!</v>
      </c>
      <c r="EC147" t="e">
        <f>AND(#REF!,"AAAAAC//+4Q=")</f>
        <v>#REF!</v>
      </c>
      <c r="ED147" t="e">
        <f>AND(#REF!,"AAAAAC//+4U=")</f>
        <v>#REF!</v>
      </c>
      <c r="EE147" t="e">
        <f>AND(#REF!,"AAAAAC//+4Y=")</f>
        <v>#REF!</v>
      </c>
      <c r="EF147" t="e">
        <f>IF(#REF!,"AAAAAC//+4c=",0)</f>
        <v>#REF!</v>
      </c>
      <c r="EG147" t="e">
        <f>AND(#REF!,"AAAAAC//+4g=")</f>
        <v>#REF!</v>
      </c>
      <c r="EH147" t="e">
        <f>AND(#REF!,"AAAAAC//+4k=")</f>
        <v>#REF!</v>
      </c>
      <c r="EI147" t="e">
        <f>AND(#REF!,"AAAAAC//+4o=")</f>
        <v>#REF!</v>
      </c>
      <c r="EJ147" t="e">
        <f>AND(#REF!,"AAAAAC//+4s=")</f>
        <v>#REF!</v>
      </c>
      <c r="EK147" t="e">
        <f>AND(#REF!,"AAAAAC//+4w=")</f>
        <v>#REF!</v>
      </c>
      <c r="EL147" t="e">
        <f>AND(#REF!,"AAAAAC//+40=")</f>
        <v>#REF!</v>
      </c>
      <c r="EM147" t="e">
        <f>AND(#REF!,"AAAAAC//+44=")</f>
        <v>#REF!</v>
      </c>
      <c r="EN147" t="e">
        <f>AND(#REF!,"AAAAAC//+48=")</f>
        <v>#REF!</v>
      </c>
      <c r="EO147" t="e">
        <f>AND(#REF!,"AAAAAC//+5A=")</f>
        <v>#REF!</v>
      </c>
      <c r="EP147" t="e">
        <f>AND(#REF!,"AAAAAC//+5E=")</f>
        <v>#REF!</v>
      </c>
      <c r="EQ147" t="e">
        <f>AND(#REF!,"AAAAAC//+5I=")</f>
        <v>#REF!</v>
      </c>
      <c r="ER147" t="e">
        <f>AND(#REF!,"AAAAAC//+5M=")</f>
        <v>#REF!</v>
      </c>
      <c r="ES147" t="e">
        <f>AND(#REF!,"AAAAAC//+5Q=")</f>
        <v>#REF!</v>
      </c>
      <c r="ET147" t="e">
        <f>AND(#REF!,"AAAAAC//+5U=")</f>
        <v>#REF!</v>
      </c>
      <c r="EU147" t="e">
        <f>AND(#REF!,"AAAAAC//+5Y=")</f>
        <v>#REF!</v>
      </c>
      <c r="EV147" t="e">
        <f>AND(#REF!,"AAAAAC//+5c=")</f>
        <v>#REF!</v>
      </c>
      <c r="EW147" t="e">
        <f>AND(#REF!,"AAAAAC//+5g=")</f>
        <v>#REF!</v>
      </c>
      <c r="EX147" t="e">
        <f>AND(#REF!,"AAAAAC//+5k=")</f>
        <v>#REF!</v>
      </c>
      <c r="EY147" t="e">
        <f>AND(#REF!,"AAAAAC//+5o=")</f>
        <v>#REF!</v>
      </c>
      <c r="EZ147" t="e">
        <f>AND(#REF!,"AAAAAC//+5s=")</f>
        <v>#REF!</v>
      </c>
      <c r="FA147" t="e">
        <f>AND(#REF!,"AAAAAC//+5w=")</f>
        <v>#REF!</v>
      </c>
      <c r="FB147" t="e">
        <f>AND(#REF!,"AAAAAC//+50=")</f>
        <v>#REF!</v>
      </c>
      <c r="FC147" t="e">
        <f>AND(#REF!,"AAAAAC//+54=")</f>
        <v>#REF!</v>
      </c>
      <c r="FD147" t="e">
        <f>AND(#REF!,"AAAAAC//+58=")</f>
        <v>#REF!</v>
      </c>
      <c r="FE147" t="e">
        <f>AND(#REF!,"AAAAAC//+6A=")</f>
        <v>#REF!</v>
      </c>
      <c r="FF147" t="e">
        <f>AND(#REF!,"AAAAAC//+6E=")</f>
        <v>#REF!</v>
      </c>
      <c r="FG147" t="e">
        <f>AND(#REF!,"AAAAAC//+6I=")</f>
        <v>#REF!</v>
      </c>
      <c r="FH147" t="e">
        <f>AND(#REF!,"AAAAAC//+6M=")</f>
        <v>#REF!</v>
      </c>
      <c r="FI147" t="e">
        <f>AND(#REF!,"AAAAAC//+6Q=")</f>
        <v>#REF!</v>
      </c>
      <c r="FJ147" t="e">
        <f>AND(#REF!,"AAAAAC//+6U=")</f>
        <v>#REF!</v>
      </c>
      <c r="FK147" t="e">
        <f>IF(#REF!,"AAAAAC//+6Y=",0)</f>
        <v>#REF!</v>
      </c>
      <c r="FL147" t="e">
        <f>AND(#REF!,"AAAAAC//+6c=")</f>
        <v>#REF!</v>
      </c>
      <c r="FM147" t="e">
        <f>AND(#REF!,"AAAAAC//+6g=")</f>
        <v>#REF!</v>
      </c>
      <c r="FN147" t="e">
        <f>AND(#REF!,"AAAAAC//+6k=")</f>
        <v>#REF!</v>
      </c>
      <c r="FO147" t="e">
        <f>AND(#REF!,"AAAAAC//+6o=")</f>
        <v>#REF!</v>
      </c>
      <c r="FP147" t="e">
        <f>AND(#REF!,"AAAAAC//+6s=")</f>
        <v>#REF!</v>
      </c>
      <c r="FQ147" t="e">
        <f>AND(#REF!,"AAAAAC//+6w=")</f>
        <v>#REF!</v>
      </c>
      <c r="FR147" t="e">
        <f>AND(#REF!,"AAAAAC//+60=")</f>
        <v>#REF!</v>
      </c>
      <c r="FS147" t="e">
        <f>AND(#REF!,"AAAAAC//+64=")</f>
        <v>#REF!</v>
      </c>
      <c r="FT147" t="e">
        <f>AND(#REF!,"AAAAAC//+68=")</f>
        <v>#REF!</v>
      </c>
      <c r="FU147" t="e">
        <f>AND(#REF!,"AAAAAC//+7A=")</f>
        <v>#REF!</v>
      </c>
      <c r="FV147" t="e">
        <f>AND(#REF!,"AAAAAC//+7E=")</f>
        <v>#REF!</v>
      </c>
      <c r="FW147" t="e">
        <f>AND(#REF!,"AAAAAC//+7I=")</f>
        <v>#REF!</v>
      </c>
      <c r="FX147" t="e">
        <f>AND(#REF!,"AAAAAC//+7M=")</f>
        <v>#REF!</v>
      </c>
      <c r="FY147" t="e">
        <f>AND(#REF!,"AAAAAC//+7Q=")</f>
        <v>#REF!</v>
      </c>
      <c r="FZ147" t="e">
        <f>AND(#REF!,"AAAAAC//+7U=")</f>
        <v>#REF!</v>
      </c>
      <c r="GA147" t="e">
        <f>AND(#REF!,"AAAAAC//+7Y=")</f>
        <v>#REF!</v>
      </c>
      <c r="GB147" t="e">
        <f>AND(#REF!,"AAAAAC//+7c=")</f>
        <v>#REF!</v>
      </c>
      <c r="GC147" t="e">
        <f>AND(#REF!,"AAAAAC//+7g=")</f>
        <v>#REF!</v>
      </c>
      <c r="GD147" t="e">
        <f>AND(#REF!,"AAAAAC//+7k=")</f>
        <v>#REF!</v>
      </c>
      <c r="GE147" t="e">
        <f>AND(#REF!,"AAAAAC//+7o=")</f>
        <v>#REF!</v>
      </c>
      <c r="GF147" t="e">
        <f>AND(#REF!,"AAAAAC//+7s=")</f>
        <v>#REF!</v>
      </c>
      <c r="GG147" t="e">
        <f>AND(#REF!,"AAAAAC//+7w=")</f>
        <v>#REF!</v>
      </c>
      <c r="GH147" t="e">
        <f>AND(#REF!,"AAAAAC//+70=")</f>
        <v>#REF!</v>
      </c>
      <c r="GI147" t="e">
        <f>AND(#REF!,"AAAAAC//+74=")</f>
        <v>#REF!</v>
      </c>
      <c r="GJ147" t="e">
        <f>AND(#REF!,"AAAAAC//+78=")</f>
        <v>#REF!</v>
      </c>
      <c r="GK147" t="e">
        <f>AND(#REF!,"AAAAAC//+8A=")</f>
        <v>#REF!</v>
      </c>
      <c r="GL147" t="e">
        <f>AND(#REF!,"AAAAAC//+8E=")</f>
        <v>#REF!</v>
      </c>
      <c r="GM147" t="e">
        <f>AND(#REF!,"AAAAAC//+8I=")</f>
        <v>#REF!</v>
      </c>
      <c r="GN147" t="e">
        <f>AND(#REF!,"AAAAAC//+8M=")</f>
        <v>#REF!</v>
      </c>
      <c r="GO147" t="e">
        <f>AND(#REF!,"AAAAAC//+8Q=")</f>
        <v>#REF!</v>
      </c>
      <c r="GP147" t="e">
        <f>IF(#REF!,"AAAAAC//+8U=",0)</f>
        <v>#REF!</v>
      </c>
      <c r="GQ147" t="e">
        <f>AND(#REF!,"AAAAAC//+8Y=")</f>
        <v>#REF!</v>
      </c>
      <c r="GR147" t="e">
        <f>AND(#REF!,"AAAAAC//+8c=")</f>
        <v>#REF!</v>
      </c>
      <c r="GS147" t="e">
        <f>AND(#REF!,"AAAAAC//+8g=")</f>
        <v>#REF!</v>
      </c>
      <c r="GT147" t="e">
        <f>AND(#REF!,"AAAAAC//+8k=")</f>
        <v>#REF!</v>
      </c>
      <c r="GU147" t="e">
        <f>AND(#REF!,"AAAAAC//+8o=")</f>
        <v>#REF!</v>
      </c>
      <c r="GV147" t="e">
        <f>AND(#REF!,"AAAAAC//+8s=")</f>
        <v>#REF!</v>
      </c>
      <c r="GW147" t="e">
        <f>AND(#REF!,"AAAAAC//+8w=")</f>
        <v>#REF!</v>
      </c>
      <c r="GX147" t="e">
        <f>AND(#REF!,"AAAAAC//+80=")</f>
        <v>#REF!</v>
      </c>
      <c r="GY147" t="e">
        <f>AND(#REF!,"AAAAAC//+84=")</f>
        <v>#REF!</v>
      </c>
      <c r="GZ147" t="e">
        <f>AND(#REF!,"AAAAAC//+88=")</f>
        <v>#REF!</v>
      </c>
      <c r="HA147" t="e">
        <f>AND(#REF!,"AAAAAC//+9A=")</f>
        <v>#REF!</v>
      </c>
      <c r="HB147" t="e">
        <f>AND(#REF!,"AAAAAC//+9E=")</f>
        <v>#REF!</v>
      </c>
      <c r="HC147" t="e">
        <f>AND(#REF!,"AAAAAC//+9I=")</f>
        <v>#REF!</v>
      </c>
      <c r="HD147" t="e">
        <f>AND(#REF!,"AAAAAC//+9M=")</f>
        <v>#REF!</v>
      </c>
      <c r="HE147" t="e">
        <f>AND(#REF!,"AAAAAC//+9Q=")</f>
        <v>#REF!</v>
      </c>
      <c r="HF147" t="e">
        <f>AND(#REF!,"AAAAAC//+9U=")</f>
        <v>#REF!</v>
      </c>
      <c r="HG147" t="e">
        <f>AND(#REF!,"AAAAAC//+9Y=")</f>
        <v>#REF!</v>
      </c>
      <c r="HH147" t="e">
        <f>AND(#REF!,"AAAAAC//+9c=")</f>
        <v>#REF!</v>
      </c>
      <c r="HI147" t="e">
        <f>AND(#REF!,"AAAAAC//+9g=")</f>
        <v>#REF!</v>
      </c>
      <c r="HJ147" t="e">
        <f>AND(#REF!,"AAAAAC//+9k=")</f>
        <v>#REF!</v>
      </c>
      <c r="HK147" t="e">
        <f>AND(#REF!,"AAAAAC//+9o=")</f>
        <v>#REF!</v>
      </c>
      <c r="HL147" t="e">
        <f>AND(#REF!,"AAAAAC//+9s=")</f>
        <v>#REF!</v>
      </c>
      <c r="HM147" t="e">
        <f>AND(#REF!,"AAAAAC//+9w=")</f>
        <v>#REF!</v>
      </c>
      <c r="HN147" t="e">
        <f>AND(#REF!,"AAAAAC//+90=")</f>
        <v>#REF!</v>
      </c>
      <c r="HO147" t="e">
        <f>AND(#REF!,"AAAAAC//+94=")</f>
        <v>#REF!</v>
      </c>
      <c r="HP147" t="e">
        <f>AND(#REF!,"AAAAAC//+98=")</f>
        <v>#REF!</v>
      </c>
      <c r="HQ147" t="e">
        <f>AND(#REF!,"AAAAAC//++A=")</f>
        <v>#REF!</v>
      </c>
      <c r="HR147" t="e">
        <f>AND(#REF!,"AAAAAC//++E=")</f>
        <v>#REF!</v>
      </c>
      <c r="HS147" t="e">
        <f>AND(#REF!,"AAAAAC//++I=")</f>
        <v>#REF!</v>
      </c>
      <c r="HT147" t="e">
        <f>AND(#REF!,"AAAAAC//++M=")</f>
        <v>#REF!</v>
      </c>
      <c r="HU147" t="e">
        <f>IF(#REF!,"AAAAAC//++Q=",0)</f>
        <v>#REF!</v>
      </c>
      <c r="HV147" t="e">
        <f>AND(#REF!,"AAAAAC//++U=")</f>
        <v>#REF!</v>
      </c>
      <c r="HW147" t="e">
        <f>AND(#REF!,"AAAAAC//++Y=")</f>
        <v>#REF!</v>
      </c>
      <c r="HX147" t="e">
        <f>AND(#REF!,"AAAAAC//++c=")</f>
        <v>#REF!</v>
      </c>
      <c r="HY147" t="e">
        <f>AND(#REF!,"AAAAAC//++g=")</f>
        <v>#REF!</v>
      </c>
      <c r="HZ147" t="e">
        <f>AND(#REF!,"AAAAAC//++k=")</f>
        <v>#REF!</v>
      </c>
      <c r="IA147" t="e">
        <f>AND(#REF!,"AAAAAC//++o=")</f>
        <v>#REF!</v>
      </c>
      <c r="IB147" t="e">
        <f>AND(#REF!,"AAAAAC//++s=")</f>
        <v>#REF!</v>
      </c>
      <c r="IC147" t="e">
        <f>AND(#REF!,"AAAAAC//++w=")</f>
        <v>#REF!</v>
      </c>
      <c r="ID147" t="e">
        <f>AND(#REF!,"AAAAAC//++0=")</f>
        <v>#REF!</v>
      </c>
      <c r="IE147" t="e">
        <f>AND(#REF!,"AAAAAC//++4=")</f>
        <v>#REF!</v>
      </c>
      <c r="IF147" t="e">
        <f>AND(#REF!,"AAAAAC//++8=")</f>
        <v>#REF!</v>
      </c>
      <c r="IG147" t="e">
        <f>AND(#REF!,"AAAAAC//+/A=")</f>
        <v>#REF!</v>
      </c>
      <c r="IH147" t="e">
        <f>AND(#REF!,"AAAAAC//+/E=")</f>
        <v>#REF!</v>
      </c>
      <c r="II147" t="e">
        <f>AND(#REF!,"AAAAAC//+/I=")</f>
        <v>#REF!</v>
      </c>
      <c r="IJ147" t="e">
        <f>AND(#REF!,"AAAAAC//+/M=")</f>
        <v>#REF!</v>
      </c>
      <c r="IK147" t="e">
        <f>AND(#REF!,"AAAAAC//+/Q=")</f>
        <v>#REF!</v>
      </c>
      <c r="IL147" t="e">
        <f>AND(#REF!,"AAAAAC//+/U=")</f>
        <v>#REF!</v>
      </c>
      <c r="IM147" t="e">
        <f>AND(#REF!,"AAAAAC//+/Y=")</f>
        <v>#REF!</v>
      </c>
      <c r="IN147" t="e">
        <f>AND(#REF!,"AAAAAC//+/c=")</f>
        <v>#REF!</v>
      </c>
      <c r="IO147" t="e">
        <f>AND(#REF!,"AAAAAC//+/g=")</f>
        <v>#REF!</v>
      </c>
      <c r="IP147" t="e">
        <f>AND(#REF!,"AAAAAC//+/k=")</f>
        <v>#REF!</v>
      </c>
      <c r="IQ147" t="e">
        <f>AND(#REF!,"AAAAAC//+/o=")</f>
        <v>#REF!</v>
      </c>
      <c r="IR147" t="e">
        <f>AND(#REF!,"AAAAAC//+/s=")</f>
        <v>#REF!</v>
      </c>
      <c r="IS147" t="e">
        <f>AND(#REF!,"AAAAAC//+/w=")</f>
        <v>#REF!</v>
      </c>
      <c r="IT147" t="e">
        <f>AND(#REF!,"AAAAAC//+/0=")</f>
        <v>#REF!</v>
      </c>
      <c r="IU147" t="e">
        <f>AND(#REF!,"AAAAAC//+/4=")</f>
        <v>#REF!</v>
      </c>
      <c r="IV147" t="e">
        <f>AND(#REF!,"AAAAAC//+/8=")</f>
        <v>#REF!</v>
      </c>
    </row>
    <row r="148" spans="1:256" x14ac:dyDescent="0.2">
      <c r="A148" t="e">
        <f>AND(#REF!,"AAAAAHv33gA=")</f>
        <v>#REF!</v>
      </c>
      <c r="B148" t="e">
        <f>AND(#REF!,"AAAAAHv33gE=")</f>
        <v>#REF!</v>
      </c>
      <c r="C148" t="e">
        <f>AND(#REF!,"AAAAAHv33gI=")</f>
        <v>#REF!</v>
      </c>
      <c r="D148" t="e">
        <f>IF(#REF!,"AAAAAHv33gM=",0)</f>
        <v>#REF!</v>
      </c>
      <c r="E148" t="e">
        <f>AND(#REF!,"AAAAAHv33gQ=")</f>
        <v>#REF!</v>
      </c>
      <c r="F148" t="e">
        <f>AND(#REF!,"AAAAAHv33gU=")</f>
        <v>#REF!</v>
      </c>
      <c r="G148" t="e">
        <f>AND(#REF!,"AAAAAHv33gY=")</f>
        <v>#REF!</v>
      </c>
      <c r="H148" t="e">
        <f>AND(#REF!,"AAAAAHv33gc=")</f>
        <v>#REF!</v>
      </c>
      <c r="I148" t="e">
        <f>AND(#REF!,"AAAAAHv33gg=")</f>
        <v>#REF!</v>
      </c>
      <c r="J148" t="e">
        <f>AND(#REF!,"AAAAAHv33gk=")</f>
        <v>#REF!</v>
      </c>
      <c r="K148" t="e">
        <f>AND(#REF!,"AAAAAHv33go=")</f>
        <v>#REF!</v>
      </c>
      <c r="L148" t="e">
        <f>AND(#REF!,"AAAAAHv33gs=")</f>
        <v>#REF!</v>
      </c>
      <c r="M148" t="e">
        <f>AND(#REF!,"AAAAAHv33gw=")</f>
        <v>#REF!</v>
      </c>
      <c r="N148" t="e">
        <f>AND(#REF!,"AAAAAHv33g0=")</f>
        <v>#REF!</v>
      </c>
      <c r="O148" t="e">
        <f>AND(#REF!,"AAAAAHv33g4=")</f>
        <v>#REF!</v>
      </c>
      <c r="P148" t="e">
        <f>AND(#REF!,"AAAAAHv33g8=")</f>
        <v>#REF!</v>
      </c>
      <c r="Q148" t="e">
        <f>AND(#REF!,"AAAAAHv33hA=")</f>
        <v>#REF!</v>
      </c>
      <c r="R148" t="e">
        <f>AND(#REF!,"AAAAAHv33hE=")</f>
        <v>#REF!</v>
      </c>
      <c r="S148" t="e">
        <f>AND(#REF!,"AAAAAHv33hI=")</f>
        <v>#REF!</v>
      </c>
      <c r="T148" t="e">
        <f>AND(#REF!,"AAAAAHv33hM=")</f>
        <v>#REF!</v>
      </c>
      <c r="U148" t="e">
        <f>AND(#REF!,"AAAAAHv33hQ=")</f>
        <v>#REF!</v>
      </c>
      <c r="V148" t="e">
        <f>AND(#REF!,"AAAAAHv33hU=")</f>
        <v>#REF!</v>
      </c>
      <c r="W148" t="e">
        <f>AND(#REF!,"AAAAAHv33hY=")</f>
        <v>#REF!</v>
      </c>
      <c r="X148" t="e">
        <f>AND(#REF!,"AAAAAHv33hc=")</f>
        <v>#REF!</v>
      </c>
      <c r="Y148" t="e">
        <f>AND(#REF!,"AAAAAHv33hg=")</f>
        <v>#REF!</v>
      </c>
      <c r="Z148" t="e">
        <f>AND(#REF!,"AAAAAHv33hk=")</f>
        <v>#REF!</v>
      </c>
      <c r="AA148" t="e">
        <f>AND(#REF!,"AAAAAHv33ho=")</f>
        <v>#REF!</v>
      </c>
      <c r="AB148" t="e">
        <f>AND(#REF!,"AAAAAHv33hs=")</f>
        <v>#REF!</v>
      </c>
      <c r="AC148" t="e">
        <f>AND(#REF!,"AAAAAHv33hw=")</f>
        <v>#REF!</v>
      </c>
      <c r="AD148" t="e">
        <f>AND(#REF!,"AAAAAHv33h0=")</f>
        <v>#REF!</v>
      </c>
      <c r="AE148" t="e">
        <f>AND(#REF!,"AAAAAHv33h4=")</f>
        <v>#REF!</v>
      </c>
      <c r="AF148" t="e">
        <f>AND(#REF!,"AAAAAHv33h8=")</f>
        <v>#REF!</v>
      </c>
      <c r="AG148" t="e">
        <f>AND(#REF!,"AAAAAHv33iA=")</f>
        <v>#REF!</v>
      </c>
      <c r="AH148" t="e">
        <f>AND(#REF!,"AAAAAHv33iE=")</f>
        <v>#REF!</v>
      </c>
      <c r="AI148" t="e">
        <f>IF(#REF!,"AAAAAHv33iI=",0)</f>
        <v>#REF!</v>
      </c>
      <c r="AJ148" t="e">
        <f>AND(#REF!,"AAAAAHv33iM=")</f>
        <v>#REF!</v>
      </c>
      <c r="AK148" t="e">
        <f>AND(#REF!,"AAAAAHv33iQ=")</f>
        <v>#REF!</v>
      </c>
      <c r="AL148" t="e">
        <f>AND(#REF!,"AAAAAHv33iU=")</f>
        <v>#REF!</v>
      </c>
      <c r="AM148" t="e">
        <f>AND(#REF!,"AAAAAHv33iY=")</f>
        <v>#REF!</v>
      </c>
      <c r="AN148" t="e">
        <f>AND(#REF!,"AAAAAHv33ic=")</f>
        <v>#REF!</v>
      </c>
      <c r="AO148" t="e">
        <f>AND(#REF!,"AAAAAHv33ig=")</f>
        <v>#REF!</v>
      </c>
      <c r="AP148" t="e">
        <f>AND(#REF!,"AAAAAHv33ik=")</f>
        <v>#REF!</v>
      </c>
      <c r="AQ148" t="e">
        <f>AND(#REF!,"AAAAAHv33io=")</f>
        <v>#REF!</v>
      </c>
      <c r="AR148" t="e">
        <f>AND(#REF!,"AAAAAHv33is=")</f>
        <v>#REF!</v>
      </c>
      <c r="AS148" t="e">
        <f>AND(#REF!,"AAAAAHv33iw=")</f>
        <v>#REF!</v>
      </c>
      <c r="AT148" t="e">
        <f>AND(#REF!,"AAAAAHv33i0=")</f>
        <v>#REF!</v>
      </c>
      <c r="AU148" t="e">
        <f>AND(#REF!,"AAAAAHv33i4=")</f>
        <v>#REF!</v>
      </c>
      <c r="AV148" t="e">
        <f>AND(#REF!,"AAAAAHv33i8=")</f>
        <v>#REF!</v>
      </c>
      <c r="AW148" t="e">
        <f>AND(#REF!,"AAAAAHv33jA=")</f>
        <v>#REF!</v>
      </c>
      <c r="AX148" t="e">
        <f>AND(#REF!,"AAAAAHv33jE=")</f>
        <v>#REF!</v>
      </c>
      <c r="AY148" t="e">
        <f>AND(#REF!,"AAAAAHv33jI=")</f>
        <v>#REF!</v>
      </c>
      <c r="AZ148" t="e">
        <f>AND(#REF!,"AAAAAHv33jM=")</f>
        <v>#REF!</v>
      </c>
      <c r="BA148" t="e">
        <f>AND(#REF!,"AAAAAHv33jQ=")</f>
        <v>#REF!</v>
      </c>
      <c r="BB148" t="e">
        <f>AND(#REF!,"AAAAAHv33jU=")</f>
        <v>#REF!</v>
      </c>
      <c r="BC148" t="e">
        <f>AND(#REF!,"AAAAAHv33jY=")</f>
        <v>#REF!</v>
      </c>
      <c r="BD148" t="e">
        <f>AND(#REF!,"AAAAAHv33jc=")</f>
        <v>#REF!</v>
      </c>
      <c r="BE148" t="e">
        <f>AND(#REF!,"AAAAAHv33jg=")</f>
        <v>#REF!</v>
      </c>
      <c r="BF148" t="e">
        <f>AND(#REF!,"AAAAAHv33jk=")</f>
        <v>#REF!</v>
      </c>
      <c r="BG148" t="e">
        <f>AND(#REF!,"AAAAAHv33jo=")</f>
        <v>#REF!</v>
      </c>
      <c r="BH148" t="e">
        <f>AND(#REF!,"AAAAAHv33js=")</f>
        <v>#REF!</v>
      </c>
      <c r="BI148" t="e">
        <f>AND(#REF!,"AAAAAHv33jw=")</f>
        <v>#REF!</v>
      </c>
      <c r="BJ148" t="e">
        <f>AND(#REF!,"AAAAAHv33j0=")</f>
        <v>#REF!</v>
      </c>
      <c r="BK148" t="e">
        <f>AND(#REF!,"AAAAAHv33j4=")</f>
        <v>#REF!</v>
      </c>
      <c r="BL148" t="e">
        <f>AND(#REF!,"AAAAAHv33j8=")</f>
        <v>#REF!</v>
      </c>
      <c r="BM148" t="e">
        <f>AND(#REF!,"AAAAAHv33kA=")</f>
        <v>#REF!</v>
      </c>
      <c r="BN148" t="e">
        <f>IF(#REF!,"AAAAAHv33kE=",0)</f>
        <v>#REF!</v>
      </c>
      <c r="BO148" t="e">
        <f>AND(#REF!,"AAAAAHv33kI=")</f>
        <v>#REF!</v>
      </c>
      <c r="BP148" t="e">
        <f>AND(#REF!,"AAAAAHv33kM=")</f>
        <v>#REF!</v>
      </c>
      <c r="BQ148" t="e">
        <f>AND(#REF!,"AAAAAHv33kQ=")</f>
        <v>#REF!</v>
      </c>
      <c r="BR148" t="e">
        <f>AND(#REF!,"AAAAAHv33kU=")</f>
        <v>#REF!</v>
      </c>
      <c r="BS148" t="e">
        <f>AND(#REF!,"AAAAAHv33kY=")</f>
        <v>#REF!</v>
      </c>
      <c r="BT148" t="e">
        <f>AND(#REF!,"AAAAAHv33kc=")</f>
        <v>#REF!</v>
      </c>
      <c r="BU148" t="e">
        <f>AND(#REF!,"AAAAAHv33kg=")</f>
        <v>#REF!</v>
      </c>
      <c r="BV148" t="e">
        <f>AND(#REF!,"AAAAAHv33kk=")</f>
        <v>#REF!</v>
      </c>
      <c r="BW148" t="e">
        <f>AND(#REF!,"AAAAAHv33ko=")</f>
        <v>#REF!</v>
      </c>
      <c r="BX148" t="e">
        <f>AND(#REF!,"AAAAAHv33ks=")</f>
        <v>#REF!</v>
      </c>
      <c r="BY148" t="e">
        <f>AND(#REF!,"AAAAAHv33kw=")</f>
        <v>#REF!</v>
      </c>
      <c r="BZ148" t="e">
        <f>AND(#REF!,"AAAAAHv33k0=")</f>
        <v>#REF!</v>
      </c>
      <c r="CA148" t="e">
        <f>AND(#REF!,"AAAAAHv33k4=")</f>
        <v>#REF!</v>
      </c>
      <c r="CB148" t="e">
        <f>AND(#REF!,"AAAAAHv33k8=")</f>
        <v>#REF!</v>
      </c>
      <c r="CC148" t="e">
        <f>AND(#REF!,"AAAAAHv33lA=")</f>
        <v>#REF!</v>
      </c>
      <c r="CD148" t="e">
        <f>AND(#REF!,"AAAAAHv33lE=")</f>
        <v>#REF!</v>
      </c>
      <c r="CE148" t="e">
        <f>AND(#REF!,"AAAAAHv33lI=")</f>
        <v>#REF!</v>
      </c>
      <c r="CF148" t="e">
        <f>AND(#REF!,"AAAAAHv33lM=")</f>
        <v>#REF!</v>
      </c>
      <c r="CG148" t="e">
        <f>AND(#REF!,"AAAAAHv33lQ=")</f>
        <v>#REF!</v>
      </c>
      <c r="CH148" t="e">
        <f>AND(#REF!,"AAAAAHv33lU=")</f>
        <v>#REF!</v>
      </c>
      <c r="CI148" t="e">
        <f>AND(#REF!,"AAAAAHv33lY=")</f>
        <v>#REF!</v>
      </c>
      <c r="CJ148" t="e">
        <f>AND(#REF!,"AAAAAHv33lc=")</f>
        <v>#REF!</v>
      </c>
      <c r="CK148" t="e">
        <f>AND(#REF!,"AAAAAHv33lg=")</f>
        <v>#REF!</v>
      </c>
      <c r="CL148" t="e">
        <f>AND(#REF!,"AAAAAHv33lk=")</f>
        <v>#REF!</v>
      </c>
      <c r="CM148" t="e">
        <f>AND(#REF!,"AAAAAHv33lo=")</f>
        <v>#REF!</v>
      </c>
      <c r="CN148" t="e">
        <f>AND(#REF!,"AAAAAHv33ls=")</f>
        <v>#REF!</v>
      </c>
      <c r="CO148" t="e">
        <f>AND(#REF!,"AAAAAHv33lw=")</f>
        <v>#REF!</v>
      </c>
      <c r="CP148" t="e">
        <f>AND(#REF!,"AAAAAHv33l0=")</f>
        <v>#REF!</v>
      </c>
      <c r="CQ148" t="e">
        <f>AND(#REF!,"AAAAAHv33l4=")</f>
        <v>#REF!</v>
      </c>
      <c r="CR148" t="e">
        <f>AND(#REF!,"AAAAAHv33l8=")</f>
        <v>#REF!</v>
      </c>
      <c r="CS148" t="e">
        <f>IF(#REF!,"AAAAAHv33mA=",0)</f>
        <v>#REF!</v>
      </c>
      <c r="CT148" t="e">
        <f>AND(#REF!,"AAAAAHv33mE=")</f>
        <v>#REF!</v>
      </c>
      <c r="CU148" t="e">
        <f>AND(#REF!,"AAAAAHv33mI=")</f>
        <v>#REF!</v>
      </c>
      <c r="CV148" t="e">
        <f>AND(#REF!,"AAAAAHv33mM=")</f>
        <v>#REF!</v>
      </c>
      <c r="CW148" t="e">
        <f>AND(#REF!,"AAAAAHv33mQ=")</f>
        <v>#REF!</v>
      </c>
      <c r="CX148" t="e">
        <f>AND(#REF!,"AAAAAHv33mU=")</f>
        <v>#REF!</v>
      </c>
      <c r="CY148" t="e">
        <f>AND(#REF!,"AAAAAHv33mY=")</f>
        <v>#REF!</v>
      </c>
      <c r="CZ148" t="e">
        <f>AND(#REF!,"AAAAAHv33mc=")</f>
        <v>#REF!</v>
      </c>
      <c r="DA148" t="e">
        <f>AND(#REF!,"AAAAAHv33mg=")</f>
        <v>#REF!</v>
      </c>
      <c r="DB148" t="e">
        <f>AND(#REF!,"AAAAAHv33mk=")</f>
        <v>#REF!</v>
      </c>
      <c r="DC148" t="e">
        <f>AND(#REF!,"AAAAAHv33mo=")</f>
        <v>#REF!</v>
      </c>
      <c r="DD148" t="e">
        <f>AND(#REF!,"AAAAAHv33ms=")</f>
        <v>#REF!</v>
      </c>
      <c r="DE148" t="e">
        <f>AND(#REF!,"AAAAAHv33mw=")</f>
        <v>#REF!</v>
      </c>
      <c r="DF148" t="e">
        <f>AND(#REF!,"AAAAAHv33m0=")</f>
        <v>#REF!</v>
      </c>
      <c r="DG148" t="e">
        <f>AND(#REF!,"AAAAAHv33m4=")</f>
        <v>#REF!</v>
      </c>
      <c r="DH148" t="e">
        <f>AND(#REF!,"AAAAAHv33m8=")</f>
        <v>#REF!</v>
      </c>
      <c r="DI148" t="e">
        <f>AND(#REF!,"AAAAAHv33nA=")</f>
        <v>#REF!</v>
      </c>
      <c r="DJ148" t="e">
        <f>AND(#REF!,"AAAAAHv33nE=")</f>
        <v>#REF!</v>
      </c>
      <c r="DK148" t="e">
        <f>AND(#REF!,"AAAAAHv33nI=")</f>
        <v>#REF!</v>
      </c>
      <c r="DL148" t="e">
        <f>AND(#REF!,"AAAAAHv33nM=")</f>
        <v>#REF!</v>
      </c>
      <c r="DM148" t="e">
        <f>AND(#REF!,"AAAAAHv33nQ=")</f>
        <v>#REF!</v>
      </c>
      <c r="DN148" t="e">
        <f>AND(#REF!,"AAAAAHv33nU=")</f>
        <v>#REF!</v>
      </c>
      <c r="DO148" t="e">
        <f>AND(#REF!,"AAAAAHv33nY=")</f>
        <v>#REF!</v>
      </c>
      <c r="DP148" t="e">
        <f>AND(#REF!,"AAAAAHv33nc=")</f>
        <v>#REF!</v>
      </c>
      <c r="DQ148" t="e">
        <f>AND(#REF!,"AAAAAHv33ng=")</f>
        <v>#REF!</v>
      </c>
      <c r="DR148" t="e">
        <f>AND(#REF!,"AAAAAHv33nk=")</f>
        <v>#REF!</v>
      </c>
      <c r="DS148" t="e">
        <f>AND(#REF!,"AAAAAHv33no=")</f>
        <v>#REF!</v>
      </c>
      <c r="DT148" t="e">
        <f>AND(#REF!,"AAAAAHv33ns=")</f>
        <v>#REF!</v>
      </c>
      <c r="DU148" t="e">
        <f>AND(#REF!,"AAAAAHv33nw=")</f>
        <v>#REF!</v>
      </c>
      <c r="DV148" t="e">
        <f>AND(#REF!,"AAAAAHv33n0=")</f>
        <v>#REF!</v>
      </c>
      <c r="DW148" t="e">
        <f>AND(#REF!,"AAAAAHv33n4=")</f>
        <v>#REF!</v>
      </c>
      <c r="DX148" t="e">
        <f>IF(#REF!,"AAAAAHv33n8=",0)</f>
        <v>#REF!</v>
      </c>
      <c r="DY148" t="e">
        <f>AND(#REF!,"AAAAAHv33oA=")</f>
        <v>#REF!</v>
      </c>
      <c r="DZ148" t="e">
        <f>AND(#REF!,"AAAAAHv33oE=")</f>
        <v>#REF!</v>
      </c>
      <c r="EA148" t="e">
        <f>AND(#REF!,"AAAAAHv33oI=")</f>
        <v>#REF!</v>
      </c>
      <c r="EB148" t="e">
        <f>AND(#REF!,"AAAAAHv33oM=")</f>
        <v>#REF!</v>
      </c>
      <c r="EC148" t="e">
        <f>AND(#REF!,"AAAAAHv33oQ=")</f>
        <v>#REF!</v>
      </c>
      <c r="ED148" t="e">
        <f>AND(#REF!,"AAAAAHv33oU=")</f>
        <v>#REF!</v>
      </c>
      <c r="EE148" t="e">
        <f>AND(#REF!,"AAAAAHv33oY=")</f>
        <v>#REF!</v>
      </c>
      <c r="EF148" t="e">
        <f>AND(#REF!,"AAAAAHv33oc=")</f>
        <v>#REF!</v>
      </c>
      <c r="EG148" t="e">
        <f>AND(#REF!,"AAAAAHv33og=")</f>
        <v>#REF!</v>
      </c>
      <c r="EH148" t="e">
        <f>AND(#REF!,"AAAAAHv33ok=")</f>
        <v>#REF!</v>
      </c>
      <c r="EI148" t="e">
        <f>AND(#REF!,"AAAAAHv33oo=")</f>
        <v>#REF!</v>
      </c>
      <c r="EJ148" t="e">
        <f>AND(#REF!,"AAAAAHv33os=")</f>
        <v>#REF!</v>
      </c>
      <c r="EK148" t="e">
        <f>AND(#REF!,"AAAAAHv33ow=")</f>
        <v>#REF!</v>
      </c>
      <c r="EL148" t="e">
        <f>AND(#REF!,"AAAAAHv33o0=")</f>
        <v>#REF!</v>
      </c>
      <c r="EM148" t="e">
        <f>AND(#REF!,"AAAAAHv33o4=")</f>
        <v>#REF!</v>
      </c>
      <c r="EN148" t="e">
        <f>AND(#REF!,"AAAAAHv33o8=")</f>
        <v>#REF!</v>
      </c>
      <c r="EO148" t="e">
        <f>AND(#REF!,"AAAAAHv33pA=")</f>
        <v>#REF!</v>
      </c>
      <c r="EP148" t="e">
        <f>AND(#REF!,"AAAAAHv33pE=")</f>
        <v>#REF!</v>
      </c>
      <c r="EQ148" t="e">
        <f>AND(#REF!,"AAAAAHv33pI=")</f>
        <v>#REF!</v>
      </c>
      <c r="ER148" t="e">
        <f>AND(#REF!,"AAAAAHv33pM=")</f>
        <v>#REF!</v>
      </c>
      <c r="ES148" t="e">
        <f>AND(#REF!,"AAAAAHv33pQ=")</f>
        <v>#REF!</v>
      </c>
      <c r="ET148" t="e">
        <f>AND(#REF!,"AAAAAHv33pU=")</f>
        <v>#REF!</v>
      </c>
      <c r="EU148" t="e">
        <f>AND(#REF!,"AAAAAHv33pY=")</f>
        <v>#REF!</v>
      </c>
      <c r="EV148" t="e">
        <f>AND(#REF!,"AAAAAHv33pc=")</f>
        <v>#REF!</v>
      </c>
      <c r="EW148" t="e">
        <f>AND(#REF!,"AAAAAHv33pg=")</f>
        <v>#REF!</v>
      </c>
      <c r="EX148" t="e">
        <f>AND(#REF!,"AAAAAHv33pk=")</f>
        <v>#REF!</v>
      </c>
      <c r="EY148" t="e">
        <f>AND(#REF!,"AAAAAHv33po=")</f>
        <v>#REF!</v>
      </c>
      <c r="EZ148" t="e">
        <f>AND(#REF!,"AAAAAHv33ps=")</f>
        <v>#REF!</v>
      </c>
      <c r="FA148" t="e">
        <f>AND(#REF!,"AAAAAHv33pw=")</f>
        <v>#REF!</v>
      </c>
      <c r="FB148" t="e">
        <f>AND(#REF!,"AAAAAHv33p0=")</f>
        <v>#REF!</v>
      </c>
      <c r="FC148" t="e">
        <f>IF(#REF!,"AAAAAHv33p4=",0)</f>
        <v>#REF!</v>
      </c>
      <c r="FD148" t="e">
        <f>AND(#REF!,"AAAAAHv33p8=")</f>
        <v>#REF!</v>
      </c>
      <c r="FE148" t="e">
        <f>AND(#REF!,"AAAAAHv33qA=")</f>
        <v>#REF!</v>
      </c>
      <c r="FF148" t="e">
        <f>AND(#REF!,"AAAAAHv33qE=")</f>
        <v>#REF!</v>
      </c>
      <c r="FG148" t="e">
        <f>AND(#REF!,"AAAAAHv33qI=")</f>
        <v>#REF!</v>
      </c>
      <c r="FH148" t="e">
        <f>AND(#REF!,"AAAAAHv33qM=")</f>
        <v>#REF!</v>
      </c>
      <c r="FI148" t="e">
        <f>AND(#REF!,"AAAAAHv33qQ=")</f>
        <v>#REF!</v>
      </c>
      <c r="FJ148" t="e">
        <f>AND(#REF!,"AAAAAHv33qU=")</f>
        <v>#REF!</v>
      </c>
      <c r="FK148" t="e">
        <f>AND(#REF!,"AAAAAHv33qY=")</f>
        <v>#REF!</v>
      </c>
      <c r="FL148" t="e">
        <f>AND(#REF!,"AAAAAHv33qc=")</f>
        <v>#REF!</v>
      </c>
      <c r="FM148" t="e">
        <f>AND(#REF!,"AAAAAHv33qg=")</f>
        <v>#REF!</v>
      </c>
      <c r="FN148" t="e">
        <f>AND(#REF!,"AAAAAHv33qk=")</f>
        <v>#REF!</v>
      </c>
      <c r="FO148" t="e">
        <f>AND(#REF!,"AAAAAHv33qo=")</f>
        <v>#REF!</v>
      </c>
      <c r="FP148" t="e">
        <f>AND(#REF!,"AAAAAHv33qs=")</f>
        <v>#REF!</v>
      </c>
      <c r="FQ148" t="e">
        <f>AND(#REF!,"AAAAAHv33qw=")</f>
        <v>#REF!</v>
      </c>
      <c r="FR148" t="e">
        <f>AND(#REF!,"AAAAAHv33q0=")</f>
        <v>#REF!</v>
      </c>
      <c r="FS148" t="e">
        <f>AND(#REF!,"AAAAAHv33q4=")</f>
        <v>#REF!</v>
      </c>
      <c r="FT148" t="e">
        <f>AND(#REF!,"AAAAAHv33q8=")</f>
        <v>#REF!</v>
      </c>
      <c r="FU148" t="e">
        <f>AND(#REF!,"AAAAAHv33rA=")</f>
        <v>#REF!</v>
      </c>
      <c r="FV148" t="e">
        <f>AND(#REF!,"AAAAAHv33rE=")</f>
        <v>#REF!</v>
      </c>
      <c r="FW148" t="e">
        <f>AND(#REF!,"AAAAAHv33rI=")</f>
        <v>#REF!</v>
      </c>
      <c r="FX148" t="e">
        <f>AND(#REF!,"AAAAAHv33rM=")</f>
        <v>#REF!</v>
      </c>
      <c r="FY148" t="e">
        <f>AND(#REF!,"AAAAAHv33rQ=")</f>
        <v>#REF!</v>
      </c>
      <c r="FZ148" t="e">
        <f>AND(#REF!,"AAAAAHv33rU=")</f>
        <v>#REF!</v>
      </c>
      <c r="GA148" t="e">
        <f>AND(#REF!,"AAAAAHv33rY=")</f>
        <v>#REF!</v>
      </c>
      <c r="GB148" t="e">
        <f>AND(#REF!,"AAAAAHv33rc=")</f>
        <v>#REF!</v>
      </c>
      <c r="GC148" t="e">
        <f>AND(#REF!,"AAAAAHv33rg=")</f>
        <v>#REF!</v>
      </c>
      <c r="GD148" t="e">
        <f>AND(#REF!,"AAAAAHv33rk=")</f>
        <v>#REF!</v>
      </c>
      <c r="GE148" t="e">
        <f>AND(#REF!,"AAAAAHv33ro=")</f>
        <v>#REF!</v>
      </c>
      <c r="GF148" t="e">
        <f>AND(#REF!,"AAAAAHv33rs=")</f>
        <v>#REF!</v>
      </c>
      <c r="GG148" t="e">
        <f>AND(#REF!,"AAAAAHv33rw=")</f>
        <v>#REF!</v>
      </c>
      <c r="GH148" t="e">
        <f>IF(#REF!,"AAAAAHv33r0=",0)</f>
        <v>#REF!</v>
      </c>
      <c r="GI148" t="e">
        <f>AND(#REF!,"AAAAAHv33r4=")</f>
        <v>#REF!</v>
      </c>
      <c r="GJ148" t="e">
        <f>AND(#REF!,"AAAAAHv33r8=")</f>
        <v>#REF!</v>
      </c>
      <c r="GK148" t="e">
        <f>AND(#REF!,"AAAAAHv33sA=")</f>
        <v>#REF!</v>
      </c>
      <c r="GL148" t="e">
        <f>AND(#REF!,"AAAAAHv33sE=")</f>
        <v>#REF!</v>
      </c>
      <c r="GM148" t="e">
        <f>AND(#REF!,"AAAAAHv33sI=")</f>
        <v>#REF!</v>
      </c>
      <c r="GN148" t="e">
        <f>AND(#REF!,"AAAAAHv33sM=")</f>
        <v>#REF!</v>
      </c>
      <c r="GO148" t="e">
        <f>AND(#REF!,"AAAAAHv33sQ=")</f>
        <v>#REF!</v>
      </c>
      <c r="GP148" t="e">
        <f>AND(#REF!,"AAAAAHv33sU=")</f>
        <v>#REF!</v>
      </c>
      <c r="GQ148" t="e">
        <f>AND(#REF!,"AAAAAHv33sY=")</f>
        <v>#REF!</v>
      </c>
      <c r="GR148" t="e">
        <f>AND(#REF!,"AAAAAHv33sc=")</f>
        <v>#REF!</v>
      </c>
      <c r="GS148" t="e">
        <f>AND(#REF!,"AAAAAHv33sg=")</f>
        <v>#REF!</v>
      </c>
      <c r="GT148" t="e">
        <f>AND(#REF!,"AAAAAHv33sk=")</f>
        <v>#REF!</v>
      </c>
      <c r="GU148" t="e">
        <f>AND(#REF!,"AAAAAHv33so=")</f>
        <v>#REF!</v>
      </c>
      <c r="GV148" t="e">
        <f>AND(#REF!,"AAAAAHv33ss=")</f>
        <v>#REF!</v>
      </c>
      <c r="GW148" t="e">
        <f>AND(#REF!,"AAAAAHv33sw=")</f>
        <v>#REF!</v>
      </c>
      <c r="GX148" t="e">
        <f>AND(#REF!,"AAAAAHv33s0=")</f>
        <v>#REF!</v>
      </c>
      <c r="GY148" t="e">
        <f>AND(#REF!,"AAAAAHv33s4=")</f>
        <v>#REF!</v>
      </c>
      <c r="GZ148" t="e">
        <f>AND(#REF!,"AAAAAHv33s8=")</f>
        <v>#REF!</v>
      </c>
      <c r="HA148" t="e">
        <f>AND(#REF!,"AAAAAHv33tA=")</f>
        <v>#REF!</v>
      </c>
      <c r="HB148" t="e">
        <f>AND(#REF!,"AAAAAHv33tE=")</f>
        <v>#REF!</v>
      </c>
      <c r="HC148" t="e">
        <f>AND(#REF!,"AAAAAHv33tI=")</f>
        <v>#REF!</v>
      </c>
      <c r="HD148" t="e">
        <f>AND(#REF!,"AAAAAHv33tM=")</f>
        <v>#REF!</v>
      </c>
      <c r="HE148" t="e">
        <f>AND(#REF!,"AAAAAHv33tQ=")</f>
        <v>#REF!</v>
      </c>
      <c r="HF148" t="e">
        <f>AND(#REF!,"AAAAAHv33tU=")</f>
        <v>#REF!</v>
      </c>
      <c r="HG148" t="e">
        <f>AND(#REF!,"AAAAAHv33tY=")</f>
        <v>#REF!</v>
      </c>
      <c r="HH148" t="e">
        <f>AND(#REF!,"AAAAAHv33tc=")</f>
        <v>#REF!</v>
      </c>
      <c r="HI148" t="e">
        <f>AND(#REF!,"AAAAAHv33tg=")</f>
        <v>#REF!</v>
      </c>
      <c r="HJ148" t="e">
        <f>AND(#REF!,"AAAAAHv33tk=")</f>
        <v>#REF!</v>
      </c>
      <c r="HK148" t="e">
        <f>AND(#REF!,"AAAAAHv33to=")</f>
        <v>#REF!</v>
      </c>
      <c r="HL148" t="e">
        <f>AND(#REF!,"AAAAAHv33ts=")</f>
        <v>#REF!</v>
      </c>
      <c r="HM148" t="e">
        <f>IF(#REF!,"AAAAAHv33tw=",0)</f>
        <v>#REF!</v>
      </c>
      <c r="HN148" t="e">
        <f>AND(#REF!,"AAAAAHv33t0=")</f>
        <v>#REF!</v>
      </c>
      <c r="HO148" t="e">
        <f>AND(#REF!,"AAAAAHv33t4=")</f>
        <v>#REF!</v>
      </c>
      <c r="HP148" t="e">
        <f>AND(#REF!,"AAAAAHv33t8=")</f>
        <v>#REF!</v>
      </c>
      <c r="HQ148" t="e">
        <f>AND(#REF!,"AAAAAHv33uA=")</f>
        <v>#REF!</v>
      </c>
      <c r="HR148" t="e">
        <f>AND(#REF!,"AAAAAHv33uE=")</f>
        <v>#REF!</v>
      </c>
      <c r="HS148" t="e">
        <f>AND(#REF!,"AAAAAHv33uI=")</f>
        <v>#REF!</v>
      </c>
      <c r="HT148" t="e">
        <f>AND(#REF!,"AAAAAHv33uM=")</f>
        <v>#REF!</v>
      </c>
      <c r="HU148" t="e">
        <f>AND(#REF!,"AAAAAHv33uQ=")</f>
        <v>#REF!</v>
      </c>
      <c r="HV148" t="e">
        <f>AND(#REF!,"AAAAAHv33uU=")</f>
        <v>#REF!</v>
      </c>
      <c r="HW148" t="e">
        <f>AND(#REF!,"AAAAAHv33uY=")</f>
        <v>#REF!</v>
      </c>
      <c r="HX148" t="e">
        <f>AND(#REF!,"AAAAAHv33uc=")</f>
        <v>#REF!</v>
      </c>
      <c r="HY148" t="e">
        <f>AND(#REF!,"AAAAAHv33ug=")</f>
        <v>#REF!</v>
      </c>
      <c r="HZ148" t="e">
        <f>AND(#REF!,"AAAAAHv33uk=")</f>
        <v>#REF!</v>
      </c>
      <c r="IA148" t="e">
        <f>AND(#REF!,"AAAAAHv33uo=")</f>
        <v>#REF!</v>
      </c>
      <c r="IB148" t="e">
        <f>AND(#REF!,"AAAAAHv33us=")</f>
        <v>#REF!</v>
      </c>
      <c r="IC148" t="e">
        <f>AND(#REF!,"AAAAAHv33uw=")</f>
        <v>#REF!</v>
      </c>
      <c r="ID148" t="e">
        <f>AND(#REF!,"AAAAAHv33u0=")</f>
        <v>#REF!</v>
      </c>
      <c r="IE148" t="e">
        <f>AND(#REF!,"AAAAAHv33u4=")</f>
        <v>#REF!</v>
      </c>
      <c r="IF148" t="e">
        <f>AND(#REF!,"AAAAAHv33u8=")</f>
        <v>#REF!</v>
      </c>
      <c r="IG148" t="e">
        <f>AND(#REF!,"AAAAAHv33vA=")</f>
        <v>#REF!</v>
      </c>
      <c r="IH148" t="e">
        <f>AND(#REF!,"AAAAAHv33vE=")</f>
        <v>#REF!</v>
      </c>
      <c r="II148" t="e">
        <f>AND(#REF!,"AAAAAHv33vI=")</f>
        <v>#REF!</v>
      </c>
      <c r="IJ148" t="e">
        <f>AND(#REF!,"AAAAAHv33vM=")</f>
        <v>#REF!</v>
      </c>
      <c r="IK148" t="e">
        <f>AND(#REF!,"AAAAAHv33vQ=")</f>
        <v>#REF!</v>
      </c>
      <c r="IL148" t="e">
        <f>AND(#REF!,"AAAAAHv33vU=")</f>
        <v>#REF!</v>
      </c>
      <c r="IM148" t="e">
        <f>AND(#REF!,"AAAAAHv33vY=")</f>
        <v>#REF!</v>
      </c>
      <c r="IN148" t="e">
        <f>AND(#REF!,"AAAAAHv33vc=")</f>
        <v>#REF!</v>
      </c>
      <c r="IO148" t="e">
        <f>AND(#REF!,"AAAAAHv33vg=")</f>
        <v>#REF!</v>
      </c>
      <c r="IP148" t="e">
        <f>AND(#REF!,"AAAAAHv33vk=")</f>
        <v>#REF!</v>
      </c>
      <c r="IQ148" t="e">
        <f>AND(#REF!,"AAAAAHv33vo=")</f>
        <v>#REF!</v>
      </c>
      <c r="IR148" t="e">
        <f>IF(#REF!,"AAAAAHv33vs=",0)</f>
        <v>#REF!</v>
      </c>
      <c r="IS148" t="e">
        <f>AND(#REF!,"AAAAAHv33vw=")</f>
        <v>#REF!</v>
      </c>
      <c r="IT148" t="e">
        <f>AND(#REF!,"AAAAAHv33v0=")</f>
        <v>#REF!</v>
      </c>
      <c r="IU148" t="e">
        <f>AND(#REF!,"AAAAAHv33v4=")</f>
        <v>#REF!</v>
      </c>
      <c r="IV148" t="e">
        <f>AND(#REF!,"AAAAAHv33v8=")</f>
        <v>#REF!</v>
      </c>
    </row>
    <row r="149" spans="1:256" x14ac:dyDescent="0.2">
      <c r="A149" t="e">
        <f>AND(#REF!,"AAAAAGfP3wA=")</f>
        <v>#REF!</v>
      </c>
      <c r="B149" t="e">
        <f>AND(#REF!,"AAAAAGfP3wE=")</f>
        <v>#REF!</v>
      </c>
      <c r="C149" t="e">
        <f>AND(#REF!,"AAAAAGfP3wI=")</f>
        <v>#REF!</v>
      </c>
      <c r="D149" t="e">
        <f>AND(#REF!,"AAAAAGfP3wM=")</f>
        <v>#REF!</v>
      </c>
      <c r="E149" t="e">
        <f>AND(#REF!,"AAAAAGfP3wQ=")</f>
        <v>#REF!</v>
      </c>
      <c r="F149" t="e">
        <f>AND(#REF!,"AAAAAGfP3wU=")</f>
        <v>#REF!</v>
      </c>
      <c r="G149" t="e">
        <f>AND(#REF!,"AAAAAGfP3wY=")</f>
        <v>#REF!</v>
      </c>
      <c r="H149" t="e">
        <f>AND(#REF!,"AAAAAGfP3wc=")</f>
        <v>#REF!</v>
      </c>
      <c r="I149" t="e">
        <f>AND(#REF!,"AAAAAGfP3wg=")</f>
        <v>#REF!</v>
      </c>
      <c r="J149" t="e">
        <f>AND(#REF!,"AAAAAGfP3wk=")</f>
        <v>#REF!</v>
      </c>
      <c r="K149" t="e">
        <f>AND(#REF!,"AAAAAGfP3wo=")</f>
        <v>#REF!</v>
      </c>
      <c r="L149" t="e">
        <f>AND(#REF!,"AAAAAGfP3ws=")</f>
        <v>#REF!</v>
      </c>
      <c r="M149" t="e">
        <f>AND(#REF!,"AAAAAGfP3ww=")</f>
        <v>#REF!</v>
      </c>
      <c r="N149" t="e">
        <f>AND(#REF!,"AAAAAGfP3w0=")</f>
        <v>#REF!</v>
      </c>
      <c r="O149" t="e">
        <f>AND(#REF!,"AAAAAGfP3w4=")</f>
        <v>#REF!</v>
      </c>
      <c r="P149" t="e">
        <f>AND(#REF!,"AAAAAGfP3w8=")</f>
        <v>#REF!</v>
      </c>
      <c r="Q149" t="e">
        <f>AND(#REF!,"AAAAAGfP3xA=")</f>
        <v>#REF!</v>
      </c>
      <c r="R149" t="e">
        <f>AND(#REF!,"AAAAAGfP3xE=")</f>
        <v>#REF!</v>
      </c>
      <c r="S149" t="e">
        <f>AND(#REF!,"AAAAAGfP3xI=")</f>
        <v>#REF!</v>
      </c>
      <c r="T149" t="e">
        <f>AND(#REF!,"AAAAAGfP3xM=")</f>
        <v>#REF!</v>
      </c>
      <c r="U149" t="e">
        <f>AND(#REF!,"AAAAAGfP3xQ=")</f>
        <v>#REF!</v>
      </c>
      <c r="V149" t="e">
        <f>AND(#REF!,"AAAAAGfP3xU=")</f>
        <v>#REF!</v>
      </c>
      <c r="W149" t="e">
        <f>AND(#REF!,"AAAAAGfP3xY=")</f>
        <v>#REF!</v>
      </c>
      <c r="X149" t="e">
        <f>AND(#REF!,"AAAAAGfP3xc=")</f>
        <v>#REF!</v>
      </c>
      <c r="Y149" t="e">
        <f>AND(#REF!,"AAAAAGfP3xg=")</f>
        <v>#REF!</v>
      </c>
      <c r="Z149" t="e">
        <f>AND(#REF!,"AAAAAGfP3xk=")</f>
        <v>#REF!</v>
      </c>
      <c r="AA149" t="e">
        <f>IF(#REF!,"AAAAAGfP3xo=",0)</f>
        <v>#REF!</v>
      </c>
      <c r="AB149" t="e">
        <f>AND(#REF!,"AAAAAGfP3xs=")</f>
        <v>#REF!</v>
      </c>
      <c r="AC149" t="e">
        <f>AND(#REF!,"AAAAAGfP3xw=")</f>
        <v>#REF!</v>
      </c>
      <c r="AD149" t="e">
        <f>AND(#REF!,"AAAAAGfP3x0=")</f>
        <v>#REF!</v>
      </c>
      <c r="AE149" t="e">
        <f>AND(#REF!,"AAAAAGfP3x4=")</f>
        <v>#REF!</v>
      </c>
      <c r="AF149" t="e">
        <f>AND(#REF!,"AAAAAGfP3x8=")</f>
        <v>#REF!</v>
      </c>
      <c r="AG149" t="e">
        <f>AND(#REF!,"AAAAAGfP3yA=")</f>
        <v>#REF!</v>
      </c>
      <c r="AH149" t="e">
        <f>AND(#REF!,"AAAAAGfP3yE=")</f>
        <v>#REF!</v>
      </c>
      <c r="AI149" t="e">
        <f>AND(#REF!,"AAAAAGfP3yI=")</f>
        <v>#REF!</v>
      </c>
      <c r="AJ149" t="e">
        <f>AND(#REF!,"AAAAAGfP3yM=")</f>
        <v>#REF!</v>
      </c>
      <c r="AK149" t="e">
        <f>AND(#REF!,"AAAAAGfP3yQ=")</f>
        <v>#REF!</v>
      </c>
      <c r="AL149" t="e">
        <f>AND(#REF!,"AAAAAGfP3yU=")</f>
        <v>#REF!</v>
      </c>
      <c r="AM149" t="e">
        <f>AND(#REF!,"AAAAAGfP3yY=")</f>
        <v>#REF!</v>
      </c>
      <c r="AN149" t="e">
        <f>AND(#REF!,"AAAAAGfP3yc=")</f>
        <v>#REF!</v>
      </c>
      <c r="AO149" t="e">
        <f>AND(#REF!,"AAAAAGfP3yg=")</f>
        <v>#REF!</v>
      </c>
      <c r="AP149" t="e">
        <f>AND(#REF!,"AAAAAGfP3yk=")</f>
        <v>#REF!</v>
      </c>
      <c r="AQ149" t="e">
        <f>AND(#REF!,"AAAAAGfP3yo=")</f>
        <v>#REF!</v>
      </c>
      <c r="AR149" t="e">
        <f>AND(#REF!,"AAAAAGfP3ys=")</f>
        <v>#REF!</v>
      </c>
      <c r="AS149" t="e">
        <f>AND(#REF!,"AAAAAGfP3yw=")</f>
        <v>#REF!</v>
      </c>
      <c r="AT149" t="e">
        <f>AND(#REF!,"AAAAAGfP3y0=")</f>
        <v>#REF!</v>
      </c>
      <c r="AU149" t="e">
        <f>AND(#REF!,"AAAAAGfP3y4=")</f>
        <v>#REF!</v>
      </c>
      <c r="AV149" t="e">
        <f>AND(#REF!,"AAAAAGfP3y8=")</f>
        <v>#REF!</v>
      </c>
      <c r="AW149" t="e">
        <f>AND(#REF!,"AAAAAGfP3zA=")</f>
        <v>#REF!</v>
      </c>
      <c r="AX149" t="e">
        <f>AND(#REF!,"AAAAAGfP3zE=")</f>
        <v>#REF!</v>
      </c>
      <c r="AY149" t="e">
        <f>AND(#REF!,"AAAAAGfP3zI=")</f>
        <v>#REF!</v>
      </c>
      <c r="AZ149" t="e">
        <f>AND(#REF!,"AAAAAGfP3zM=")</f>
        <v>#REF!</v>
      </c>
      <c r="BA149" t="e">
        <f>AND(#REF!,"AAAAAGfP3zQ=")</f>
        <v>#REF!</v>
      </c>
      <c r="BB149" t="e">
        <f>AND(#REF!,"AAAAAGfP3zU=")</f>
        <v>#REF!</v>
      </c>
      <c r="BC149" t="e">
        <f>AND(#REF!,"AAAAAGfP3zY=")</f>
        <v>#REF!</v>
      </c>
      <c r="BD149" t="e">
        <f>AND(#REF!,"AAAAAGfP3zc=")</f>
        <v>#REF!</v>
      </c>
      <c r="BE149" t="e">
        <f>AND(#REF!,"AAAAAGfP3zg=")</f>
        <v>#REF!</v>
      </c>
      <c r="BF149" t="e">
        <f>IF(#REF!,"AAAAAGfP3zk=",0)</f>
        <v>#REF!</v>
      </c>
      <c r="BG149" t="e">
        <f>AND(#REF!,"AAAAAGfP3zo=")</f>
        <v>#REF!</v>
      </c>
      <c r="BH149" t="e">
        <f>AND(#REF!,"AAAAAGfP3zs=")</f>
        <v>#REF!</v>
      </c>
      <c r="BI149" t="e">
        <f>AND(#REF!,"AAAAAGfP3zw=")</f>
        <v>#REF!</v>
      </c>
      <c r="BJ149" t="e">
        <f>AND(#REF!,"AAAAAGfP3z0=")</f>
        <v>#REF!</v>
      </c>
      <c r="BK149" t="e">
        <f>AND(#REF!,"AAAAAGfP3z4=")</f>
        <v>#REF!</v>
      </c>
      <c r="BL149" t="e">
        <f>AND(#REF!,"AAAAAGfP3z8=")</f>
        <v>#REF!</v>
      </c>
      <c r="BM149" t="e">
        <f>AND(#REF!,"AAAAAGfP30A=")</f>
        <v>#REF!</v>
      </c>
      <c r="BN149" t="e">
        <f>AND(#REF!,"AAAAAGfP30E=")</f>
        <v>#REF!</v>
      </c>
      <c r="BO149" t="e">
        <f>AND(#REF!,"AAAAAGfP30I=")</f>
        <v>#REF!</v>
      </c>
      <c r="BP149" t="e">
        <f>AND(#REF!,"AAAAAGfP30M=")</f>
        <v>#REF!</v>
      </c>
      <c r="BQ149" t="e">
        <f>AND(#REF!,"AAAAAGfP30Q=")</f>
        <v>#REF!</v>
      </c>
      <c r="BR149" t="e">
        <f>AND(#REF!,"AAAAAGfP30U=")</f>
        <v>#REF!</v>
      </c>
      <c r="BS149" t="e">
        <f>AND(#REF!,"AAAAAGfP30Y=")</f>
        <v>#REF!</v>
      </c>
      <c r="BT149" t="e">
        <f>AND(#REF!,"AAAAAGfP30c=")</f>
        <v>#REF!</v>
      </c>
      <c r="BU149" t="e">
        <f>AND(#REF!,"AAAAAGfP30g=")</f>
        <v>#REF!</v>
      </c>
      <c r="BV149" t="e">
        <f>AND(#REF!,"AAAAAGfP30k=")</f>
        <v>#REF!</v>
      </c>
      <c r="BW149" t="e">
        <f>AND(#REF!,"AAAAAGfP30o=")</f>
        <v>#REF!</v>
      </c>
      <c r="BX149" t="e">
        <f>AND(#REF!,"AAAAAGfP30s=")</f>
        <v>#REF!</v>
      </c>
      <c r="BY149" t="e">
        <f>AND(#REF!,"AAAAAGfP30w=")</f>
        <v>#REF!</v>
      </c>
      <c r="BZ149" t="e">
        <f>AND(#REF!,"AAAAAGfP300=")</f>
        <v>#REF!</v>
      </c>
      <c r="CA149" t="e">
        <f>AND(#REF!,"AAAAAGfP304=")</f>
        <v>#REF!</v>
      </c>
      <c r="CB149" t="e">
        <f>AND(#REF!,"AAAAAGfP308=")</f>
        <v>#REF!</v>
      </c>
      <c r="CC149" t="e">
        <f>AND(#REF!,"AAAAAGfP31A=")</f>
        <v>#REF!</v>
      </c>
      <c r="CD149" t="e">
        <f>AND(#REF!,"AAAAAGfP31E=")</f>
        <v>#REF!</v>
      </c>
      <c r="CE149" t="e">
        <f>AND(#REF!,"AAAAAGfP31I=")</f>
        <v>#REF!</v>
      </c>
      <c r="CF149" t="e">
        <f>AND(#REF!,"AAAAAGfP31M=")</f>
        <v>#REF!</v>
      </c>
      <c r="CG149" t="e">
        <f>AND(#REF!,"AAAAAGfP31Q=")</f>
        <v>#REF!</v>
      </c>
      <c r="CH149" t="e">
        <f>AND(#REF!,"AAAAAGfP31U=")</f>
        <v>#REF!</v>
      </c>
      <c r="CI149" t="e">
        <f>AND(#REF!,"AAAAAGfP31Y=")</f>
        <v>#REF!</v>
      </c>
      <c r="CJ149" t="e">
        <f>AND(#REF!,"AAAAAGfP31c=")</f>
        <v>#REF!</v>
      </c>
      <c r="CK149" t="e">
        <f>IF(#REF!,"AAAAAGfP31g=",0)</f>
        <v>#REF!</v>
      </c>
      <c r="CL149" t="e">
        <f>AND(#REF!,"AAAAAGfP31k=")</f>
        <v>#REF!</v>
      </c>
      <c r="CM149" t="e">
        <f>AND(#REF!,"AAAAAGfP31o=")</f>
        <v>#REF!</v>
      </c>
      <c r="CN149" t="e">
        <f>AND(#REF!,"AAAAAGfP31s=")</f>
        <v>#REF!</v>
      </c>
      <c r="CO149" t="e">
        <f>AND(#REF!,"AAAAAGfP31w=")</f>
        <v>#REF!</v>
      </c>
      <c r="CP149" t="e">
        <f>AND(#REF!,"AAAAAGfP310=")</f>
        <v>#REF!</v>
      </c>
      <c r="CQ149" t="e">
        <f>AND(#REF!,"AAAAAGfP314=")</f>
        <v>#REF!</v>
      </c>
      <c r="CR149" t="e">
        <f>AND(#REF!,"AAAAAGfP318=")</f>
        <v>#REF!</v>
      </c>
      <c r="CS149" t="e">
        <f>AND(#REF!,"AAAAAGfP32A=")</f>
        <v>#REF!</v>
      </c>
      <c r="CT149" t="e">
        <f>AND(#REF!,"AAAAAGfP32E=")</f>
        <v>#REF!</v>
      </c>
      <c r="CU149" t="e">
        <f>AND(#REF!,"AAAAAGfP32I=")</f>
        <v>#REF!</v>
      </c>
      <c r="CV149" t="e">
        <f>AND(#REF!,"AAAAAGfP32M=")</f>
        <v>#REF!</v>
      </c>
      <c r="CW149" t="e">
        <f>AND(#REF!,"AAAAAGfP32Q=")</f>
        <v>#REF!</v>
      </c>
      <c r="CX149" t="e">
        <f>AND(#REF!,"AAAAAGfP32U=")</f>
        <v>#REF!</v>
      </c>
      <c r="CY149" t="e">
        <f>AND(#REF!,"AAAAAGfP32Y=")</f>
        <v>#REF!</v>
      </c>
      <c r="CZ149" t="e">
        <f>AND(#REF!,"AAAAAGfP32c=")</f>
        <v>#REF!</v>
      </c>
      <c r="DA149" t="e">
        <f>AND(#REF!,"AAAAAGfP32g=")</f>
        <v>#REF!</v>
      </c>
      <c r="DB149" t="e">
        <f>AND(#REF!,"AAAAAGfP32k=")</f>
        <v>#REF!</v>
      </c>
      <c r="DC149" t="e">
        <f>AND(#REF!,"AAAAAGfP32o=")</f>
        <v>#REF!</v>
      </c>
      <c r="DD149" t="e">
        <f>AND(#REF!,"AAAAAGfP32s=")</f>
        <v>#REF!</v>
      </c>
      <c r="DE149" t="e">
        <f>AND(#REF!,"AAAAAGfP32w=")</f>
        <v>#REF!</v>
      </c>
      <c r="DF149" t="e">
        <f>AND(#REF!,"AAAAAGfP320=")</f>
        <v>#REF!</v>
      </c>
      <c r="DG149" t="e">
        <f>AND(#REF!,"AAAAAGfP324=")</f>
        <v>#REF!</v>
      </c>
      <c r="DH149" t="e">
        <f>AND(#REF!,"AAAAAGfP328=")</f>
        <v>#REF!</v>
      </c>
      <c r="DI149" t="e">
        <f>AND(#REF!,"AAAAAGfP33A=")</f>
        <v>#REF!</v>
      </c>
      <c r="DJ149" t="e">
        <f>AND(#REF!,"AAAAAGfP33E=")</f>
        <v>#REF!</v>
      </c>
      <c r="DK149" t="e">
        <f>AND(#REF!,"AAAAAGfP33I=")</f>
        <v>#REF!</v>
      </c>
      <c r="DL149" t="e">
        <f>AND(#REF!,"AAAAAGfP33M=")</f>
        <v>#REF!</v>
      </c>
      <c r="DM149" t="e">
        <f>AND(#REF!,"AAAAAGfP33Q=")</f>
        <v>#REF!</v>
      </c>
      <c r="DN149" t="e">
        <f>AND(#REF!,"AAAAAGfP33U=")</f>
        <v>#REF!</v>
      </c>
      <c r="DO149" t="e">
        <f>AND(#REF!,"AAAAAGfP33Y=")</f>
        <v>#REF!</v>
      </c>
      <c r="DP149" t="e">
        <f>IF(#REF!,"AAAAAGfP33c=",0)</f>
        <v>#REF!</v>
      </c>
      <c r="DQ149" t="e">
        <f>AND(#REF!,"AAAAAGfP33g=")</f>
        <v>#REF!</v>
      </c>
      <c r="DR149" t="e">
        <f>AND(#REF!,"AAAAAGfP33k=")</f>
        <v>#REF!</v>
      </c>
      <c r="DS149" t="e">
        <f>AND(#REF!,"AAAAAGfP33o=")</f>
        <v>#REF!</v>
      </c>
      <c r="DT149" t="e">
        <f>AND(#REF!,"AAAAAGfP33s=")</f>
        <v>#REF!</v>
      </c>
      <c r="DU149" t="e">
        <f>AND(#REF!,"AAAAAGfP33w=")</f>
        <v>#REF!</v>
      </c>
      <c r="DV149" t="e">
        <f>AND(#REF!,"AAAAAGfP330=")</f>
        <v>#REF!</v>
      </c>
      <c r="DW149" t="e">
        <f>AND(#REF!,"AAAAAGfP334=")</f>
        <v>#REF!</v>
      </c>
      <c r="DX149" t="e">
        <f>AND(#REF!,"AAAAAGfP338=")</f>
        <v>#REF!</v>
      </c>
      <c r="DY149" t="e">
        <f>AND(#REF!,"AAAAAGfP34A=")</f>
        <v>#REF!</v>
      </c>
      <c r="DZ149" t="e">
        <f>AND(#REF!,"AAAAAGfP34E=")</f>
        <v>#REF!</v>
      </c>
      <c r="EA149" t="e">
        <f>AND(#REF!,"AAAAAGfP34I=")</f>
        <v>#REF!</v>
      </c>
      <c r="EB149" t="e">
        <f>AND(#REF!,"AAAAAGfP34M=")</f>
        <v>#REF!</v>
      </c>
      <c r="EC149" t="e">
        <f>AND(#REF!,"AAAAAGfP34Q=")</f>
        <v>#REF!</v>
      </c>
      <c r="ED149" t="e">
        <f>AND(#REF!,"AAAAAGfP34U=")</f>
        <v>#REF!</v>
      </c>
      <c r="EE149" t="e">
        <f>AND(#REF!,"AAAAAGfP34Y=")</f>
        <v>#REF!</v>
      </c>
      <c r="EF149" t="e">
        <f>AND(#REF!,"AAAAAGfP34c=")</f>
        <v>#REF!</v>
      </c>
      <c r="EG149" t="e">
        <f>AND(#REF!,"AAAAAGfP34g=")</f>
        <v>#REF!</v>
      </c>
      <c r="EH149" t="e">
        <f>AND(#REF!,"AAAAAGfP34k=")</f>
        <v>#REF!</v>
      </c>
      <c r="EI149" t="e">
        <f>AND(#REF!,"AAAAAGfP34o=")</f>
        <v>#REF!</v>
      </c>
      <c r="EJ149" t="e">
        <f>AND(#REF!,"AAAAAGfP34s=")</f>
        <v>#REF!</v>
      </c>
      <c r="EK149" t="e">
        <f>AND(#REF!,"AAAAAGfP34w=")</f>
        <v>#REF!</v>
      </c>
      <c r="EL149" t="e">
        <f>AND(#REF!,"AAAAAGfP340=")</f>
        <v>#REF!</v>
      </c>
      <c r="EM149" t="e">
        <f>AND(#REF!,"AAAAAGfP344=")</f>
        <v>#REF!</v>
      </c>
      <c r="EN149" t="e">
        <f>AND(#REF!,"AAAAAGfP348=")</f>
        <v>#REF!</v>
      </c>
      <c r="EO149" t="e">
        <f>AND(#REF!,"AAAAAGfP35A=")</f>
        <v>#REF!</v>
      </c>
      <c r="EP149" t="e">
        <f>AND(#REF!,"AAAAAGfP35E=")</f>
        <v>#REF!</v>
      </c>
      <c r="EQ149" t="e">
        <f>AND(#REF!,"AAAAAGfP35I=")</f>
        <v>#REF!</v>
      </c>
      <c r="ER149" t="e">
        <f>AND(#REF!,"AAAAAGfP35M=")</f>
        <v>#REF!</v>
      </c>
      <c r="ES149" t="e">
        <f>AND(#REF!,"AAAAAGfP35Q=")</f>
        <v>#REF!</v>
      </c>
      <c r="ET149" t="e">
        <f>AND(#REF!,"AAAAAGfP35U=")</f>
        <v>#REF!</v>
      </c>
      <c r="EU149" t="e">
        <f>IF(#REF!,"AAAAAGfP35Y=",0)</f>
        <v>#REF!</v>
      </c>
      <c r="EV149" t="e">
        <f>AND(#REF!,"AAAAAGfP35c=")</f>
        <v>#REF!</v>
      </c>
      <c r="EW149" t="e">
        <f>AND(#REF!,"AAAAAGfP35g=")</f>
        <v>#REF!</v>
      </c>
      <c r="EX149" t="e">
        <f>AND(#REF!,"AAAAAGfP35k=")</f>
        <v>#REF!</v>
      </c>
      <c r="EY149" t="e">
        <f>AND(#REF!,"AAAAAGfP35o=")</f>
        <v>#REF!</v>
      </c>
      <c r="EZ149" t="e">
        <f>AND(#REF!,"AAAAAGfP35s=")</f>
        <v>#REF!</v>
      </c>
      <c r="FA149" t="e">
        <f>AND(#REF!,"AAAAAGfP35w=")</f>
        <v>#REF!</v>
      </c>
      <c r="FB149" t="e">
        <f>AND(#REF!,"AAAAAGfP350=")</f>
        <v>#REF!</v>
      </c>
      <c r="FC149" t="e">
        <f>AND(#REF!,"AAAAAGfP354=")</f>
        <v>#REF!</v>
      </c>
      <c r="FD149" t="e">
        <f>AND(#REF!,"AAAAAGfP358=")</f>
        <v>#REF!</v>
      </c>
      <c r="FE149" t="e">
        <f>AND(#REF!,"AAAAAGfP36A=")</f>
        <v>#REF!</v>
      </c>
      <c r="FF149" t="e">
        <f>AND(#REF!,"AAAAAGfP36E=")</f>
        <v>#REF!</v>
      </c>
      <c r="FG149" t="e">
        <f>AND(#REF!,"AAAAAGfP36I=")</f>
        <v>#REF!</v>
      </c>
      <c r="FH149" t="e">
        <f>AND(#REF!,"AAAAAGfP36M=")</f>
        <v>#REF!</v>
      </c>
      <c r="FI149" t="e">
        <f>AND(#REF!,"AAAAAGfP36Q=")</f>
        <v>#REF!</v>
      </c>
      <c r="FJ149" t="e">
        <f>AND(#REF!,"AAAAAGfP36U=")</f>
        <v>#REF!</v>
      </c>
      <c r="FK149" t="e">
        <f>AND(#REF!,"AAAAAGfP36Y=")</f>
        <v>#REF!</v>
      </c>
      <c r="FL149" t="e">
        <f>AND(#REF!,"AAAAAGfP36c=")</f>
        <v>#REF!</v>
      </c>
      <c r="FM149" t="e">
        <f>AND(#REF!,"AAAAAGfP36g=")</f>
        <v>#REF!</v>
      </c>
      <c r="FN149" t="e">
        <f>AND(#REF!,"AAAAAGfP36k=")</f>
        <v>#REF!</v>
      </c>
      <c r="FO149" t="e">
        <f>AND(#REF!,"AAAAAGfP36o=")</f>
        <v>#REF!</v>
      </c>
      <c r="FP149" t="e">
        <f>AND(#REF!,"AAAAAGfP36s=")</f>
        <v>#REF!</v>
      </c>
      <c r="FQ149" t="e">
        <f>AND(#REF!,"AAAAAGfP36w=")</f>
        <v>#REF!</v>
      </c>
      <c r="FR149" t="e">
        <f>AND(#REF!,"AAAAAGfP360=")</f>
        <v>#REF!</v>
      </c>
      <c r="FS149" t="e">
        <f>AND(#REF!,"AAAAAGfP364=")</f>
        <v>#REF!</v>
      </c>
      <c r="FT149" t="e">
        <f>AND(#REF!,"AAAAAGfP368=")</f>
        <v>#REF!</v>
      </c>
      <c r="FU149" t="e">
        <f>AND(#REF!,"AAAAAGfP37A=")</f>
        <v>#REF!</v>
      </c>
      <c r="FV149" t="e">
        <f>AND(#REF!,"AAAAAGfP37E=")</f>
        <v>#REF!</v>
      </c>
      <c r="FW149" t="e">
        <f>AND(#REF!,"AAAAAGfP37I=")</f>
        <v>#REF!</v>
      </c>
      <c r="FX149" t="e">
        <f>AND(#REF!,"AAAAAGfP37M=")</f>
        <v>#REF!</v>
      </c>
      <c r="FY149" t="e">
        <f>AND(#REF!,"AAAAAGfP37Q=")</f>
        <v>#REF!</v>
      </c>
      <c r="FZ149" t="e">
        <f>IF(#REF!,"AAAAAGfP37U=",0)</f>
        <v>#REF!</v>
      </c>
      <c r="GA149" t="e">
        <f>AND(#REF!,"AAAAAGfP37Y=")</f>
        <v>#REF!</v>
      </c>
      <c r="GB149" t="e">
        <f>AND(#REF!,"AAAAAGfP37c=")</f>
        <v>#REF!</v>
      </c>
      <c r="GC149" t="e">
        <f>AND(#REF!,"AAAAAGfP37g=")</f>
        <v>#REF!</v>
      </c>
      <c r="GD149" t="e">
        <f>AND(#REF!,"AAAAAGfP37k=")</f>
        <v>#REF!</v>
      </c>
      <c r="GE149" t="e">
        <f>AND(#REF!,"AAAAAGfP37o=")</f>
        <v>#REF!</v>
      </c>
      <c r="GF149" t="e">
        <f>AND(#REF!,"AAAAAGfP37s=")</f>
        <v>#REF!</v>
      </c>
      <c r="GG149" t="e">
        <f>AND(#REF!,"AAAAAGfP37w=")</f>
        <v>#REF!</v>
      </c>
      <c r="GH149" t="e">
        <f>AND(#REF!,"AAAAAGfP370=")</f>
        <v>#REF!</v>
      </c>
      <c r="GI149" t="e">
        <f>AND(#REF!,"AAAAAGfP374=")</f>
        <v>#REF!</v>
      </c>
      <c r="GJ149" t="e">
        <f>AND(#REF!,"AAAAAGfP378=")</f>
        <v>#REF!</v>
      </c>
      <c r="GK149" t="e">
        <f>AND(#REF!,"AAAAAGfP38A=")</f>
        <v>#REF!</v>
      </c>
      <c r="GL149" t="e">
        <f>AND(#REF!,"AAAAAGfP38E=")</f>
        <v>#REF!</v>
      </c>
      <c r="GM149" t="e">
        <f>AND(#REF!,"AAAAAGfP38I=")</f>
        <v>#REF!</v>
      </c>
      <c r="GN149" t="e">
        <f>AND(#REF!,"AAAAAGfP38M=")</f>
        <v>#REF!</v>
      </c>
      <c r="GO149" t="e">
        <f>AND(#REF!,"AAAAAGfP38Q=")</f>
        <v>#REF!</v>
      </c>
      <c r="GP149" t="e">
        <f>AND(#REF!,"AAAAAGfP38U=")</f>
        <v>#REF!</v>
      </c>
      <c r="GQ149" t="e">
        <f>AND(#REF!,"AAAAAGfP38Y=")</f>
        <v>#REF!</v>
      </c>
      <c r="GR149" t="e">
        <f>AND(#REF!,"AAAAAGfP38c=")</f>
        <v>#REF!</v>
      </c>
      <c r="GS149" t="e">
        <f>AND(#REF!,"AAAAAGfP38g=")</f>
        <v>#REF!</v>
      </c>
      <c r="GT149" t="e">
        <f>AND(#REF!,"AAAAAGfP38k=")</f>
        <v>#REF!</v>
      </c>
      <c r="GU149" t="e">
        <f>AND(#REF!,"AAAAAGfP38o=")</f>
        <v>#REF!</v>
      </c>
      <c r="GV149" t="e">
        <f>AND(#REF!,"AAAAAGfP38s=")</f>
        <v>#REF!</v>
      </c>
      <c r="GW149" t="e">
        <f>AND(#REF!,"AAAAAGfP38w=")</f>
        <v>#REF!</v>
      </c>
      <c r="GX149" t="e">
        <f>AND(#REF!,"AAAAAGfP380=")</f>
        <v>#REF!</v>
      </c>
      <c r="GY149" t="e">
        <f>AND(#REF!,"AAAAAGfP384=")</f>
        <v>#REF!</v>
      </c>
      <c r="GZ149" t="e">
        <f>AND(#REF!,"AAAAAGfP388=")</f>
        <v>#REF!</v>
      </c>
      <c r="HA149" t="e">
        <f>AND(#REF!,"AAAAAGfP39A=")</f>
        <v>#REF!</v>
      </c>
      <c r="HB149" t="e">
        <f>AND(#REF!,"AAAAAGfP39E=")</f>
        <v>#REF!</v>
      </c>
      <c r="HC149" t="e">
        <f>AND(#REF!,"AAAAAGfP39I=")</f>
        <v>#REF!</v>
      </c>
      <c r="HD149" t="e">
        <f>AND(#REF!,"AAAAAGfP39M=")</f>
        <v>#REF!</v>
      </c>
      <c r="HE149" t="e">
        <f>IF(#REF!,"AAAAAGfP39Q=",0)</f>
        <v>#REF!</v>
      </c>
      <c r="HF149" t="e">
        <f>AND(#REF!,"AAAAAGfP39U=")</f>
        <v>#REF!</v>
      </c>
      <c r="HG149" t="e">
        <f>AND(#REF!,"AAAAAGfP39Y=")</f>
        <v>#REF!</v>
      </c>
      <c r="HH149" t="e">
        <f>AND(#REF!,"AAAAAGfP39c=")</f>
        <v>#REF!</v>
      </c>
      <c r="HI149" t="e">
        <f>AND(#REF!,"AAAAAGfP39g=")</f>
        <v>#REF!</v>
      </c>
      <c r="HJ149" t="e">
        <f>AND(#REF!,"AAAAAGfP39k=")</f>
        <v>#REF!</v>
      </c>
      <c r="HK149" t="e">
        <f>AND(#REF!,"AAAAAGfP39o=")</f>
        <v>#REF!</v>
      </c>
      <c r="HL149" t="e">
        <f>AND(#REF!,"AAAAAGfP39s=")</f>
        <v>#REF!</v>
      </c>
      <c r="HM149" t="e">
        <f>AND(#REF!,"AAAAAGfP39w=")</f>
        <v>#REF!</v>
      </c>
      <c r="HN149" t="e">
        <f>AND(#REF!,"AAAAAGfP390=")</f>
        <v>#REF!</v>
      </c>
      <c r="HO149" t="e">
        <f>AND(#REF!,"AAAAAGfP394=")</f>
        <v>#REF!</v>
      </c>
      <c r="HP149" t="e">
        <f>AND(#REF!,"AAAAAGfP398=")</f>
        <v>#REF!</v>
      </c>
      <c r="HQ149" t="e">
        <f>AND(#REF!,"AAAAAGfP3+A=")</f>
        <v>#REF!</v>
      </c>
      <c r="HR149" t="e">
        <f>AND(#REF!,"AAAAAGfP3+E=")</f>
        <v>#REF!</v>
      </c>
      <c r="HS149" t="e">
        <f>AND(#REF!,"AAAAAGfP3+I=")</f>
        <v>#REF!</v>
      </c>
      <c r="HT149" t="e">
        <f>AND(#REF!,"AAAAAGfP3+M=")</f>
        <v>#REF!</v>
      </c>
      <c r="HU149" t="e">
        <f>AND(#REF!,"AAAAAGfP3+Q=")</f>
        <v>#REF!</v>
      </c>
      <c r="HV149" t="e">
        <f>AND(#REF!,"AAAAAGfP3+U=")</f>
        <v>#REF!</v>
      </c>
      <c r="HW149" t="e">
        <f>AND(#REF!,"AAAAAGfP3+Y=")</f>
        <v>#REF!</v>
      </c>
      <c r="HX149" t="e">
        <f>AND(#REF!,"AAAAAGfP3+c=")</f>
        <v>#REF!</v>
      </c>
      <c r="HY149" t="e">
        <f>AND(#REF!,"AAAAAGfP3+g=")</f>
        <v>#REF!</v>
      </c>
      <c r="HZ149" t="e">
        <f>AND(#REF!,"AAAAAGfP3+k=")</f>
        <v>#REF!</v>
      </c>
      <c r="IA149" t="e">
        <f>AND(#REF!,"AAAAAGfP3+o=")</f>
        <v>#REF!</v>
      </c>
      <c r="IB149" t="e">
        <f>AND(#REF!,"AAAAAGfP3+s=")</f>
        <v>#REF!</v>
      </c>
      <c r="IC149" t="e">
        <f>AND(#REF!,"AAAAAGfP3+w=")</f>
        <v>#REF!</v>
      </c>
      <c r="ID149" t="e">
        <f>AND(#REF!,"AAAAAGfP3+0=")</f>
        <v>#REF!</v>
      </c>
      <c r="IE149" t="e">
        <f>AND(#REF!,"AAAAAGfP3+4=")</f>
        <v>#REF!</v>
      </c>
      <c r="IF149" t="e">
        <f>AND(#REF!,"AAAAAGfP3+8=")</f>
        <v>#REF!</v>
      </c>
      <c r="IG149" t="e">
        <f>AND(#REF!,"AAAAAGfP3/A=")</f>
        <v>#REF!</v>
      </c>
      <c r="IH149" t="e">
        <f>AND(#REF!,"AAAAAGfP3/E=")</f>
        <v>#REF!</v>
      </c>
      <c r="II149" t="e">
        <f>AND(#REF!,"AAAAAGfP3/I=")</f>
        <v>#REF!</v>
      </c>
      <c r="IJ149" t="e">
        <f>IF(#REF!,"AAAAAGfP3/M=",0)</f>
        <v>#REF!</v>
      </c>
      <c r="IK149" t="e">
        <f>AND(#REF!,"AAAAAGfP3/Q=")</f>
        <v>#REF!</v>
      </c>
      <c r="IL149" t="e">
        <f>AND(#REF!,"AAAAAGfP3/U=")</f>
        <v>#REF!</v>
      </c>
      <c r="IM149" t="e">
        <f>AND(#REF!,"AAAAAGfP3/Y=")</f>
        <v>#REF!</v>
      </c>
      <c r="IN149" t="e">
        <f>AND(#REF!,"AAAAAGfP3/c=")</f>
        <v>#REF!</v>
      </c>
      <c r="IO149" t="e">
        <f>AND(#REF!,"AAAAAGfP3/g=")</f>
        <v>#REF!</v>
      </c>
      <c r="IP149" t="e">
        <f>AND(#REF!,"AAAAAGfP3/k=")</f>
        <v>#REF!</v>
      </c>
      <c r="IQ149" t="e">
        <f>AND(#REF!,"AAAAAGfP3/o=")</f>
        <v>#REF!</v>
      </c>
      <c r="IR149" t="e">
        <f>AND(#REF!,"AAAAAGfP3/s=")</f>
        <v>#REF!</v>
      </c>
      <c r="IS149" t="e">
        <f>AND(#REF!,"AAAAAGfP3/w=")</f>
        <v>#REF!</v>
      </c>
      <c r="IT149" t="e">
        <f>AND(#REF!,"AAAAAGfP3/0=")</f>
        <v>#REF!</v>
      </c>
      <c r="IU149" t="e">
        <f>AND(#REF!,"AAAAAGfP3/4=")</f>
        <v>#REF!</v>
      </c>
      <c r="IV149" t="e">
        <f>AND(#REF!,"AAAAAGfP3/8=")</f>
        <v>#REF!</v>
      </c>
    </row>
    <row r="150" spans="1:256" x14ac:dyDescent="0.2">
      <c r="A150" t="e">
        <f>AND(#REF!,"AAAAAGNyZgA=")</f>
        <v>#REF!</v>
      </c>
      <c r="B150" t="e">
        <f>AND(#REF!,"AAAAAGNyZgE=")</f>
        <v>#REF!</v>
      </c>
      <c r="C150" t="e">
        <f>AND(#REF!,"AAAAAGNyZgI=")</f>
        <v>#REF!</v>
      </c>
      <c r="D150" t="e">
        <f>AND(#REF!,"AAAAAGNyZgM=")</f>
        <v>#REF!</v>
      </c>
      <c r="E150" t="e">
        <f>AND(#REF!,"AAAAAGNyZgQ=")</f>
        <v>#REF!</v>
      </c>
      <c r="F150" t="e">
        <f>AND(#REF!,"AAAAAGNyZgU=")</f>
        <v>#REF!</v>
      </c>
      <c r="G150" t="e">
        <f>AND(#REF!,"AAAAAGNyZgY=")</f>
        <v>#REF!</v>
      </c>
      <c r="H150" t="e">
        <f>AND(#REF!,"AAAAAGNyZgc=")</f>
        <v>#REF!</v>
      </c>
      <c r="I150" t="e">
        <f>AND(#REF!,"AAAAAGNyZgg=")</f>
        <v>#REF!</v>
      </c>
      <c r="J150" t="e">
        <f>AND(#REF!,"AAAAAGNyZgk=")</f>
        <v>#REF!</v>
      </c>
      <c r="K150" t="e">
        <f>AND(#REF!,"AAAAAGNyZgo=")</f>
        <v>#REF!</v>
      </c>
      <c r="L150" t="e">
        <f>AND(#REF!,"AAAAAGNyZgs=")</f>
        <v>#REF!</v>
      </c>
      <c r="M150" t="e">
        <f>AND(#REF!,"AAAAAGNyZgw=")</f>
        <v>#REF!</v>
      </c>
      <c r="N150" t="e">
        <f>AND(#REF!,"AAAAAGNyZg0=")</f>
        <v>#REF!</v>
      </c>
      <c r="O150" t="e">
        <f>AND(#REF!,"AAAAAGNyZg4=")</f>
        <v>#REF!</v>
      </c>
      <c r="P150" t="e">
        <f>AND(#REF!,"AAAAAGNyZg8=")</f>
        <v>#REF!</v>
      </c>
      <c r="Q150" t="e">
        <f>AND(#REF!,"AAAAAGNyZhA=")</f>
        <v>#REF!</v>
      </c>
      <c r="R150" t="e">
        <f>AND(#REF!,"AAAAAGNyZhE=")</f>
        <v>#REF!</v>
      </c>
      <c r="S150" t="e">
        <f>IF(#REF!,"AAAAAGNyZhI=",0)</f>
        <v>#REF!</v>
      </c>
      <c r="T150" t="e">
        <f>AND(#REF!,"AAAAAGNyZhM=")</f>
        <v>#REF!</v>
      </c>
      <c r="U150" t="e">
        <f>AND(#REF!,"AAAAAGNyZhQ=")</f>
        <v>#REF!</v>
      </c>
      <c r="V150" t="e">
        <f>AND(#REF!,"AAAAAGNyZhU=")</f>
        <v>#REF!</v>
      </c>
      <c r="W150" t="e">
        <f>AND(#REF!,"AAAAAGNyZhY=")</f>
        <v>#REF!</v>
      </c>
      <c r="X150" t="e">
        <f>AND(#REF!,"AAAAAGNyZhc=")</f>
        <v>#REF!</v>
      </c>
      <c r="Y150" t="e">
        <f>AND(#REF!,"AAAAAGNyZhg=")</f>
        <v>#REF!</v>
      </c>
      <c r="Z150" t="e">
        <f>AND(#REF!,"AAAAAGNyZhk=")</f>
        <v>#REF!</v>
      </c>
      <c r="AA150" t="e">
        <f>AND(#REF!,"AAAAAGNyZho=")</f>
        <v>#REF!</v>
      </c>
      <c r="AB150" t="e">
        <f>AND(#REF!,"AAAAAGNyZhs=")</f>
        <v>#REF!</v>
      </c>
      <c r="AC150" t="e">
        <f>AND(#REF!,"AAAAAGNyZhw=")</f>
        <v>#REF!</v>
      </c>
      <c r="AD150" t="e">
        <f>AND(#REF!,"AAAAAGNyZh0=")</f>
        <v>#REF!</v>
      </c>
      <c r="AE150" t="e">
        <f>AND(#REF!,"AAAAAGNyZh4=")</f>
        <v>#REF!</v>
      </c>
      <c r="AF150" t="e">
        <f>AND(#REF!,"AAAAAGNyZh8=")</f>
        <v>#REF!</v>
      </c>
      <c r="AG150" t="e">
        <f>AND(#REF!,"AAAAAGNyZiA=")</f>
        <v>#REF!</v>
      </c>
      <c r="AH150" t="e">
        <f>AND(#REF!,"AAAAAGNyZiE=")</f>
        <v>#REF!</v>
      </c>
      <c r="AI150" t="e">
        <f>AND(#REF!,"AAAAAGNyZiI=")</f>
        <v>#REF!</v>
      </c>
      <c r="AJ150" t="e">
        <f>AND(#REF!,"AAAAAGNyZiM=")</f>
        <v>#REF!</v>
      </c>
      <c r="AK150" t="e">
        <f>AND(#REF!,"AAAAAGNyZiQ=")</f>
        <v>#REF!</v>
      </c>
      <c r="AL150" t="e">
        <f>AND(#REF!,"AAAAAGNyZiU=")</f>
        <v>#REF!</v>
      </c>
      <c r="AM150" t="e">
        <f>AND(#REF!,"AAAAAGNyZiY=")</f>
        <v>#REF!</v>
      </c>
      <c r="AN150" t="e">
        <f>AND(#REF!,"AAAAAGNyZic=")</f>
        <v>#REF!</v>
      </c>
      <c r="AO150" t="e">
        <f>AND(#REF!,"AAAAAGNyZig=")</f>
        <v>#REF!</v>
      </c>
      <c r="AP150" t="e">
        <f>AND(#REF!,"AAAAAGNyZik=")</f>
        <v>#REF!</v>
      </c>
      <c r="AQ150" t="e">
        <f>AND(#REF!,"AAAAAGNyZio=")</f>
        <v>#REF!</v>
      </c>
      <c r="AR150" t="e">
        <f>AND(#REF!,"AAAAAGNyZis=")</f>
        <v>#REF!</v>
      </c>
      <c r="AS150" t="e">
        <f>AND(#REF!,"AAAAAGNyZiw=")</f>
        <v>#REF!</v>
      </c>
      <c r="AT150" t="e">
        <f>AND(#REF!,"AAAAAGNyZi0=")</f>
        <v>#REF!</v>
      </c>
      <c r="AU150" t="e">
        <f>AND(#REF!,"AAAAAGNyZi4=")</f>
        <v>#REF!</v>
      </c>
      <c r="AV150" t="e">
        <f>AND(#REF!,"AAAAAGNyZi8=")</f>
        <v>#REF!</v>
      </c>
      <c r="AW150" t="e">
        <f>AND(#REF!,"AAAAAGNyZjA=")</f>
        <v>#REF!</v>
      </c>
      <c r="AX150" t="e">
        <f>IF(#REF!,"AAAAAGNyZjE=",0)</f>
        <v>#REF!</v>
      </c>
      <c r="AY150" t="e">
        <f>AND(#REF!,"AAAAAGNyZjI=")</f>
        <v>#REF!</v>
      </c>
      <c r="AZ150" t="e">
        <f>AND(#REF!,"AAAAAGNyZjM=")</f>
        <v>#REF!</v>
      </c>
      <c r="BA150" t="e">
        <f>AND(#REF!,"AAAAAGNyZjQ=")</f>
        <v>#REF!</v>
      </c>
      <c r="BB150" t="e">
        <f>AND(#REF!,"AAAAAGNyZjU=")</f>
        <v>#REF!</v>
      </c>
      <c r="BC150" t="e">
        <f>AND(#REF!,"AAAAAGNyZjY=")</f>
        <v>#REF!</v>
      </c>
      <c r="BD150" t="e">
        <f>AND(#REF!,"AAAAAGNyZjc=")</f>
        <v>#REF!</v>
      </c>
      <c r="BE150" t="e">
        <f>AND(#REF!,"AAAAAGNyZjg=")</f>
        <v>#REF!</v>
      </c>
      <c r="BF150" t="e">
        <f>AND(#REF!,"AAAAAGNyZjk=")</f>
        <v>#REF!</v>
      </c>
      <c r="BG150" t="e">
        <f>AND(#REF!,"AAAAAGNyZjo=")</f>
        <v>#REF!</v>
      </c>
      <c r="BH150" t="e">
        <f>AND(#REF!,"AAAAAGNyZjs=")</f>
        <v>#REF!</v>
      </c>
      <c r="BI150" t="e">
        <f>AND(#REF!,"AAAAAGNyZjw=")</f>
        <v>#REF!</v>
      </c>
      <c r="BJ150" t="e">
        <f>AND(#REF!,"AAAAAGNyZj0=")</f>
        <v>#REF!</v>
      </c>
      <c r="BK150" t="e">
        <f>AND(#REF!,"AAAAAGNyZj4=")</f>
        <v>#REF!</v>
      </c>
      <c r="BL150" t="e">
        <f>AND(#REF!,"AAAAAGNyZj8=")</f>
        <v>#REF!</v>
      </c>
      <c r="BM150" t="e">
        <f>AND(#REF!,"AAAAAGNyZkA=")</f>
        <v>#REF!</v>
      </c>
      <c r="BN150" t="e">
        <f>AND(#REF!,"AAAAAGNyZkE=")</f>
        <v>#REF!</v>
      </c>
      <c r="BO150" t="e">
        <f>AND(#REF!,"AAAAAGNyZkI=")</f>
        <v>#REF!</v>
      </c>
      <c r="BP150" t="e">
        <f>AND(#REF!,"AAAAAGNyZkM=")</f>
        <v>#REF!</v>
      </c>
      <c r="BQ150" t="e">
        <f>AND(#REF!,"AAAAAGNyZkQ=")</f>
        <v>#REF!</v>
      </c>
      <c r="BR150" t="e">
        <f>AND(#REF!,"AAAAAGNyZkU=")</f>
        <v>#REF!</v>
      </c>
      <c r="BS150" t="e">
        <f>AND(#REF!,"AAAAAGNyZkY=")</f>
        <v>#REF!</v>
      </c>
      <c r="BT150" t="e">
        <f>AND(#REF!,"AAAAAGNyZkc=")</f>
        <v>#REF!</v>
      </c>
      <c r="BU150" t="e">
        <f>AND(#REF!,"AAAAAGNyZkg=")</f>
        <v>#REF!</v>
      </c>
      <c r="BV150" t="e">
        <f>AND(#REF!,"AAAAAGNyZkk=")</f>
        <v>#REF!</v>
      </c>
      <c r="BW150" t="e">
        <f>AND(#REF!,"AAAAAGNyZko=")</f>
        <v>#REF!</v>
      </c>
      <c r="BX150" t="e">
        <f>AND(#REF!,"AAAAAGNyZks=")</f>
        <v>#REF!</v>
      </c>
      <c r="BY150" t="e">
        <f>AND(#REF!,"AAAAAGNyZkw=")</f>
        <v>#REF!</v>
      </c>
      <c r="BZ150" t="e">
        <f>AND(#REF!,"AAAAAGNyZk0=")</f>
        <v>#REF!</v>
      </c>
      <c r="CA150" t="e">
        <f>AND(#REF!,"AAAAAGNyZk4=")</f>
        <v>#REF!</v>
      </c>
      <c r="CB150" t="e">
        <f>AND(#REF!,"AAAAAGNyZk8=")</f>
        <v>#REF!</v>
      </c>
      <c r="CC150" t="e">
        <f>IF(#REF!,"AAAAAGNyZlA=",0)</f>
        <v>#REF!</v>
      </c>
      <c r="CD150" t="e">
        <f>AND(#REF!,"AAAAAGNyZlE=")</f>
        <v>#REF!</v>
      </c>
      <c r="CE150" t="e">
        <f>AND(#REF!,"AAAAAGNyZlI=")</f>
        <v>#REF!</v>
      </c>
      <c r="CF150" t="e">
        <f>AND(#REF!,"AAAAAGNyZlM=")</f>
        <v>#REF!</v>
      </c>
      <c r="CG150" t="e">
        <f>AND(#REF!,"AAAAAGNyZlQ=")</f>
        <v>#REF!</v>
      </c>
      <c r="CH150" t="e">
        <f>AND(#REF!,"AAAAAGNyZlU=")</f>
        <v>#REF!</v>
      </c>
      <c r="CI150" t="e">
        <f>AND(#REF!,"AAAAAGNyZlY=")</f>
        <v>#REF!</v>
      </c>
      <c r="CJ150" t="e">
        <f>AND(#REF!,"AAAAAGNyZlc=")</f>
        <v>#REF!</v>
      </c>
      <c r="CK150" t="e">
        <f>AND(#REF!,"AAAAAGNyZlg=")</f>
        <v>#REF!</v>
      </c>
      <c r="CL150" t="e">
        <f>AND(#REF!,"AAAAAGNyZlk=")</f>
        <v>#REF!</v>
      </c>
      <c r="CM150" t="e">
        <f>AND(#REF!,"AAAAAGNyZlo=")</f>
        <v>#REF!</v>
      </c>
      <c r="CN150" t="e">
        <f>AND(#REF!,"AAAAAGNyZls=")</f>
        <v>#REF!</v>
      </c>
      <c r="CO150" t="e">
        <f>AND(#REF!,"AAAAAGNyZlw=")</f>
        <v>#REF!</v>
      </c>
      <c r="CP150" t="e">
        <f>AND(#REF!,"AAAAAGNyZl0=")</f>
        <v>#REF!</v>
      </c>
      <c r="CQ150" t="e">
        <f>AND(#REF!,"AAAAAGNyZl4=")</f>
        <v>#REF!</v>
      </c>
      <c r="CR150" t="e">
        <f>AND(#REF!,"AAAAAGNyZl8=")</f>
        <v>#REF!</v>
      </c>
      <c r="CS150" t="e">
        <f>AND(#REF!,"AAAAAGNyZmA=")</f>
        <v>#REF!</v>
      </c>
      <c r="CT150" t="e">
        <f>AND(#REF!,"AAAAAGNyZmE=")</f>
        <v>#REF!</v>
      </c>
      <c r="CU150" t="e">
        <f>AND(#REF!,"AAAAAGNyZmI=")</f>
        <v>#REF!</v>
      </c>
      <c r="CV150" t="e">
        <f>AND(#REF!,"AAAAAGNyZmM=")</f>
        <v>#REF!</v>
      </c>
      <c r="CW150" t="e">
        <f>AND(#REF!,"AAAAAGNyZmQ=")</f>
        <v>#REF!</v>
      </c>
      <c r="CX150" t="e">
        <f>AND(#REF!,"AAAAAGNyZmU=")</f>
        <v>#REF!</v>
      </c>
      <c r="CY150" t="e">
        <f>AND(#REF!,"AAAAAGNyZmY=")</f>
        <v>#REF!</v>
      </c>
      <c r="CZ150" t="e">
        <f>AND(#REF!,"AAAAAGNyZmc=")</f>
        <v>#REF!</v>
      </c>
      <c r="DA150" t="e">
        <f>AND(#REF!,"AAAAAGNyZmg=")</f>
        <v>#REF!</v>
      </c>
      <c r="DB150" t="e">
        <f>AND(#REF!,"AAAAAGNyZmk=")</f>
        <v>#REF!</v>
      </c>
      <c r="DC150" t="e">
        <f>AND(#REF!,"AAAAAGNyZmo=")</f>
        <v>#REF!</v>
      </c>
      <c r="DD150" t="e">
        <f>AND(#REF!,"AAAAAGNyZms=")</f>
        <v>#REF!</v>
      </c>
      <c r="DE150" t="e">
        <f>AND(#REF!,"AAAAAGNyZmw=")</f>
        <v>#REF!</v>
      </c>
      <c r="DF150" t="e">
        <f>AND(#REF!,"AAAAAGNyZm0=")</f>
        <v>#REF!</v>
      </c>
      <c r="DG150" t="e">
        <f>AND(#REF!,"AAAAAGNyZm4=")</f>
        <v>#REF!</v>
      </c>
      <c r="DH150" t="e">
        <f>IF(#REF!,"AAAAAGNyZm8=",0)</f>
        <v>#REF!</v>
      </c>
      <c r="DI150" t="e">
        <f>AND(#REF!,"AAAAAGNyZnA=")</f>
        <v>#REF!</v>
      </c>
      <c r="DJ150" t="e">
        <f>AND(#REF!,"AAAAAGNyZnE=")</f>
        <v>#REF!</v>
      </c>
      <c r="DK150" t="e">
        <f>AND(#REF!,"AAAAAGNyZnI=")</f>
        <v>#REF!</v>
      </c>
      <c r="DL150" t="e">
        <f>AND(#REF!,"AAAAAGNyZnM=")</f>
        <v>#REF!</v>
      </c>
      <c r="DM150" t="e">
        <f>AND(#REF!,"AAAAAGNyZnQ=")</f>
        <v>#REF!</v>
      </c>
      <c r="DN150" t="e">
        <f>AND(#REF!,"AAAAAGNyZnU=")</f>
        <v>#REF!</v>
      </c>
      <c r="DO150" t="e">
        <f>AND(#REF!,"AAAAAGNyZnY=")</f>
        <v>#REF!</v>
      </c>
      <c r="DP150" t="e">
        <f>AND(#REF!,"AAAAAGNyZnc=")</f>
        <v>#REF!</v>
      </c>
      <c r="DQ150" t="e">
        <f>AND(#REF!,"AAAAAGNyZng=")</f>
        <v>#REF!</v>
      </c>
      <c r="DR150" t="e">
        <f>AND(#REF!,"AAAAAGNyZnk=")</f>
        <v>#REF!</v>
      </c>
      <c r="DS150" t="e">
        <f>AND(#REF!,"AAAAAGNyZno=")</f>
        <v>#REF!</v>
      </c>
      <c r="DT150" t="e">
        <f>AND(#REF!,"AAAAAGNyZns=")</f>
        <v>#REF!</v>
      </c>
      <c r="DU150" t="e">
        <f>AND(#REF!,"AAAAAGNyZnw=")</f>
        <v>#REF!</v>
      </c>
      <c r="DV150" t="e">
        <f>AND(#REF!,"AAAAAGNyZn0=")</f>
        <v>#REF!</v>
      </c>
      <c r="DW150" t="e">
        <f>AND(#REF!,"AAAAAGNyZn4=")</f>
        <v>#REF!</v>
      </c>
      <c r="DX150" t="e">
        <f>AND(#REF!,"AAAAAGNyZn8=")</f>
        <v>#REF!</v>
      </c>
      <c r="DY150" t="e">
        <f>AND(#REF!,"AAAAAGNyZoA=")</f>
        <v>#REF!</v>
      </c>
      <c r="DZ150" t="e">
        <f>AND(#REF!,"AAAAAGNyZoE=")</f>
        <v>#REF!</v>
      </c>
      <c r="EA150" t="e">
        <f>AND(#REF!,"AAAAAGNyZoI=")</f>
        <v>#REF!</v>
      </c>
      <c r="EB150" t="e">
        <f>AND(#REF!,"AAAAAGNyZoM=")</f>
        <v>#REF!</v>
      </c>
      <c r="EC150" t="e">
        <f>AND(#REF!,"AAAAAGNyZoQ=")</f>
        <v>#REF!</v>
      </c>
      <c r="ED150" t="e">
        <f>AND(#REF!,"AAAAAGNyZoU=")</f>
        <v>#REF!</v>
      </c>
      <c r="EE150" t="e">
        <f>AND(#REF!,"AAAAAGNyZoY=")</f>
        <v>#REF!</v>
      </c>
      <c r="EF150" t="e">
        <f>AND(#REF!,"AAAAAGNyZoc=")</f>
        <v>#REF!</v>
      </c>
      <c r="EG150" t="e">
        <f>AND(#REF!,"AAAAAGNyZog=")</f>
        <v>#REF!</v>
      </c>
      <c r="EH150" t="e">
        <f>AND(#REF!,"AAAAAGNyZok=")</f>
        <v>#REF!</v>
      </c>
      <c r="EI150" t="e">
        <f>AND(#REF!,"AAAAAGNyZoo=")</f>
        <v>#REF!</v>
      </c>
      <c r="EJ150" t="e">
        <f>AND(#REF!,"AAAAAGNyZos=")</f>
        <v>#REF!</v>
      </c>
      <c r="EK150" t="e">
        <f>AND(#REF!,"AAAAAGNyZow=")</f>
        <v>#REF!</v>
      </c>
      <c r="EL150" t="e">
        <f>AND(#REF!,"AAAAAGNyZo0=")</f>
        <v>#REF!</v>
      </c>
      <c r="EM150" t="e">
        <f>IF(#REF!,"AAAAAGNyZo4=",0)</f>
        <v>#REF!</v>
      </c>
      <c r="EN150" t="e">
        <f>AND(#REF!,"AAAAAGNyZo8=")</f>
        <v>#REF!</v>
      </c>
      <c r="EO150" t="e">
        <f>AND(#REF!,"AAAAAGNyZpA=")</f>
        <v>#REF!</v>
      </c>
      <c r="EP150" t="e">
        <f>AND(#REF!,"AAAAAGNyZpE=")</f>
        <v>#REF!</v>
      </c>
      <c r="EQ150" t="e">
        <f>AND(#REF!,"AAAAAGNyZpI=")</f>
        <v>#REF!</v>
      </c>
      <c r="ER150" t="e">
        <f>AND(#REF!,"AAAAAGNyZpM=")</f>
        <v>#REF!</v>
      </c>
      <c r="ES150" t="e">
        <f>AND(#REF!,"AAAAAGNyZpQ=")</f>
        <v>#REF!</v>
      </c>
      <c r="ET150" t="e">
        <f>AND(#REF!,"AAAAAGNyZpU=")</f>
        <v>#REF!</v>
      </c>
      <c r="EU150" t="e">
        <f>AND(#REF!,"AAAAAGNyZpY=")</f>
        <v>#REF!</v>
      </c>
      <c r="EV150" t="e">
        <f>AND(#REF!,"AAAAAGNyZpc=")</f>
        <v>#REF!</v>
      </c>
      <c r="EW150" t="e">
        <f>AND(#REF!,"AAAAAGNyZpg=")</f>
        <v>#REF!</v>
      </c>
      <c r="EX150" t="e">
        <f>AND(#REF!,"AAAAAGNyZpk=")</f>
        <v>#REF!</v>
      </c>
      <c r="EY150" t="e">
        <f>AND(#REF!,"AAAAAGNyZpo=")</f>
        <v>#REF!</v>
      </c>
      <c r="EZ150" t="e">
        <f>AND(#REF!,"AAAAAGNyZps=")</f>
        <v>#REF!</v>
      </c>
      <c r="FA150" t="e">
        <f>AND(#REF!,"AAAAAGNyZpw=")</f>
        <v>#REF!</v>
      </c>
      <c r="FB150" t="e">
        <f>AND(#REF!,"AAAAAGNyZp0=")</f>
        <v>#REF!</v>
      </c>
      <c r="FC150" t="e">
        <f>AND(#REF!,"AAAAAGNyZp4=")</f>
        <v>#REF!</v>
      </c>
      <c r="FD150" t="e">
        <f>AND(#REF!,"AAAAAGNyZp8=")</f>
        <v>#REF!</v>
      </c>
      <c r="FE150" t="e">
        <f>AND(#REF!,"AAAAAGNyZqA=")</f>
        <v>#REF!</v>
      </c>
      <c r="FF150" t="e">
        <f>AND(#REF!,"AAAAAGNyZqE=")</f>
        <v>#REF!</v>
      </c>
      <c r="FG150" t="e">
        <f>AND(#REF!,"AAAAAGNyZqI=")</f>
        <v>#REF!</v>
      </c>
      <c r="FH150" t="e">
        <f>AND(#REF!,"AAAAAGNyZqM=")</f>
        <v>#REF!</v>
      </c>
      <c r="FI150" t="e">
        <f>AND(#REF!,"AAAAAGNyZqQ=")</f>
        <v>#REF!</v>
      </c>
      <c r="FJ150" t="e">
        <f>AND(#REF!,"AAAAAGNyZqU=")</f>
        <v>#REF!</v>
      </c>
      <c r="FK150" t="e">
        <f>AND(#REF!,"AAAAAGNyZqY=")</f>
        <v>#REF!</v>
      </c>
      <c r="FL150" t="e">
        <f>AND(#REF!,"AAAAAGNyZqc=")</f>
        <v>#REF!</v>
      </c>
      <c r="FM150" t="e">
        <f>AND(#REF!,"AAAAAGNyZqg=")</f>
        <v>#REF!</v>
      </c>
      <c r="FN150" t="e">
        <f>AND(#REF!,"AAAAAGNyZqk=")</f>
        <v>#REF!</v>
      </c>
      <c r="FO150" t="e">
        <f>AND(#REF!,"AAAAAGNyZqo=")</f>
        <v>#REF!</v>
      </c>
      <c r="FP150" t="e">
        <f>AND(#REF!,"AAAAAGNyZqs=")</f>
        <v>#REF!</v>
      </c>
      <c r="FQ150" t="e">
        <f>AND(#REF!,"AAAAAGNyZqw=")</f>
        <v>#REF!</v>
      </c>
      <c r="FR150" t="e">
        <f>IF(#REF!,"AAAAAGNyZq0=",0)</f>
        <v>#REF!</v>
      </c>
      <c r="FS150" t="e">
        <f>AND(#REF!,"AAAAAGNyZq4=")</f>
        <v>#REF!</v>
      </c>
      <c r="FT150" t="e">
        <f>AND(#REF!,"AAAAAGNyZq8=")</f>
        <v>#REF!</v>
      </c>
      <c r="FU150" t="e">
        <f>AND(#REF!,"AAAAAGNyZrA=")</f>
        <v>#REF!</v>
      </c>
      <c r="FV150" t="e">
        <f>AND(#REF!,"AAAAAGNyZrE=")</f>
        <v>#REF!</v>
      </c>
      <c r="FW150" t="e">
        <f>AND(#REF!,"AAAAAGNyZrI=")</f>
        <v>#REF!</v>
      </c>
      <c r="FX150" t="e">
        <f>AND(#REF!,"AAAAAGNyZrM=")</f>
        <v>#REF!</v>
      </c>
      <c r="FY150" t="e">
        <f>AND(#REF!,"AAAAAGNyZrQ=")</f>
        <v>#REF!</v>
      </c>
      <c r="FZ150" t="e">
        <f>AND(#REF!,"AAAAAGNyZrU=")</f>
        <v>#REF!</v>
      </c>
      <c r="GA150" t="e">
        <f>AND(#REF!,"AAAAAGNyZrY=")</f>
        <v>#REF!</v>
      </c>
      <c r="GB150" t="e">
        <f>AND(#REF!,"AAAAAGNyZrc=")</f>
        <v>#REF!</v>
      </c>
      <c r="GC150" t="e">
        <f>AND(#REF!,"AAAAAGNyZrg=")</f>
        <v>#REF!</v>
      </c>
      <c r="GD150" t="e">
        <f>AND(#REF!,"AAAAAGNyZrk=")</f>
        <v>#REF!</v>
      </c>
      <c r="GE150" t="e">
        <f>AND(#REF!,"AAAAAGNyZro=")</f>
        <v>#REF!</v>
      </c>
      <c r="GF150" t="e">
        <f>AND(#REF!,"AAAAAGNyZrs=")</f>
        <v>#REF!</v>
      </c>
      <c r="GG150" t="e">
        <f>AND(#REF!,"AAAAAGNyZrw=")</f>
        <v>#REF!</v>
      </c>
      <c r="GH150" t="e">
        <f>AND(#REF!,"AAAAAGNyZr0=")</f>
        <v>#REF!</v>
      </c>
      <c r="GI150" t="e">
        <f>AND(#REF!,"AAAAAGNyZr4=")</f>
        <v>#REF!</v>
      </c>
      <c r="GJ150" t="e">
        <f>AND(#REF!,"AAAAAGNyZr8=")</f>
        <v>#REF!</v>
      </c>
      <c r="GK150" t="e">
        <f>AND(#REF!,"AAAAAGNyZsA=")</f>
        <v>#REF!</v>
      </c>
      <c r="GL150" t="e">
        <f>AND(#REF!,"AAAAAGNyZsE=")</f>
        <v>#REF!</v>
      </c>
      <c r="GM150" t="e">
        <f>AND(#REF!,"AAAAAGNyZsI=")</f>
        <v>#REF!</v>
      </c>
      <c r="GN150" t="e">
        <f>AND(#REF!,"AAAAAGNyZsM=")</f>
        <v>#REF!</v>
      </c>
      <c r="GO150" t="e">
        <f>AND(#REF!,"AAAAAGNyZsQ=")</f>
        <v>#REF!</v>
      </c>
      <c r="GP150" t="e">
        <f>AND(#REF!,"AAAAAGNyZsU=")</f>
        <v>#REF!</v>
      </c>
      <c r="GQ150" t="e">
        <f>AND(#REF!,"AAAAAGNyZsY=")</f>
        <v>#REF!</v>
      </c>
      <c r="GR150" t="e">
        <f>AND(#REF!,"AAAAAGNyZsc=")</f>
        <v>#REF!</v>
      </c>
      <c r="GS150" t="e">
        <f>AND(#REF!,"AAAAAGNyZsg=")</f>
        <v>#REF!</v>
      </c>
      <c r="GT150" t="e">
        <f>AND(#REF!,"AAAAAGNyZsk=")</f>
        <v>#REF!</v>
      </c>
      <c r="GU150" t="e">
        <f>AND(#REF!,"AAAAAGNyZso=")</f>
        <v>#REF!</v>
      </c>
      <c r="GV150" t="e">
        <f>AND(#REF!,"AAAAAGNyZss=")</f>
        <v>#REF!</v>
      </c>
      <c r="GW150" t="e">
        <f>IF(#REF!,"AAAAAGNyZsw=",0)</f>
        <v>#REF!</v>
      </c>
      <c r="GX150" t="e">
        <f>AND(#REF!,"AAAAAGNyZs0=")</f>
        <v>#REF!</v>
      </c>
      <c r="GY150" t="e">
        <f>AND(#REF!,"AAAAAGNyZs4=")</f>
        <v>#REF!</v>
      </c>
      <c r="GZ150" t="e">
        <f>AND(#REF!,"AAAAAGNyZs8=")</f>
        <v>#REF!</v>
      </c>
      <c r="HA150" t="e">
        <f>AND(#REF!,"AAAAAGNyZtA=")</f>
        <v>#REF!</v>
      </c>
      <c r="HB150" t="e">
        <f>AND(#REF!,"AAAAAGNyZtE=")</f>
        <v>#REF!</v>
      </c>
      <c r="HC150" t="e">
        <f>AND(#REF!,"AAAAAGNyZtI=")</f>
        <v>#REF!</v>
      </c>
      <c r="HD150" t="e">
        <f>AND(#REF!,"AAAAAGNyZtM=")</f>
        <v>#REF!</v>
      </c>
      <c r="HE150" t="e">
        <f>AND(#REF!,"AAAAAGNyZtQ=")</f>
        <v>#REF!</v>
      </c>
      <c r="HF150" t="e">
        <f>AND(#REF!,"AAAAAGNyZtU=")</f>
        <v>#REF!</v>
      </c>
      <c r="HG150" t="e">
        <f>AND(#REF!,"AAAAAGNyZtY=")</f>
        <v>#REF!</v>
      </c>
      <c r="HH150" t="e">
        <f>AND(#REF!,"AAAAAGNyZtc=")</f>
        <v>#REF!</v>
      </c>
      <c r="HI150" t="e">
        <f>AND(#REF!,"AAAAAGNyZtg=")</f>
        <v>#REF!</v>
      </c>
      <c r="HJ150" t="e">
        <f>AND(#REF!,"AAAAAGNyZtk=")</f>
        <v>#REF!</v>
      </c>
      <c r="HK150" t="e">
        <f>AND(#REF!,"AAAAAGNyZto=")</f>
        <v>#REF!</v>
      </c>
      <c r="HL150" t="e">
        <f>AND(#REF!,"AAAAAGNyZts=")</f>
        <v>#REF!</v>
      </c>
      <c r="HM150" t="e">
        <f>AND(#REF!,"AAAAAGNyZtw=")</f>
        <v>#REF!</v>
      </c>
      <c r="HN150" t="e">
        <f>AND(#REF!,"AAAAAGNyZt0=")</f>
        <v>#REF!</v>
      </c>
      <c r="HO150" t="e">
        <f>AND(#REF!,"AAAAAGNyZt4=")</f>
        <v>#REF!</v>
      </c>
      <c r="HP150" t="e">
        <f>AND(#REF!,"AAAAAGNyZt8=")</f>
        <v>#REF!</v>
      </c>
      <c r="HQ150" t="e">
        <f>AND(#REF!,"AAAAAGNyZuA=")</f>
        <v>#REF!</v>
      </c>
      <c r="HR150" t="e">
        <f>AND(#REF!,"AAAAAGNyZuE=")</f>
        <v>#REF!</v>
      </c>
      <c r="HS150" t="e">
        <f>AND(#REF!,"AAAAAGNyZuI=")</f>
        <v>#REF!</v>
      </c>
      <c r="HT150" t="e">
        <f>AND(#REF!,"AAAAAGNyZuM=")</f>
        <v>#REF!</v>
      </c>
      <c r="HU150" t="e">
        <f>AND(#REF!,"AAAAAGNyZuQ=")</f>
        <v>#REF!</v>
      </c>
      <c r="HV150" t="e">
        <f>AND(#REF!,"AAAAAGNyZuU=")</f>
        <v>#REF!</v>
      </c>
      <c r="HW150" t="e">
        <f>AND(#REF!,"AAAAAGNyZuY=")</f>
        <v>#REF!</v>
      </c>
      <c r="HX150" t="e">
        <f>AND(#REF!,"AAAAAGNyZuc=")</f>
        <v>#REF!</v>
      </c>
      <c r="HY150" t="e">
        <f>AND(#REF!,"AAAAAGNyZug=")</f>
        <v>#REF!</v>
      </c>
      <c r="HZ150" t="e">
        <f>AND(#REF!,"AAAAAGNyZuk=")</f>
        <v>#REF!</v>
      </c>
      <c r="IA150" t="e">
        <f>AND(#REF!,"AAAAAGNyZuo=")</f>
        <v>#REF!</v>
      </c>
      <c r="IB150" t="e">
        <f>IF(#REF!,"AAAAAGNyZus=",0)</f>
        <v>#REF!</v>
      </c>
      <c r="IC150" t="e">
        <f>AND(#REF!,"AAAAAGNyZuw=")</f>
        <v>#REF!</v>
      </c>
      <c r="ID150" t="e">
        <f>AND(#REF!,"AAAAAGNyZu0=")</f>
        <v>#REF!</v>
      </c>
      <c r="IE150" t="e">
        <f>AND(#REF!,"AAAAAGNyZu4=")</f>
        <v>#REF!</v>
      </c>
      <c r="IF150" t="e">
        <f>AND(#REF!,"AAAAAGNyZu8=")</f>
        <v>#REF!</v>
      </c>
      <c r="IG150" t="e">
        <f>AND(#REF!,"AAAAAGNyZvA=")</f>
        <v>#REF!</v>
      </c>
      <c r="IH150" t="e">
        <f>AND(#REF!,"AAAAAGNyZvE=")</f>
        <v>#REF!</v>
      </c>
      <c r="II150" t="e">
        <f>AND(#REF!,"AAAAAGNyZvI=")</f>
        <v>#REF!</v>
      </c>
      <c r="IJ150" t="e">
        <f>AND(#REF!,"AAAAAGNyZvM=")</f>
        <v>#REF!</v>
      </c>
      <c r="IK150" t="e">
        <f>AND(#REF!,"AAAAAGNyZvQ=")</f>
        <v>#REF!</v>
      </c>
      <c r="IL150" t="e">
        <f>AND(#REF!,"AAAAAGNyZvU=")</f>
        <v>#REF!</v>
      </c>
      <c r="IM150" t="e">
        <f>AND(#REF!,"AAAAAGNyZvY=")</f>
        <v>#REF!</v>
      </c>
      <c r="IN150" t="e">
        <f>AND(#REF!,"AAAAAGNyZvc=")</f>
        <v>#REF!</v>
      </c>
      <c r="IO150" t="e">
        <f>AND(#REF!,"AAAAAGNyZvg=")</f>
        <v>#REF!</v>
      </c>
      <c r="IP150" t="e">
        <f>AND(#REF!,"AAAAAGNyZvk=")</f>
        <v>#REF!</v>
      </c>
      <c r="IQ150" t="e">
        <f>AND(#REF!,"AAAAAGNyZvo=")</f>
        <v>#REF!</v>
      </c>
      <c r="IR150" t="e">
        <f>AND(#REF!,"AAAAAGNyZvs=")</f>
        <v>#REF!</v>
      </c>
      <c r="IS150" t="e">
        <f>AND(#REF!,"AAAAAGNyZvw=")</f>
        <v>#REF!</v>
      </c>
      <c r="IT150" t="e">
        <f>AND(#REF!,"AAAAAGNyZv0=")</f>
        <v>#REF!</v>
      </c>
      <c r="IU150" t="e">
        <f>AND(#REF!,"AAAAAGNyZv4=")</f>
        <v>#REF!</v>
      </c>
      <c r="IV150" t="e">
        <f>AND(#REF!,"AAAAAGNyZv8=")</f>
        <v>#REF!</v>
      </c>
    </row>
    <row r="151" spans="1:256" x14ac:dyDescent="0.2">
      <c r="A151" t="e">
        <f>AND(#REF!,"AAAAAD1PTgA=")</f>
        <v>#REF!</v>
      </c>
      <c r="B151" t="e">
        <f>AND(#REF!,"AAAAAD1PTgE=")</f>
        <v>#REF!</v>
      </c>
      <c r="C151" t="e">
        <f>AND(#REF!,"AAAAAD1PTgI=")</f>
        <v>#REF!</v>
      </c>
      <c r="D151" t="e">
        <f>AND(#REF!,"AAAAAD1PTgM=")</f>
        <v>#REF!</v>
      </c>
      <c r="E151" t="e">
        <f>AND(#REF!,"AAAAAD1PTgQ=")</f>
        <v>#REF!</v>
      </c>
      <c r="F151" t="e">
        <f>AND(#REF!,"AAAAAD1PTgU=")</f>
        <v>#REF!</v>
      </c>
      <c r="G151" t="e">
        <f>AND(#REF!,"AAAAAD1PTgY=")</f>
        <v>#REF!</v>
      </c>
      <c r="H151" t="e">
        <f>AND(#REF!,"AAAAAD1PTgc=")</f>
        <v>#REF!</v>
      </c>
      <c r="I151" t="e">
        <f>AND(#REF!,"AAAAAD1PTgg=")</f>
        <v>#REF!</v>
      </c>
      <c r="J151" t="e">
        <f>AND(#REF!,"AAAAAD1PTgk=")</f>
        <v>#REF!</v>
      </c>
      <c r="K151" t="e">
        <f>IF(#REF!,"AAAAAD1PTgo=",0)</f>
        <v>#REF!</v>
      </c>
      <c r="L151" t="e">
        <f>AND(#REF!,"AAAAAD1PTgs=")</f>
        <v>#REF!</v>
      </c>
      <c r="M151" t="e">
        <f>AND(#REF!,"AAAAAD1PTgw=")</f>
        <v>#REF!</v>
      </c>
      <c r="N151" t="e">
        <f>AND(#REF!,"AAAAAD1PTg0=")</f>
        <v>#REF!</v>
      </c>
      <c r="O151" t="e">
        <f>AND(#REF!,"AAAAAD1PTg4=")</f>
        <v>#REF!</v>
      </c>
      <c r="P151" t="e">
        <f>AND(#REF!,"AAAAAD1PTg8=")</f>
        <v>#REF!</v>
      </c>
      <c r="Q151" t="e">
        <f>AND(#REF!,"AAAAAD1PThA=")</f>
        <v>#REF!</v>
      </c>
      <c r="R151" t="e">
        <f>AND(#REF!,"AAAAAD1PThE=")</f>
        <v>#REF!</v>
      </c>
      <c r="S151" t="e">
        <f>AND(#REF!,"AAAAAD1PThI=")</f>
        <v>#REF!</v>
      </c>
      <c r="T151" t="e">
        <f>AND(#REF!,"AAAAAD1PThM=")</f>
        <v>#REF!</v>
      </c>
      <c r="U151" t="e">
        <f>AND(#REF!,"AAAAAD1PThQ=")</f>
        <v>#REF!</v>
      </c>
      <c r="V151" t="e">
        <f>AND(#REF!,"AAAAAD1PThU=")</f>
        <v>#REF!</v>
      </c>
      <c r="W151" t="e">
        <f>AND(#REF!,"AAAAAD1PThY=")</f>
        <v>#REF!</v>
      </c>
      <c r="X151" t="e">
        <f>AND(#REF!,"AAAAAD1PThc=")</f>
        <v>#REF!</v>
      </c>
      <c r="Y151" t="e">
        <f>AND(#REF!,"AAAAAD1PThg=")</f>
        <v>#REF!</v>
      </c>
      <c r="Z151" t="e">
        <f>AND(#REF!,"AAAAAD1PThk=")</f>
        <v>#REF!</v>
      </c>
      <c r="AA151" t="e">
        <f>AND(#REF!,"AAAAAD1PTho=")</f>
        <v>#REF!</v>
      </c>
      <c r="AB151" t="e">
        <f>AND(#REF!,"AAAAAD1PThs=")</f>
        <v>#REF!</v>
      </c>
      <c r="AC151" t="e">
        <f>AND(#REF!,"AAAAAD1PThw=")</f>
        <v>#REF!</v>
      </c>
      <c r="AD151" t="e">
        <f>AND(#REF!,"AAAAAD1PTh0=")</f>
        <v>#REF!</v>
      </c>
      <c r="AE151" t="e">
        <f>AND(#REF!,"AAAAAD1PTh4=")</f>
        <v>#REF!</v>
      </c>
      <c r="AF151" t="e">
        <f>AND(#REF!,"AAAAAD1PTh8=")</f>
        <v>#REF!</v>
      </c>
      <c r="AG151" t="e">
        <f>AND(#REF!,"AAAAAD1PTiA=")</f>
        <v>#REF!</v>
      </c>
      <c r="AH151" t="e">
        <f>AND(#REF!,"AAAAAD1PTiE=")</f>
        <v>#REF!</v>
      </c>
      <c r="AI151" t="e">
        <f>AND(#REF!,"AAAAAD1PTiI=")</f>
        <v>#REF!</v>
      </c>
      <c r="AJ151" t="e">
        <f>AND(#REF!,"AAAAAD1PTiM=")</f>
        <v>#REF!</v>
      </c>
      <c r="AK151" t="e">
        <f>AND(#REF!,"AAAAAD1PTiQ=")</f>
        <v>#REF!</v>
      </c>
      <c r="AL151" t="e">
        <f>AND(#REF!,"AAAAAD1PTiU=")</f>
        <v>#REF!</v>
      </c>
      <c r="AM151" t="e">
        <f>AND(#REF!,"AAAAAD1PTiY=")</f>
        <v>#REF!</v>
      </c>
      <c r="AN151" t="e">
        <f>AND(#REF!,"AAAAAD1PTic=")</f>
        <v>#REF!</v>
      </c>
      <c r="AO151" t="e">
        <f>AND(#REF!,"AAAAAD1PTig=")</f>
        <v>#REF!</v>
      </c>
      <c r="AP151" t="e">
        <f>IF(#REF!,"AAAAAD1PTik=",0)</f>
        <v>#REF!</v>
      </c>
      <c r="AQ151" t="e">
        <f>AND(#REF!,"AAAAAD1PTio=")</f>
        <v>#REF!</v>
      </c>
      <c r="AR151" t="e">
        <f>AND(#REF!,"AAAAAD1PTis=")</f>
        <v>#REF!</v>
      </c>
      <c r="AS151" t="e">
        <f>AND(#REF!,"AAAAAD1PTiw=")</f>
        <v>#REF!</v>
      </c>
      <c r="AT151" t="e">
        <f>AND(#REF!,"AAAAAD1PTi0=")</f>
        <v>#REF!</v>
      </c>
      <c r="AU151" t="e">
        <f>AND(#REF!,"AAAAAD1PTi4=")</f>
        <v>#REF!</v>
      </c>
      <c r="AV151" t="e">
        <f>AND(#REF!,"AAAAAD1PTi8=")</f>
        <v>#REF!</v>
      </c>
      <c r="AW151" t="e">
        <f>AND(#REF!,"AAAAAD1PTjA=")</f>
        <v>#REF!</v>
      </c>
      <c r="AX151" t="e">
        <f>AND(#REF!,"AAAAAD1PTjE=")</f>
        <v>#REF!</v>
      </c>
      <c r="AY151" t="e">
        <f>AND(#REF!,"AAAAAD1PTjI=")</f>
        <v>#REF!</v>
      </c>
      <c r="AZ151" t="e">
        <f>AND(#REF!,"AAAAAD1PTjM=")</f>
        <v>#REF!</v>
      </c>
      <c r="BA151" t="e">
        <f>AND(#REF!,"AAAAAD1PTjQ=")</f>
        <v>#REF!</v>
      </c>
      <c r="BB151" t="e">
        <f>AND(#REF!,"AAAAAD1PTjU=")</f>
        <v>#REF!</v>
      </c>
      <c r="BC151" t="e">
        <f>AND(#REF!,"AAAAAD1PTjY=")</f>
        <v>#REF!</v>
      </c>
      <c r="BD151" t="e">
        <f>AND(#REF!,"AAAAAD1PTjc=")</f>
        <v>#REF!</v>
      </c>
      <c r="BE151" t="e">
        <f>AND(#REF!,"AAAAAD1PTjg=")</f>
        <v>#REF!</v>
      </c>
      <c r="BF151" t="e">
        <f>AND(#REF!,"AAAAAD1PTjk=")</f>
        <v>#REF!</v>
      </c>
      <c r="BG151" t="e">
        <f>AND(#REF!,"AAAAAD1PTjo=")</f>
        <v>#REF!</v>
      </c>
      <c r="BH151" t="e">
        <f>AND(#REF!,"AAAAAD1PTjs=")</f>
        <v>#REF!</v>
      </c>
      <c r="BI151" t="e">
        <f>AND(#REF!,"AAAAAD1PTjw=")</f>
        <v>#REF!</v>
      </c>
      <c r="BJ151" t="e">
        <f>AND(#REF!,"AAAAAD1PTj0=")</f>
        <v>#REF!</v>
      </c>
      <c r="BK151" t="e">
        <f>AND(#REF!,"AAAAAD1PTj4=")</f>
        <v>#REF!</v>
      </c>
      <c r="BL151" t="e">
        <f>AND(#REF!,"AAAAAD1PTj8=")</f>
        <v>#REF!</v>
      </c>
      <c r="BM151" t="e">
        <f>AND(#REF!,"AAAAAD1PTkA=")</f>
        <v>#REF!</v>
      </c>
      <c r="BN151" t="e">
        <f>AND(#REF!,"AAAAAD1PTkE=")</f>
        <v>#REF!</v>
      </c>
      <c r="BO151" t="e">
        <f>AND(#REF!,"AAAAAD1PTkI=")</f>
        <v>#REF!</v>
      </c>
      <c r="BP151" t="e">
        <f>AND(#REF!,"AAAAAD1PTkM=")</f>
        <v>#REF!</v>
      </c>
      <c r="BQ151" t="e">
        <f>AND(#REF!,"AAAAAD1PTkQ=")</f>
        <v>#REF!</v>
      </c>
      <c r="BR151" t="e">
        <f>AND(#REF!,"AAAAAD1PTkU=")</f>
        <v>#REF!</v>
      </c>
      <c r="BS151" t="e">
        <f>AND(#REF!,"AAAAAD1PTkY=")</f>
        <v>#REF!</v>
      </c>
      <c r="BT151" t="e">
        <f>AND(#REF!,"AAAAAD1PTkc=")</f>
        <v>#REF!</v>
      </c>
      <c r="BU151" t="e">
        <f>IF(#REF!,"AAAAAD1PTkg=",0)</f>
        <v>#REF!</v>
      </c>
      <c r="BV151" t="e">
        <f>AND(#REF!,"AAAAAD1PTkk=")</f>
        <v>#REF!</v>
      </c>
      <c r="BW151" t="e">
        <f>AND(#REF!,"AAAAAD1PTko=")</f>
        <v>#REF!</v>
      </c>
      <c r="BX151" t="e">
        <f>AND(#REF!,"AAAAAD1PTks=")</f>
        <v>#REF!</v>
      </c>
      <c r="BY151" t="e">
        <f>AND(#REF!,"AAAAAD1PTkw=")</f>
        <v>#REF!</v>
      </c>
      <c r="BZ151" t="e">
        <f>AND(#REF!,"AAAAAD1PTk0=")</f>
        <v>#REF!</v>
      </c>
      <c r="CA151" t="e">
        <f>AND(#REF!,"AAAAAD1PTk4=")</f>
        <v>#REF!</v>
      </c>
      <c r="CB151" t="e">
        <f>AND(#REF!,"AAAAAD1PTk8=")</f>
        <v>#REF!</v>
      </c>
      <c r="CC151" t="e">
        <f>AND(#REF!,"AAAAAD1PTlA=")</f>
        <v>#REF!</v>
      </c>
      <c r="CD151" t="e">
        <f>AND(#REF!,"AAAAAD1PTlE=")</f>
        <v>#REF!</v>
      </c>
      <c r="CE151" t="e">
        <f>AND(#REF!,"AAAAAD1PTlI=")</f>
        <v>#REF!</v>
      </c>
      <c r="CF151" t="e">
        <f>AND(#REF!,"AAAAAD1PTlM=")</f>
        <v>#REF!</v>
      </c>
      <c r="CG151" t="e">
        <f>AND(#REF!,"AAAAAD1PTlQ=")</f>
        <v>#REF!</v>
      </c>
      <c r="CH151" t="e">
        <f>AND(#REF!,"AAAAAD1PTlU=")</f>
        <v>#REF!</v>
      </c>
      <c r="CI151" t="e">
        <f>AND(#REF!,"AAAAAD1PTlY=")</f>
        <v>#REF!</v>
      </c>
      <c r="CJ151" t="e">
        <f>AND(#REF!,"AAAAAD1PTlc=")</f>
        <v>#REF!</v>
      </c>
      <c r="CK151" t="e">
        <f>AND(#REF!,"AAAAAD1PTlg=")</f>
        <v>#REF!</v>
      </c>
      <c r="CL151" t="e">
        <f>AND(#REF!,"AAAAAD1PTlk=")</f>
        <v>#REF!</v>
      </c>
      <c r="CM151" t="e">
        <f>AND(#REF!,"AAAAAD1PTlo=")</f>
        <v>#REF!</v>
      </c>
      <c r="CN151" t="e">
        <f>AND(#REF!,"AAAAAD1PTls=")</f>
        <v>#REF!</v>
      </c>
      <c r="CO151" t="e">
        <f>AND(#REF!,"AAAAAD1PTlw=")</f>
        <v>#REF!</v>
      </c>
      <c r="CP151" t="e">
        <f>AND(#REF!,"AAAAAD1PTl0=")</f>
        <v>#REF!</v>
      </c>
      <c r="CQ151" t="e">
        <f>AND(#REF!,"AAAAAD1PTl4=")</f>
        <v>#REF!</v>
      </c>
      <c r="CR151" t="e">
        <f>AND(#REF!,"AAAAAD1PTl8=")</f>
        <v>#REF!</v>
      </c>
      <c r="CS151" t="e">
        <f>AND(#REF!,"AAAAAD1PTmA=")</f>
        <v>#REF!</v>
      </c>
      <c r="CT151" t="e">
        <f>AND(#REF!,"AAAAAD1PTmE=")</f>
        <v>#REF!</v>
      </c>
      <c r="CU151" t="e">
        <f>AND(#REF!,"AAAAAD1PTmI=")</f>
        <v>#REF!</v>
      </c>
      <c r="CV151" t="e">
        <f>AND(#REF!,"AAAAAD1PTmM=")</f>
        <v>#REF!</v>
      </c>
      <c r="CW151" t="e">
        <f>AND(#REF!,"AAAAAD1PTmQ=")</f>
        <v>#REF!</v>
      </c>
      <c r="CX151" t="e">
        <f>AND(#REF!,"AAAAAD1PTmU=")</f>
        <v>#REF!</v>
      </c>
      <c r="CY151" t="e">
        <f>AND(#REF!,"AAAAAD1PTmY=")</f>
        <v>#REF!</v>
      </c>
      <c r="CZ151" t="e">
        <f>IF(#REF!,"AAAAAD1PTmc=",0)</f>
        <v>#REF!</v>
      </c>
      <c r="DA151" t="e">
        <f>AND(#REF!,"AAAAAD1PTmg=")</f>
        <v>#REF!</v>
      </c>
      <c r="DB151" t="e">
        <f>AND(#REF!,"AAAAAD1PTmk=")</f>
        <v>#REF!</v>
      </c>
      <c r="DC151" t="e">
        <f>AND(#REF!,"AAAAAD1PTmo=")</f>
        <v>#REF!</v>
      </c>
      <c r="DD151" t="e">
        <f>AND(#REF!,"AAAAAD1PTms=")</f>
        <v>#REF!</v>
      </c>
      <c r="DE151" t="e">
        <f>AND(#REF!,"AAAAAD1PTmw=")</f>
        <v>#REF!</v>
      </c>
      <c r="DF151" t="e">
        <f>AND(#REF!,"AAAAAD1PTm0=")</f>
        <v>#REF!</v>
      </c>
      <c r="DG151" t="e">
        <f>AND(#REF!,"AAAAAD1PTm4=")</f>
        <v>#REF!</v>
      </c>
      <c r="DH151" t="e">
        <f>AND(#REF!,"AAAAAD1PTm8=")</f>
        <v>#REF!</v>
      </c>
      <c r="DI151" t="e">
        <f>AND(#REF!,"AAAAAD1PTnA=")</f>
        <v>#REF!</v>
      </c>
      <c r="DJ151" t="e">
        <f>AND(#REF!,"AAAAAD1PTnE=")</f>
        <v>#REF!</v>
      </c>
      <c r="DK151" t="e">
        <f>AND(#REF!,"AAAAAD1PTnI=")</f>
        <v>#REF!</v>
      </c>
      <c r="DL151" t="e">
        <f>AND(#REF!,"AAAAAD1PTnM=")</f>
        <v>#REF!</v>
      </c>
      <c r="DM151" t="e">
        <f>AND(#REF!,"AAAAAD1PTnQ=")</f>
        <v>#REF!</v>
      </c>
      <c r="DN151" t="e">
        <f>AND(#REF!,"AAAAAD1PTnU=")</f>
        <v>#REF!</v>
      </c>
      <c r="DO151" t="e">
        <f>AND(#REF!,"AAAAAD1PTnY=")</f>
        <v>#REF!</v>
      </c>
      <c r="DP151" t="e">
        <f>AND(#REF!,"AAAAAD1PTnc=")</f>
        <v>#REF!</v>
      </c>
      <c r="DQ151" t="e">
        <f>AND(#REF!,"AAAAAD1PTng=")</f>
        <v>#REF!</v>
      </c>
      <c r="DR151" t="e">
        <f>AND(#REF!,"AAAAAD1PTnk=")</f>
        <v>#REF!</v>
      </c>
      <c r="DS151" t="e">
        <f>AND(#REF!,"AAAAAD1PTno=")</f>
        <v>#REF!</v>
      </c>
      <c r="DT151" t="e">
        <f>AND(#REF!,"AAAAAD1PTns=")</f>
        <v>#REF!</v>
      </c>
      <c r="DU151" t="e">
        <f>AND(#REF!,"AAAAAD1PTnw=")</f>
        <v>#REF!</v>
      </c>
      <c r="DV151" t="e">
        <f>AND(#REF!,"AAAAAD1PTn0=")</f>
        <v>#REF!</v>
      </c>
      <c r="DW151" t="e">
        <f>AND(#REF!,"AAAAAD1PTn4=")</f>
        <v>#REF!</v>
      </c>
      <c r="DX151" t="e">
        <f>AND(#REF!,"AAAAAD1PTn8=")</f>
        <v>#REF!</v>
      </c>
      <c r="DY151" t="e">
        <f>AND(#REF!,"AAAAAD1PToA=")</f>
        <v>#REF!</v>
      </c>
      <c r="DZ151" t="e">
        <f>AND(#REF!,"AAAAAD1PToE=")</f>
        <v>#REF!</v>
      </c>
      <c r="EA151" t="e">
        <f>AND(#REF!,"AAAAAD1PToI=")</f>
        <v>#REF!</v>
      </c>
      <c r="EB151" t="e">
        <f>AND(#REF!,"AAAAAD1PToM=")</f>
        <v>#REF!</v>
      </c>
      <c r="EC151" t="e">
        <f>AND(#REF!,"AAAAAD1PToQ=")</f>
        <v>#REF!</v>
      </c>
      <c r="ED151" t="e">
        <f>AND(#REF!,"AAAAAD1PToU=")</f>
        <v>#REF!</v>
      </c>
      <c r="EE151" t="e">
        <f>IF(#REF!,"AAAAAD1PToY=",0)</f>
        <v>#REF!</v>
      </c>
      <c r="EF151" t="e">
        <f>AND(#REF!,"AAAAAD1PToc=")</f>
        <v>#REF!</v>
      </c>
      <c r="EG151" t="e">
        <f>AND(#REF!,"AAAAAD1PTog=")</f>
        <v>#REF!</v>
      </c>
      <c r="EH151" t="e">
        <f>AND(#REF!,"AAAAAD1PTok=")</f>
        <v>#REF!</v>
      </c>
      <c r="EI151" t="e">
        <f>AND(#REF!,"AAAAAD1PToo=")</f>
        <v>#REF!</v>
      </c>
      <c r="EJ151" t="e">
        <f>AND(#REF!,"AAAAAD1PTos=")</f>
        <v>#REF!</v>
      </c>
      <c r="EK151" t="e">
        <f>AND(#REF!,"AAAAAD1PTow=")</f>
        <v>#REF!</v>
      </c>
      <c r="EL151" t="e">
        <f>AND(#REF!,"AAAAAD1PTo0=")</f>
        <v>#REF!</v>
      </c>
      <c r="EM151" t="e">
        <f>AND(#REF!,"AAAAAD1PTo4=")</f>
        <v>#REF!</v>
      </c>
      <c r="EN151" t="e">
        <f>AND(#REF!,"AAAAAD1PTo8=")</f>
        <v>#REF!</v>
      </c>
      <c r="EO151" t="e">
        <f>AND(#REF!,"AAAAAD1PTpA=")</f>
        <v>#REF!</v>
      </c>
      <c r="EP151" t="e">
        <f>AND(#REF!,"AAAAAD1PTpE=")</f>
        <v>#REF!</v>
      </c>
      <c r="EQ151" t="e">
        <f>AND(#REF!,"AAAAAD1PTpI=")</f>
        <v>#REF!</v>
      </c>
      <c r="ER151" t="e">
        <f>AND(#REF!,"AAAAAD1PTpM=")</f>
        <v>#REF!</v>
      </c>
      <c r="ES151" t="e">
        <f>AND(#REF!,"AAAAAD1PTpQ=")</f>
        <v>#REF!</v>
      </c>
      <c r="ET151" t="e">
        <f>AND(#REF!,"AAAAAD1PTpU=")</f>
        <v>#REF!</v>
      </c>
      <c r="EU151" t="e">
        <f>AND(#REF!,"AAAAAD1PTpY=")</f>
        <v>#REF!</v>
      </c>
      <c r="EV151" t="e">
        <f>AND(#REF!,"AAAAAD1PTpc=")</f>
        <v>#REF!</v>
      </c>
      <c r="EW151" t="e">
        <f>AND(#REF!,"AAAAAD1PTpg=")</f>
        <v>#REF!</v>
      </c>
      <c r="EX151" t="e">
        <f>AND(#REF!,"AAAAAD1PTpk=")</f>
        <v>#REF!</v>
      </c>
      <c r="EY151" t="e">
        <f>AND(#REF!,"AAAAAD1PTpo=")</f>
        <v>#REF!</v>
      </c>
      <c r="EZ151" t="e">
        <f>AND(#REF!,"AAAAAD1PTps=")</f>
        <v>#REF!</v>
      </c>
      <c r="FA151" t="e">
        <f>AND(#REF!,"AAAAAD1PTpw=")</f>
        <v>#REF!</v>
      </c>
      <c r="FB151" t="e">
        <f>AND(#REF!,"AAAAAD1PTp0=")</f>
        <v>#REF!</v>
      </c>
      <c r="FC151" t="e">
        <f>AND(#REF!,"AAAAAD1PTp4=")</f>
        <v>#REF!</v>
      </c>
      <c r="FD151" t="e">
        <f>AND(#REF!,"AAAAAD1PTp8=")</f>
        <v>#REF!</v>
      </c>
      <c r="FE151" t="e">
        <f>AND(#REF!,"AAAAAD1PTqA=")</f>
        <v>#REF!</v>
      </c>
      <c r="FF151" t="e">
        <f>AND(#REF!,"AAAAAD1PTqE=")</f>
        <v>#REF!</v>
      </c>
      <c r="FG151" t="e">
        <f>AND(#REF!,"AAAAAD1PTqI=")</f>
        <v>#REF!</v>
      </c>
      <c r="FH151" t="e">
        <f>AND(#REF!,"AAAAAD1PTqM=")</f>
        <v>#REF!</v>
      </c>
      <c r="FI151" t="e">
        <f>AND(#REF!,"AAAAAD1PTqQ=")</f>
        <v>#REF!</v>
      </c>
      <c r="FJ151" t="e">
        <f>IF(#REF!,"AAAAAD1PTqU=",0)</f>
        <v>#REF!</v>
      </c>
      <c r="FK151" t="e">
        <f>AND(#REF!,"AAAAAD1PTqY=")</f>
        <v>#REF!</v>
      </c>
      <c r="FL151" t="e">
        <f>AND(#REF!,"AAAAAD1PTqc=")</f>
        <v>#REF!</v>
      </c>
      <c r="FM151" t="e">
        <f>AND(#REF!,"AAAAAD1PTqg=")</f>
        <v>#REF!</v>
      </c>
      <c r="FN151" t="e">
        <f>AND(#REF!,"AAAAAD1PTqk=")</f>
        <v>#REF!</v>
      </c>
      <c r="FO151" t="e">
        <f>AND(#REF!,"AAAAAD1PTqo=")</f>
        <v>#REF!</v>
      </c>
      <c r="FP151" t="e">
        <f>AND(#REF!,"AAAAAD1PTqs=")</f>
        <v>#REF!</v>
      </c>
      <c r="FQ151" t="e">
        <f>AND(#REF!,"AAAAAD1PTqw=")</f>
        <v>#REF!</v>
      </c>
      <c r="FR151" t="e">
        <f>AND(#REF!,"AAAAAD1PTq0=")</f>
        <v>#REF!</v>
      </c>
      <c r="FS151" t="e">
        <f>AND(#REF!,"AAAAAD1PTq4=")</f>
        <v>#REF!</v>
      </c>
      <c r="FT151" t="e">
        <f>AND(#REF!,"AAAAAD1PTq8=")</f>
        <v>#REF!</v>
      </c>
      <c r="FU151" t="e">
        <f>AND(#REF!,"AAAAAD1PTrA=")</f>
        <v>#REF!</v>
      </c>
      <c r="FV151" t="e">
        <f>AND(#REF!,"AAAAAD1PTrE=")</f>
        <v>#REF!</v>
      </c>
      <c r="FW151" t="e">
        <f>AND(#REF!,"AAAAAD1PTrI=")</f>
        <v>#REF!</v>
      </c>
      <c r="FX151" t="e">
        <f>AND(#REF!,"AAAAAD1PTrM=")</f>
        <v>#REF!</v>
      </c>
      <c r="FY151" t="e">
        <f>AND(#REF!,"AAAAAD1PTrQ=")</f>
        <v>#REF!</v>
      </c>
      <c r="FZ151" t="e">
        <f>AND(#REF!,"AAAAAD1PTrU=")</f>
        <v>#REF!</v>
      </c>
      <c r="GA151" t="e">
        <f>AND(#REF!,"AAAAAD1PTrY=")</f>
        <v>#REF!</v>
      </c>
      <c r="GB151" t="e">
        <f>AND(#REF!,"AAAAAD1PTrc=")</f>
        <v>#REF!</v>
      </c>
      <c r="GC151" t="e">
        <f>AND(#REF!,"AAAAAD1PTrg=")</f>
        <v>#REF!</v>
      </c>
      <c r="GD151" t="e">
        <f>AND(#REF!,"AAAAAD1PTrk=")</f>
        <v>#REF!</v>
      </c>
      <c r="GE151" t="e">
        <f>AND(#REF!,"AAAAAD1PTro=")</f>
        <v>#REF!</v>
      </c>
      <c r="GF151" t="e">
        <f>AND(#REF!,"AAAAAD1PTrs=")</f>
        <v>#REF!</v>
      </c>
      <c r="GG151" t="e">
        <f>AND(#REF!,"AAAAAD1PTrw=")</f>
        <v>#REF!</v>
      </c>
      <c r="GH151" t="e">
        <f>AND(#REF!,"AAAAAD1PTr0=")</f>
        <v>#REF!</v>
      </c>
      <c r="GI151" t="e">
        <f>AND(#REF!,"AAAAAD1PTr4=")</f>
        <v>#REF!</v>
      </c>
      <c r="GJ151" t="e">
        <f>AND(#REF!,"AAAAAD1PTr8=")</f>
        <v>#REF!</v>
      </c>
      <c r="GK151" t="e">
        <f>AND(#REF!,"AAAAAD1PTsA=")</f>
        <v>#REF!</v>
      </c>
      <c r="GL151" t="e">
        <f>AND(#REF!,"AAAAAD1PTsE=")</f>
        <v>#REF!</v>
      </c>
      <c r="GM151" t="e">
        <f>AND(#REF!,"AAAAAD1PTsI=")</f>
        <v>#REF!</v>
      </c>
      <c r="GN151" t="e">
        <f>AND(#REF!,"AAAAAD1PTsM=")</f>
        <v>#REF!</v>
      </c>
      <c r="GO151" t="e">
        <f>IF(#REF!,"AAAAAD1PTsQ=",0)</f>
        <v>#REF!</v>
      </c>
      <c r="GP151" t="e">
        <f>AND(#REF!,"AAAAAD1PTsU=")</f>
        <v>#REF!</v>
      </c>
      <c r="GQ151" t="e">
        <f>AND(#REF!,"AAAAAD1PTsY=")</f>
        <v>#REF!</v>
      </c>
      <c r="GR151" t="e">
        <f>AND(#REF!,"AAAAAD1PTsc=")</f>
        <v>#REF!</v>
      </c>
      <c r="GS151" t="e">
        <f>AND(#REF!,"AAAAAD1PTsg=")</f>
        <v>#REF!</v>
      </c>
      <c r="GT151" t="e">
        <f>AND(#REF!,"AAAAAD1PTsk=")</f>
        <v>#REF!</v>
      </c>
      <c r="GU151" t="e">
        <f>AND(#REF!,"AAAAAD1PTso=")</f>
        <v>#REF!</v>
      </c>
      <c r="GV151" t="e">
        <f>AND(#REF!,"AAAAAD1PTss=")</f>
        <v>#REF!</v>
      </c>
      <c r="GW151" t="e">
        <f>AND(#REF!,"AAAAAD1PTsw=")</f>
        <v>#REF!</v>
      </c>
      <c r="GX151" t="e">
        <f>AND(#REF!,"AAAAAD1PTs0=")</f>
        <v>#REF!</v>
      </c>
      <c r="GY151" t="e">
        <f>AND(#REF!,"AAAAAD1PTs4=")</f>
        <v>#REF!</v>
      </c>
      <c r="GZ151" t="e">
        <f>AND(#REF!,"AAAAAD1PTs8=")</f>
        <v>#REF!</v>
      </c>
      <c r="HA151" t="e">
        <f>AND(#REF!,"AAAAAD1PTtA=")</f>
        <v>#REF!</v>
      </c>
      <c r="HB151" t="e">
        <f>AND(#REF!,"AAAAAD1PTtE=")</f>
        <v>#REF!</v>
      </c>
      <c r="HC151" t="e">
        <f>AND(#REF!,"AAAAAD1PTtI=")</f>
        <v>#REF!</v>
      </c>
      <c r="HD151" t="e">
        <f>AND(#REF!,"AAAAAD1PTtM=")</f>
        <v>#REF!</v>
      </c>
      <c r="HE151" t="e">
        <f>AND(#REF!,"AAAAAD1PTtQ=")</f>
        <v>#REF!</v>
      </c>
      <c r="HF151" t="e">
        <f>AND(#REF!,"AAAAAD1PTtU=")</f>
        <v>#REF!</v>
      </c>
      <c r="HG151" t="e">
        <f>AND(#REF!,"AAAAAD1PTtY=")</f>
        <v>#REF!</v>
      </c>
      <c r="HH151" t="e">
        <f>AND(#REF!,"AAAAAD1PTtc=")</f>
        <v>#REF!</v>
      </c>
      <c r="HI151" t="e">
        <f>AND(#REF!,"AAAAAD1PTtg=")</f>
        <v>#REF!</v>
      </c>
      <c r="HJ151" t="e">
        <f>AND(#REF!,"AAAAAD1PTtk=")</f>
        <v>#REF!</v>
      </c>
      <c r="HK151" t="e">
        <f>AND(#REF!,"AAAAAD1PTto=")</f>
        <v>#REF!</v>
      </c>
      <c r="HL151" t="e">
        <f>AND(#REF!,"AAAAAD1PTts=")</f>
        <v>#REF!</v>
      </c>
      <c r="HM151" t="e">
        <f>AND(#REF!,"AAAAAD1PTtw=")</f>
        <v>#REF!</v>
      </c>
      <c r="HN151" t="e">
        <f>AND(#REF!,"AAAAAD1PTt0=")</f>
        <v>#REF!</v>
      </c>
      <c r="HO151" t="e">
        <f>AND(#REF!,"AAAAAD1PTt4=")</f>
        <v>#REF!</v>
      </c>
      <c r="HP151" t="e">
        <f>AND(#REF!,"AAAAAD1PTt8=")</f>
        <v>#REF!</v>
      </c>
      <c r="HQ151" t="e">
        <f>AND(#REF!,"AAAAAD1PTuA=")</f>
        <v>#REF!</v>
      </c>
      <c r="HR151" t="e">
        <f>AND(#REF!,"AAAAAD1PTuE=")</f>
        <v>#REF!</v>
      </c>
      <c r="HS151" t="e">
        <f>AND(#REF!,"AAAAAD1PTuI=")</f>
        <v>#REF!</v>
      </c>
      <c r="HT151" t="e">
        <f>IF(#REF!,"AAAAAD1PTuM=",0)</f>
        <v>#REF!</v>
      </c>
      <c r="HU151" t="e">
        <f>AND(#REF!,"AAAAAD1PTuQ=")</f>
        <v>#REF!</v>
      </c>
      <c r="HV151" t="e">
        <f>AND(#REF!,"AAAAAD1PTuU=")</f>
        <v>#REF!</v>
      </c>
      <c r="HW151" t="e">
        <f>AND(#REF!,"AAAAAD1PTuY=")</f>
        <v>#REF!</v>
      </c>
      <c r="HX151" t="e">
        <f>AND(#REF!,"AAAAAD1PTuc=")</f>
        <v>#REF!</v>
      </c>
      <c r="HY151" t="e">
        <f>AND(#REF!,"AAAAAD1PTug=")</f>
        <v>#REF!</v>
      </c>
      <c r="HZ151" t="e">
        <f>AND(#REF!,"AAAAAD1PTuk=")</f>
        <v>#REF!</v>
      </c>
      <c r="IA151" t="e">
        <f>AND(#REF!,"AAAAAD1PTuo=")</f>
        <v>#REF!</v>
      </c>
      <c r="IB151" t="e">
        <f>AND(#REF!,"AAAAAD1PTus=")</f>
        <v>#REF!</v>
      </c>
      <c r="IC151" t="e">
        <f>AND(#REF!,"AAAAAD1PTuw=")</f>
        <v>#REF!</v>
      </c>
      <c r="ID151" t="e">
        <f>AND(#REF!,"AAAAAD1PTu0=")</f>
        <v>#REF!</v>
      </c>
      <c r="IE151" t="e">
        <f>AND(#REF!,"AAAAAD1PTu4=")</f>
        <v>#REF!</v>
      </c>
      <c r="IF151" t="e">
        <f>AND(#REF!,"AAAAAD1PTu8=")</f>
        <v>#REF!</v>
      </c>
      <c r="IG151" t="e">
        <f>AND(#REF!,"AAAAAD1PTvA=")</f>
        <v>#REF!</v>
      </c>
      <c r="IH151" t="e">
        <f>AND(#REF!,"AAAAAD1PTvE=")</f>
        <v>#REF!</v>
      </c>
      <c r="II151" t="e">
        <f>AND(#REF!,"AAAAAD1PTvI=")</f>
        <v>#REF!</v>
      </c>
      <c r="IJ151" t="e">
        <f>AND(#REF!,"AAAAAD1PTvM=")</f>
        <v>#REF!</v>
      </c>
      <c r="IK151" t="e">
        <f>AND(#REF!,"AAAAAD1PTvQ=")</f>
        <v>#REF!</v>
      </c>
      <c r="IL151" t="e">
        <f>AND(#REF!,"AAAAAD1PTvU=")</f>
        <v>#REF!</v>
      </c>
      <c r="IM151" t="e">
        <f>AND(#REF!,"AAAAAD1PTvY=")</f>
        <v>#REF!</v>
      </c>
      <c r="IN151" t="e">
        <f>AND(#REF!,"AAAAAD1PTvc=")</f>
        <v>#REF!</v>
      </c>
      <c r="IO151" t="e">
        <f>AND(#REF!,"AAAAAD1PTvg=")</f>
        <v>#REF!</v>
      </c>
      <c r="IP151" t="e">
        <f>AND(#REF!,"AAAAAD1PTvk=")</f>
        <v>#REF!</v>
      </c>
      <c r="IQ151" t="e">
        <f>AND(#REF!,"AAAAAD1PTvo=")</f>
        <v>#REF!</v>
      </c>
      <c r="IR151" t="e">
        <f>AND(#REF!,"AAAAAD1PTvs=")</f>
        <v>#REF!</v>
      </c>
      <c r="IS151" t="e">
        <f>AND(#REF!,"AAAAAD1PTvw=")</f>
        <v>#REF!</v>
      </c>
      <c r="IT151" t="e">
        <f>AND(#REF!,"AAAAAD1PTv0=")</f>
        <v>#REF!</v>
      </c>
      <c r="IU151" t="e">
        <f>AND(#REF!,"AAAAAD1PTv4=")</f>
        <v>#REF!</v>
      </c>
      <c r="IV151" t="e">
        <f>AND(#REF!,"AAAAAD1PTv8=")</f>
        <v>#REF!</v>
      </c>
    </row>
    <row r="152" spans="1:256" x14ac:dyDescent="0.2">
      <c r="A152" t="e">
        <f>AND(#REF!,"AAAAAF176wA=")</f>
        <v>#REF!</v>
      </c>
      <c r="B152" t="e">
        <f>AND(#REF!,"AAAAAF176wE=")</f>
        <v>#REF!</v>
      </c>
      <c r="C152" t="e">
        <f>IF(#REF!,"AAAAAF176wI=",0)</f>
        <v>#REF!</v>
      </c>
      <c r="D152" t="e">
        <f>AND(#REF!,"AAAAAF176wM=")</f>
        <v>#REF!</v>
      </c>
      <c r="E152" t="e">
        <f>AND(#REF!,"AAAAAF176wQ=")</f>
        <v>#REF!</v>
      </c>
      <c r="F152" t="e">
        <f>AND(#REF!,"AAAAAF176wU=")</f>
        <v>#REF!</v>
      </c>
      <c r="G152" t="e">
        <f>AND(#REF!,"AAAAAF176wY=")</f>
        <v>#REF!</v>
      </c>
      <c r="H152" t="e">
        <f>AND(#REF!,"AAAAAF176wc=")</f>
        <v>#REF!</v>
      </c>
      <c r="I152" t="e">
        <f>AND(#REF!,"AAAAAF176wg=")</f>
        <v>#REF!</v>
      </c>
      <c r="J152" t="e">
        <f>AND(#REF!,"AAAAAF176wk=")</f>
        <v>#REF!</v>
      </c>
      <c r="K152" t="e">
        <f>AND(#REF!,"AAAAAF176wo=")</f>
        <v>#REF!</v>
      </c>
      <c r="L152" t="e">
        <f>AND(#REF!,"AAAAAF176ws=")</f>
        <v>#REF!</v>
      </c>
      <c r="M152" t="e">
        <f>AND(#REF!,"AAAAAF176ww=")</f>
        <v>#REF!</v>
      </c>
      <c r="N152" t="e">
        <f>AND(#REF!,"AAAAAF176w0=")</f>
        <v>#REF!</v>
      </c>
      <c r="O152" t="e">
        <f>AND(#REF!,"AAAAAF176w4=")</f>
        <v>#REF!</v>
      </c>
      <c r="P152" t="e">
        <f>AND(#REF!,"AAAAAF176w8=")</f>
        <v>#REF!</v>
      </c>
      <c r="Q152" t="e">
        <f>AND(#REF!,"AAAAAF176xA=")</f>
        <v>#REF!</v>
      </c>
      <c r="R152" t="e">
        <f>AND(#REF!,"AAAAAF176xE=")</f>
        <v>#REF!</v>
      </c>
      <c r="S152" t="e">
        <f>AND(#REF!,"AAAAAF176xI=")</f>
        <v>#REF!</v>
      </c>
      <c r="T152" t="e">
        <f>AND(#REF!,"AAAAAF176xM=")</f>
        <v>#REF!</v>
      </c>
      <c r="U152" t="e">
        <f>AND(#REF!,"AAAAAF176xQ=")</f>
        <v>#REF!</v>
      </c>
      <c r="V152" t="e">
        <f>AND(#REF!,"AAAAAF176xU=")</f>
        <v>#REF!</v>
      </c>
      <c r="W152" t="e">
        <f>AND(#REF!,"AAAAAF176xY=")</f>
        <v>#REF!</v>
      </c>
      <c r="X152" t="e">
        <f>AND(#REF!,"AAAAAF176xc=")</f>
        <v>#REF!</v>
      </c>
      <c r="Y152" t="e">
        <f>AND(#REF!,"AAAAAF176xg=")</f>
        <v>#REF!</v>
      </c>
      <c r="Z152" t="e">
        <f>AND(#REF!,"AAAAAF176xk=")</f>
        <v>#REF!</v>
      </c>
      <c r="AA152" t="e">
        <f>AND(#REF!,"AAAAAF176xo=")</f>
        <v>#REF!</v>
      </c>
      <c r="AB152" t="e">
        <f>AND(#REF!,"AAAAAF176xs=")</f>
        <v>#REF!</v>
      </c>
      <c r="AC152" t="e">
        <f>AND(#REF!,"AAAAAF176xw=")</f>
        <v>#REF!</v>
      </c>
      <c r="AD152" t="e">
        <f>AND(#REF!,"AAAAAF176x0=")</f>
        <v>#REF!</v>
      </c>
      <c r="AE152" t="e">
        <f>AND(#REF!,"AAAAAF176x4=")</f>
        <v>#REF!</v>
      </c>
      <c r="AF152" t="e">
        <f>AND(#REF!,"AAAAAF176x8=")</f>
        <v>#REF!</v>
      </c>
      <c r="AG152" t="e">
        <f>AND(#REF!,"AAAAAF176yA=")</f>
        <v>#REF!</v>
      </c>
      <c r="AH152" t="e">
        <f>IF(#REF!,"AAAAAF176yE=",0)</f>
        <v>#REF!</v>
      </c>
      <c r="AI152" t="e">
        <f>AND(#REF!,"AAAAAF176yI=")</f>
        <v>#REF!</v>
      </c>
      <c r="AJ152" t="e">
        <f>AND(#REF!,"AAAAAF176yM=")</f>
        <v>#REF!</v>
      </c>
      <c r="AK152" t="e">
        <f>AND(#REF!,"AAAAAF176yQ=")</f>
        <v>#REF!</v>
      </c>
      <c r="AL152" t="e">
        <f>AND(#REF!,"AAAAAF176yU=")</f>
        <v>#REF!</v>
      </c>
      <c r="AM152" t="e">
        <f>AND(#REF!,"AAAAAF176yY=")</f>
        <v>#REF!</v>
      </c>
      <c r="AN152" t="e">
        <f>AND(#REF!,"AAAAAF176yc=")</f>
        <v>#REF!</v>
      </c>
      <c r="AO152" t="e">
        <f>AND(#REF!,"AAAAAF176yg=")</f>
        <v>#REF!</v>
      </c>
      <c r="AP152" t="e">
        <f>AND(#REF!,"AAAAAF176yk=")</f>
        <v>#REF!</v>
      </c>
      <c r="AQ152" t="e">
        <f>AND(#REF!,"AAAAAF176yo=")</f>
        <v>#REF!</v>
      </c>
      <c r="AR152" t="e">
        <f>AND(#REF!,"AAAAAF176ys=")</f>
        <v>#REF!</v>
      </c>
      <c r="AS152" t="e">
        <f>AND(#REF!,"AAAAAF176yw=")</f>
        <v>#REF!</v>
      </c>
      <c r="AT152" t="e">
        <f>AND(#REF!,"AAAAAF176y0=")</f>
        <v>#REF!</v>
      </c>
      <c r="AU152" t="e">
        <f>AND(#REF!,"AAAAAF176y4=")</f>
        <v>#REF!</v>
      </c>
      <c r="AV152" t="e">
        <f>AND(#REF!,"AAAAAF176y8=")</f>
        <v>#REF!</v>
      </c>
      <c r="AW152" t="e">
        <f>AND(#REF!,"AAAAAF176zA=")</f>
        <v>#REF!</v>
      </c>
      <c r="AX152" t="e">
        <f>AND(#REF!,"AAAAAF176zE=")</f>
        <v>#REF!</v>
      </c>
      <c r="AY152" t="e">
        <f>AND(#REF!,"AAAAAF176zI=")</f>
        <v>#REF!</v>
      </c>
      <c r="AZ152" t="e">
        <f>AND(#REF!,"AAAAAF176zM=")</f>
        <v>#REF!</v>
      </c>
      <c r="BA152" t="e">
        <f>AND(#REF!,"AAAAAF176zQ=")</f>
        <v>#REF!</v>
      </c>
      <c r="BB152" t="e">
        <f>AND(#REF!,"AAAAAF176zU=")</f>
        <v>#REF!</v>
      </c>
      <c r="BC152" t="e">
        <f>AND(#REF!,"AAAAAF176zY=")</f>
        <v>#REF!</v>
      </c>
      <c r="BD152" t="e">
        <f>AND(#REF!,"AAAAAF176zc=")</f>
        <v>#REF!</v>
      </c>
      <c r="BE152" t="e">
        <f>AND(#REF!,"AAAAAF176zg=")</f>
        <v>#REF!</v>
      </c>
      <c r="BF152" t="e">
        <f>AND(#REF!,"AAAAAF176zk=")</f>
        <v>#REF!</v>
      </c>
      <c r="BG152" t="e">
        <f>AND(#REF!,"AAAAAF176zo=")</f>
        <v>#REF!</v>
      </c>
      <c r="BH152" t="e">
        <f>AND(#REF!,"AAAAAF176zs=")</f>
        <v>#REF!</v>
      </c>
      <c r="BI152" t="e">
        <f>AND(#REF!,"AAAAAF176zw=")</f>
        <v>#REF!</v>
      </c>
      <c r="BJ152" t="e">
        <f>AND(#REF!,"AAAAAF176z0=")</f>
        <v>#REF!</v>
      </c>
      <c r="BK152" t="e">
        <f>AND(#REF!,"AAAAAF176z4=")</f>
        <v>#REF!</v>
      </c>
      <c r="BL152" t="e">
        <f>AND(#REF!,"AAAAAF176z8=")</f>
        <v>#REF!</v>
      </c>
      <c r="BM152" t="e">
        <f>IF(#REF!,"AAAAAF1760A=",0)</f>
        <v>#REF!</v>
      </c>
      <c r="BN152" t="e">
        <f>AND(#REF!,"AAAAAF1760E=")</f>
        <v>#REF!</v>
      </c>
      <c r="BO152" t="e">
        <f>AND(#REF!,"AAAAAF1760I=")</f>
        <v>#REF!</v>
      </c>
      <c r="BP152" t="e">
        <f>AND(#REF!,"AAAAAF1760M=")</f>
        <v>#REF!</v>
      </c>
      <c r="BQ152" t="e">
        <f>AND(#REF!,"AAAAAF1760Q=")</f>
        <v>#REF!</v>
      </c>
      <c r="BR152" t="e">
        <f>AND(#REF!,"AAAAAF1760U=")</f>
        <v>#REF!</v>
      </c>
      <c r="BS152" t="e">
        <f>AND(#REF!,"AAAAAF1760Y=")</f>
        <v>#REF!</v>
      </c>
      <c r="BT152" t="e">
        <f>AND(#REF!,"AAAAAF1760c=")</f>
        <v>#REF!</v>
      </c>
      <c r="BU152" t="e">
        <f>AND(#REF!,"AAAAAF1760g=")</f>
        <v>#REF!</v>
      </c>
      <c r="BV152" t="e">
        <f>AND(#REF!,"AAAAAF1760k=")</f>
        <v>#REF!</v>
      </c>
      <c r="BW152" t="e">
        <f>AND(#REF!,"AAAAAF1760o=")</f>
        <v>#REF!</v>
      </c>
      <c r="BX152" t="e">
        <f>AND(#REF!,"AAAAAF1760s=")</f>
        <v>#REF!</v>
      </c>
      <c r="BY152" t="e">
        <f>AND(#REF!,"AAAAAF1760w=")</f>
        <v>#REF!</v>
      </c>
      <c r="BZ152" t="e">
        <f>AND(#REF!,"AAAAAF17600=")</f>
        <v>#REF!</v>
      </c>
      <c r="CA152" t="e">
        <f>AND(#REF!,"AAAAAF17604=")</f>
        <v>#REF!</v>
      </c>
      <c r="CB152" t="e">
        <f>AND(#REF!,"AAAAAF17608=")</f>
        <v>#REF!</v>
      </c>
      <c r="CC152" t="e">
        <f>AND(#REF!,"AAAAAF1761A=")</f>
        <v>#REF!</v>
      </c>
      <c r="CD152" t="e">
        <f>AND(#REF!,"AAAAAF1761E=")</f>
        <v>#REF!</v>
      </c>
      <c r="CE152" t="e">
        <f>AND(#REF!,"AAAAAF1761I=")</f>
        <v>#REF!</v>
      </c>
      <c r="CF152" t="e">
        <f>AND(#REF!,"AAAAAF1761M=")</f>
        <v>#REF!</v>
      </c>
      <c r="CG152" t="e">
        <f>AND(#REF!,"AAAAAF1761Q=")</f>
        <v>#REF!</v>
      </c>
      <c r="CH152" t="e">
        <f>AND(#REF!,"AAAAAF1761U=")</f>
        <v>#REF!</v>
      </c>
      <c r="CI152" t="e">
        <f>AND(#REF!,"AAAAAF1761Y=")</f>
        <v>#REF!</v>
      </c>
      <c r="CJ152" t="e">
        <f>AND(#REF!,"AAAAAF1761c=")</f>
        <v>#REF!</v>
      </c>
      <c r="CK152" t="e">
        <f>AND(#REF!,"AAAAAF1761g=")</f>
        <v>#REF!</v>
      </c>
      <c r="CL152" t="e">
        <f>AND(#REF!,"AAAAAF1761k=")</f>
        <v>#REF!</v>
      </c>
      <c r="CM152" t="e">
        <f>AND(#REF!,"AAAAAF1761o=")</f>
        <v>#REF!</v>
      </c>
      <c r="CN152" t="e">
        <f>AND(#REF!,"AAAAAF1761s=")</f>
        <v>#REF!</v>
      </c>
      <c r="CO152" t="e">
        <f>AND(#REF!,"AAAAAF1761w=")</f>
        <v>#REF!</v>
      </c>
      <c r="CP152" t="e">
        <f>AND(#REF!,"AAAAAF17610=")</f>
        <v>#REF!</v>
      </c>
      <c r="CQ152" t="e">
        <f>AND(#REF!,"AAAAAF17614=")</f>
        <v>#REF!</v>
      </c>
      <c r="CR152" t="e">
        <f>IF(#REF!,"AAAAAF17618=",0)</f>
        <v>#REF!</v>
      </c>
      <c r="CS152" t="e">
        <f>AND(#REF!,"AAAAAF1762A=")</f>
        <v>#REF!</v>
      </c>
      <c r="CT152" t="e">
        <f>AND(#REF!,"AAAAAF1762E=")</f>
        <v>#REF!</v>
      </c>
      <c r="CU152" t="e">
        <f>AND(#REF!,"AAAAAF1762I=")</f>
        <v>#REF!</v>
      </c>
      <c r="CV152" t="e">
        <f>AND(#REF!,"AAAAAF1762M=")</f>
        <v>#REF!</v>
      </c>
      <c r="CW152" t="e">
        <f>AND(#REF!,"AAAAAF1762Q=")</f>
        <v>#REF!</v>
      </c>
      <c r="CX152" t="e">
        <f>AND(#REF!,"AAAAAF1762U=")</f>
        <v>#REF!</v>
      </c>
      <c r="CY152" t="e">
        <f>AND(#REF!,"AAAAAF1762Y=")</f>
        <v>#REF!</v>
      </c>
      <c r="CZ152" t="e">
        <f>AND(#REF!,"AAAAAF1762c=")</f>
        <v>#REF!</v>
      </c>
      <c r="DA152" t="e">
        <f>AND(#REF!,"AAAAAF1762g=")</f>
        <v>#REF!</v>
      </c>
      <c r="DB152" t="e">
        <f>AND(#REF!,"AAAAAF1762k=")</f>
        <v>#REF!</v>
      </c>
      <c r="DC152" t="e">
        <f>AND(#REF!,"AAAAAF1762o=")</f>
        <v>#REF!</v>
      </c>
      <c r="DD152" t="e">
        <f>AND(#REF!,"AAAAAF1762s=")</f>
        <v>#REF!</v>
      </c>
      <c r="DE152" t="e">
        <f>AND(#REF!,"AAAAAF1762w=")</f>
        <v>#REF!</v>
      </c>
      <c r="DF152" t="e">
        <f>AND(#REF!,"AAAAAF17620=")</f>
        <v>#REF!</v>
      </c>
      <c r="DG152" t="e">
        <f>AND(#REF!,"AAAAAF17624=")</f>
        <v>#REF!</v>
      </c>
      <c r="DH152" t="e">
        <f>AND(#REF!,"AAAAAF17628=")</f>
        <v>#REF!</v>
      </c>
      <c r="DI152" t="e">
        <f>AND(#REF!,"AAAAAF1763A=")</f>
        <v>#REF!</v>
      </c>
      <c r="DJ152" t="e">
        <f>AND(#REF!,"AAAAAF1763E=")</f>
        <v>#REF!</v>
      </c>
      <c r="DK152" t="e">
        <f>AND(#REF!,"AAAAAF1763I=")</f>
        <v>#REF!</v>
      </c>
      <c r="DL152" t="e">
        <f>AND(#REF!,"AAAAAF1763M=")</f>
        <v>#REF!</v>
      </c>
      <c r="DM152" t="e">
        <f>AND(#REF!,"AAAAAF1763Q=")</f>
        <v>#REF!</v>
      </c>
      <c r="DN152" t="e">
        <f>AND(#REF!,"AAAAAF1763U=")</f>
        <v>#REF!</v>
      </c>
      <c r="DO152" t="e">
        <f>AND(#REF!,"AAAAAF1763Y=")</f>
        <v>#REF!</v>
      </c>
      <c r="DP152" t="e">
        <f>AND(#REF!,"AAAAAF1763c=")</f>
        <v>#REF!</v>
      </c>
      <c r="DQ152" t="e">
        <f>AND(#REF!,"AAAAAF1763g=")</f>
        <v>#REF!</v>
      </c>
      <c r="DR152" t="e">
        <f>AND(#REF!,"AAAAAF1763k=")</f>
        <v>#REF!</v>
      </c>
      <c r="DS152" t="e">
        <f>AND(#REF!,"AAAAAF1763o=")</f>
        <v>#REF!</v>
      </c>
      <c r="DT152" t="e">
        <f>AND(#REF!,"AAAAAF1763s=")</f>
        <v>#REF!</v>
      </c>
      <c r="DU152" t="e">
        <f>AND(#REF!,"AAAAAF1763w=")</f>
        <v>#REF!</v>
      </c>
      <c r="DV152" t="e">
        <f>AND(#REF!,"AAAAAF17630=")</f>
        <v>#REF!</v>
      </c>
      <c r="DW152" t="e">
        <f>IF(#REF!,"AAAAAF17634=",0)</f>
        <v>#REF!</v>
      </c>
      <c r="DX152" t="e">
        <f>AND(#REF!,"AAAAAF17638=")</f>
        <v>#REF!</v>
      </c>
      <c r="DY152" t="e">
        <f>AND(#REF!,"AAAAAF1764A=")</f>
        <v>#REF!</v>
      </c>
      <c r="DZ152" t="e">
        <f>AND(#REF!,"AAAAAF1764E=")</f>
        <v>#REF!</v>
      </c>
      <c r="EA152" t="e">
        <f>AND(#REF!,"AAAAAF1764I=")</f>
        <v>#REF!</v>
      </c>
      <c r="EB152" t="e">
        <f>AND(#REF!,"AAAAAF1764M=")</f>
        <v>#REF!</v>
      </c>
      <c r="EC152" t="e">
        <f>AND(#REF!,"AAAAAF1764Q=")</f>
        <v>#REF!</v>
      </c>
      <c r="ED152" t="e">
        <f>AND(#REF!,"AAAAAF1764U=")</f>
        <v>#REF!</v>
      </c>
      <c r="EE152" t="e">
        <f>AND(#REF!,"AAAAAF1764Y=")</f>
        <v>#REF!</v>
      </c>
      <c r="EF152" t="e">
        <f>AND(#REF!,"AAAAAF1764c=")</f>
        <v>#REF!</v>
      </c>
      <c r="EG152" t="e">
        <f>AND(#REF!,"AAAAAF1764g=")</f>
        <v>#REF!</v>
      </c>
      <c r="EH152" t="e">
        <f>AND(#REF!,"AAAAAF1764k=")</f>
        <v>#REF!</v>
      </c>
      <c r="EI152" t="e">
        <f>AND(#REF!,"AAAAAF1764o=")</f>
        <v>#REF!</v>
      </c>
      <c r="EJ152" t="e">
        <f>AND(#REF!,"AAAAAF1764s=")</f>
        <v>#REF!</v>
      </c>
      <c r="EK152" t="e">
        <f>AND(#REF!,"AAAAAF1764w=")</f>
        <v>#REF!</v>
      </c>
      <c r="EL152" t="e">
        <f>AND(#REF!,"AAAAAF17640=")</f>
        <v>#REF!</v>
      </c>
      <c r="EM152" t="e">
        <f>AND(#REF!,"AAAAAF17644=")</f>
        <v>#REF!</v>
      </c>
      <c r="EN152" t="e">
        <f>AND(#REF!,"AAAAAF17648=")</f>
        <v>#REF!</v>
      </c>
      <c r="EO152" t="e">
        <f>AND(#REF!,"AAAAAF1765A=")</f>
        <v>#REF!</v>
      </c>
      <c r="EP152" t="e">
        <f>AND(#REF!,"AAAAAF1765E=")</f>
        <v>#REF!</v>
      </c>
      <c r="EQ152" t="e">
        <f>AND(#REF!,"AAAAAF1765I=")</f>
        <v>#REF!</v>
      </c>
      <c r="ER152" t="e">
        <f>AND(#REF!,"AAAAAF1765M=")</f>
        <v>#REF!</v>
      </c>
      <c r="ES152" t="e">
        <f>AND(#REF!,"AAAAAF1765Q=")</f>
        <v>#REF!</v>
      </c>
      <c r="ET152" t="e">
        <f>AND(#REF!,"AAAAAF1765U=")</f>
        <v>#REF!</v>
      </c>
      <c r="EU152" t="e">
        <f>AND(#REF!,"AAAAAF1765Y=")</f>
        <v>#REF!</v>
      </c>
      <c r="EV152" t="e">
        <f>AND(#REF!,"AAAAAF1765c=")</f>
        <v>#REF!</v>
      </c>
      <c r="EW152" t="e">
        <f>AND(#REF!,"AAAAAF1765g=")</f>
        <v>#REF!</v>
      </c>
      <c r="EX152" t="e">
        <f>AND(#REF!,"AAAAAF1765k=")</f>
        <v>#REF!</v>
      </c>
      <c r="EY152" t="e">
        <f>AND(#REF!,"AAAAAF1765o=")</f>
        <v>#REF!</v>
      </c>
      <c r="EZ152" t="e">
        <f>AND(#REF!,"AAAAAF1765s=")</f>
        <v>#REF!</v>
      </c>
      <c r="FA152" t="e">
        <f>AND(#REF!,"AAAAAF1765w=")</f>
        <v>#REF!</v>
      </c>
      <c r="FB152" t="e">
        <f>IF(#REF!,"AAAAAF17650=",0)</f>
        <v>#REF!</v>
      </c>
      <c r="FC152" t="e">
        <f>AND(#REF!,"AAAAAF17654=")</f>
        <v>#REF!</v>
      </c>
      <c r="FD152" t="e">
        <f>AND(#REF!,"AAAAAF17658=")</f>
        <v>#REF!</v>
      </c>
      <c r="FE152" t="e">
        <f>AND(#REF!,"AAAAAF1766A=")</f>
        <v>#REF!</v>
      </c>
      <c r="FF152" t="e">
        <f>AND(#REF!,"AAAAAF1766E=")</f>
        <v>#REF!</v>
      </c>
      <c r="FG152" t="e">
        <f>AND(#REF!,"AAAAAF1766I=")</f>
        <v>#REF!</v>
      </c>
      <c r="FH152" t="e">
        <f>AND(#REF!,"AAAAAF1766M=")</f>
        <v>#REF!</v>
      </c>
      <c r="FI152" t="e">
        <f>AND(#REF!,"AAAAAF1766Q=")</f>
        <v>#REF!</v>
      </c>
      <c r="FJ152" t="e">
        <f>AND(#REF!,"AAAAAF1766U=")</f>
        <v>#REF!</v>
      </c>
      <c r="FK152" t="e">
        <f>AND(#REF!,"AAAAAF1766Y=")</f>
        <v>#REF!</v>
      </c>
      <c r="FL152" t="e">
        <f>AND(#REF!,"AAAAAF1766c=")</f>
        <v>#REF!</v>
      </c>
      <c r="FM152" t="e">
        <f>AND(#REF!,"AAAAAF1766g=")</f>
        <v>#REF!</v>
      </c>
      <c r="FN152" t="e">
        <f>AND(#REF!,"AAAAAF1766k=")</f>
        <v>#REF!</v>
      </c>
      <c r="FO152" t="e">
        <f>AND(#REF!,"AAAAAF1766o=")</f>
        <v>#REF!</v>
      </c>
      <c r="FP152" t="e">
        <f>AND(#REF!,"AAAAAF1766s=")</f>
        <v>#REF!</v>
      </c>
      <c r="FQ152" t="e">
        <f>AND(#REF!,"AAAAAF1766w=")</f>
        <v>#REF!</v>
      </c>
      <c r="FR152" t="e">
        <f>AND(#REF!,"AAAAAF17660=")</f>
        <v>#REF!</v>
      </c>
      <c r="FS152" t="e">
        <f>AND(#REF!,"AAAAAF17664=")</f>
        <v>#REF!</v>
      </c>
      <c r="FT152" t="e">
        <f>AND(#REF!,"AAAAAF17668=")</f>
        <v>#REF!</v>
      </c>
      <c r="FU152" t="e">
        <f>AND(#REF!,"AAAAAF1767A=")</f>
        <v>#REF!</v>
      </c>
      <c r="FV152" t="e">
        <f>AND(#REF!,"AAAAAF1767E=")</f>
        <v>#REF!</v>
      </c>
      <c r="FW152" t="e">
        <f>AND(#REF!,"AAAAAF1767I=")</f>
        <v>#REF!</v>
      </c>
      <c r="FX152" t="e">
        <f>AND(#REF!,"AAAAAF1767M=")</f>
        <v>#REF!</v>
      </c>
      <c r="FY152" t="e">
        <f>AND(#REF!,"AAAAAF1767Q=")</f>
        <v>#REF!</v>
      </c>
      <c r="FZ152" t="e">
        <f>AND(#REF!,"AAAAAF1767U=")</f>
        <v>#REF!</v>
      </c>
      <c r="GA152" t="e">
        <f>AND(#REF!,"AAAAAF1767Y=")</f>
        <v>#REF!</v>
      </c>
      <c r="GB152" t="e">
        <f>AND(#REF!,"AAAAAF1767c=")</f>
        <v>#REF!</v>
      </c>
      <c r="GC152" t="e">
        <f>AND(#REF!,"AAAAAF1767g=")</f>
        <v>#REF!</v>
      </c>
      <c r="GD152" t="e">
        <f>AND(#REF!,"AAAAAF1767k=")</f>
        <v>#REF!</v>
      </c>
      <c r="GE152" t="e">
        <f>AND(#REF!,"AAAAAF1767o=")</f>
        <v>#REF!</v>
      </c>
      <c r="GF152" t="e">
        <f>AND(#REF!,"AAAAAF1767s=")</f>
        <v>#REF!</v>
      </c>
      <c r="GG152" t="e">
        <f>IF(#REF!,"AAAAAF1767w=",0)</f>
        <v>#REF!</v>
      </c>
      <c r="GH152" t="e">
        <f>AND(#REF!,"AAAAAF17670=")</f>
        <v>#REF!</v>
      </c>
      <c r="GI152" t="e">
        <f>AND(#REF!,"AAAAAF17674=")</f>
        <v>#REF!</v>
      </c>
      <c r="GJ152" t="e">
        <f>AND(#REF!,"AAAAAF17678=")</f>
        <v>#REF!</v>
      </c>
      <c r="GK152" t="e">
        <f>AND(#REF!,"AAAAAF1768A=")</f>
        <v>#REF!</v>
      </c>
      <c r="GL152" t="e">
        <f>AND(#REF!,"AAAAAF1768E=")</f>
        <v>#REF!</v>
      </c>
      <c r="GM152" t="e">
        <f>AND(#REF!,"AAAAAF1768I=")</f>
        <v>#REF!</v>
      </c>
      <c r="GN152" t="e">
        <f>AND(#REF!,"AAAAAF1768M=")</f>
        <v>#REF!</v>
      </c>
      <c r="GO152" t="e">
        <f>AND(#REF!,"AAAAAF1768Q=")</f>
        <v>#REF!</v>
      </c>
      <c r="GP152" t="e">
        <f>AND(#REF!,"AAAAAF1768U=")</f>
        <v>#REF!</v>
      </c>
      <c r="GQ152" t="e">
        <f>AND(#REF!,"AAAAAF1768Y=")</f>
        <v>#REF!</v>
      </c>
      <c r="GR152" t="e">
        <f>AND(#REF!,"AAAAAF1768c=")</f>
        <v>#REF!</v>
      </c>
      <c r="GS152" t="e">
        <f>AND(#REF!,"AAAAAF1768g=")</f>
        <v>#REF!</v>
      </c>
      <c r="GT152" t="e">
        <f>AND(#REF!,"AAAAAF1768k=")</f>
        <v>#REF!</v>
      </c>
      <c r="GU152" t="e">
        <f>AND(#REF!,"AAAAAF1768o=")</f>
        <v>#REF!</v>
      </c>
      <c r="GV152" t="e">
        <f>AND(#REF!,"AAAAAF1768s=")</f>
        <v>#REF!</v>
      </c>
      <c r="GW152" t="e">
        <f>AND(#REF!,"AAAAAF1768w=")</f>
        <v>#REF!</v>
      </c>
      <c r="GX152" t="e">
        <f>AND(#REF!,"AAAAAF17680=")</f>
        <v>#REF!</v>
      </c>
      <c r="GY152" t="e">
        <f>AND(#REF!,"AAAAAF17684=")</f>
        <v>#REF!</v>
      </c>
      <c r="GZ152" t="e">
        <f>AND(#REF!,"AAAAAF17688=")</f>
        <v>#REF!</v>
      </c>
      <c r="HA152" t="e">
        <f>AND(#REF!,"AAAAAF1769A=")</f>
        <v>#REF!</v>
      </c>
      <c r="HB152" t="e">
        <f>AND(#REF!,"AAAAAF1769E=")</f>
        <v>#REF!</v>
      </c>
      <c r="HC152" t="e">
        <f>AND(#REF!,"AAAAAF1769I=")</f>
        <v>#REF!</v>
      </c>
      <c r="HD152" t="e">
        <f>AND(#REF!,"AAAAAF1769M=")</f>
        <v>#REF!</v>
      </c>
      <c r="HE152" t="e">
        <f>AND(#REF!,"AAAAAF1769Q=")</f>
        <v>#REF!</v>
      </c>
      <c r="HF152" t="e">
        <f>AND(#REF!,"AAAAAF1769U=")</f>
        <v>#REF!</v>
      </c>
      <c r="HG152" t="e">
        <f>AND(#REF!,"AAAAAF1769Y=")</f>
        <v>#REF!</v>
      </c>
      <c r="HH152" t="e">
        <f>AND(#REF!,"AAAAAF1769c=")</f>
        <v>#REF!</v>
      </c>
      <c r="HI152" t="e">
        <f>AND(#REF!,"AAAAAF1769g=")</f>
        <v>#REF!</v>
      </c>
      <c r="HJ152" t="e">
        <f>AND(#REF!,"AAAAAF1769k=")</f>
        <v>#REF!</v>
      </c>
      <c r="HK152" t="e">
        <f>AND(#REF!,"AAAAAF1769o=")</f>
        <v>#REF!</v>
      </c>
      <c r="HL152" t="e">
        <f>IF(#REF!,"AAAAAF1769s=",0)</f>
        <v>#REF!</v>
      </c>
      <c r="HM152" t="e">
        <f>AND(#REF!,"AAAAAF1769w=")</f>
        <v>#REF!</v>
      </c>
      <c r="HN152" t="e">
        <f>AND(#REF!,"AAAAAF17690=")</f>
        <v>#REF!</v>
      </c>
      <c r="HO152" t="e">
        <f>AND(#REF!,"AAAAAF17694=")</f>
        <v>#REF!</v>
      </c>
      <c r="HP152" t="e">
        <f>AND(#REF!,"AAAAAF17698=")</f>
        <v>#REF!</v>
      </c>
      <c r="HQ152" t="e">
        <f>AND(#REF!,"AAAAAF176+A=")</f>
        <v>#REF!</v>
      </c>
      <c r="HR152" t="e">
        <f>AND(#REF!,"AAAAAF176+E=")</f>
        <v>#REF!</v>
      </c>
      <c r="HS152" t="e">
        <f>AND(#REF!,"AAAAAF176+I=")</f>
        <v>#REF!</v>
      </c>
      <c r="HT152" t="e">
        <f>AND(#REF!,"AAAAAF176+M=")</f>
        <v>#REF!</v>
      </c>
      <c r="HU152" t="e">
        <f>AND(#REF!,"AAAAAF176+Q=")</f>
        <v>#REF!</v>
      </c>
      <c r="HV152" t="e">
        <f>AND(#REF!,"AAAAAF176+U=")</f>
        <v>#REF!</v>
      </c>
      <c r="HW152" t="e">
        <f>AND(#REF!,"AAAAAF176+Y=")</f>
        <v>#REF!</v>
      </c>
      <c r="HX152" t="e">
        <f>AND(#REF!,"AAAAAF176+c=")</f>
        <v>#REF!</v>
      </c>
      <c r="HY152" t="e">
        <f>AND(#REF!,"AAAAAF176+g=")</f>
        <v>#REF!</v>
      </c>
      <c r="HZ152" t="e">
        <f>AND(#REF!,"AAAAAF176+k=")</f>
        <v>#REF!</v>
      </c>
      <c r="IA152" t="e">
        <f>AND(#REF!,"AAAAAF176+o=")</f>
        <v>#REF!</v>
      </c>
      <c r="IB152" t="e">
        <f>AND(#REF!,"AAAAAF176+s=")</f>
        <v>#REF!</v>
      </c>
      <c r="IC152" t="e">
        <f>AND(#REF!,"AAAAAF176+w=")</f>
        <v>#REF!</v>
      </c>
      <c r="ID152" t="e">
        <f>AND(#REF!,"AAAAAF176+0=")</f>
        <v>#REF!</v>
      </c>
      <c r="IE152" t="e">
        <f>AND(#REF!,"AAAAAF176+4=")</f>
        <v>#REF!</v>
      </c>
      <c r="IF152" t="e">
        <f>AND(#REF!,"AAAAAF176+8=")</f>
        <v>#REF!</v>
      </c>
      <c r="IG152" t="e">
        <f>AND(#REF!,"AAAAAF176/A=")</f>
        <v>#REF!</v>
      </c>
      <c r="IH152" t="e">
        <f>AND(#REF!,"AAAAAF176/E=")</f>
        <v>#REF!</v>
      </c>
      <c r="II152" t="e">
        <f>AND(#REF!,"AAAAAF176/I=")</f>
        <v>#REF!</v>
      </c>
      <c r="IJ152" t="e">
        <f>AND(#REF!,"AAAAAF176/M=")</f>
        <v>#REF!</v>
      </c>
      <c r="IK152" t="e">
        <f>AND(#REF!,"AAAAAF176/Q=")</f>
        <v>#REF!</v>
      </c>
      <c r="IL152" t="e">
        <f>AND(#REF!,"AAAAAF176/U=")</f>
        <v>#REF!</v>
      </c>
      <c r="IM152" t="e">
        <f>AND(#REF!,"AAAAAF176/Y=")</f>
        <v>#REF!</v>
      </c>
      <c r="IN152" t="e">
        <f>AND(#REF!,"AAAAAF176/c=")</f>
        <v>#REF!</v>
      </c>
      <c r="IO152" t="e">
        <f>AND(#REF!,"AAAAAF176/g=")</f>
        <v>#REF!</v>
      </c>
      <c r="IP152" t="e">
        <f>AND(#REF!,"AAAAAF176/k=")</f>
        <v>#REF!</v>
      </c>
      <c r="IQ152" t="e">
        <f>IF(#REF!,"AAAAAF176/o=",0)</f>
        <v>#REF!</v>
      </c>
      <c r="IR152" t="e">
        <f>AND(#REF!,"AAAAAF176/s=")</f>
        <v>#REF!</v>
      </c>
      <c r="IS152" t="e">
        <f>AND(#REF!,"AAAAAF176/w=")</f>
        <v>#REF!</v>
      </c>
      <c r="IT152" t="e">
        <f>AND(#REF!,"AAAAAF176/0=")</f>
        <v>#REF!</v>
      </c>
      <c r="IU152" t="e">
        <f>AND(#REF!,"AAAAAF176/4=")</f>
        <v>#REF!</v>
      </c>
      <c r="IV152" t="e">
        <f>AND(#REF!,"AAAAAF176/8=")</f>
        <v>#REF!</v>
      </c>
    </row>
    <row r="153" spans="1:256" x14ac:dyDescent="0.2">
      <c r="A153" t="e">
        <f>AND(#REF!,"AAAAAH///QA=")</f>
        <v>#REF!</v>
      </c>
      <c r="B153" t="e">
        <f>AND(#REF!,"AAAAAH///QE=")</f>
        <v>#REF!</v>
      </c>
      <c r="C153" t="e">
        <f>AND(#REF!,"AAAAAH///QI=")</f>
        <v>#REF!</v>
      </c>
      <c r="D153" t="e">
        <f>AND(#REF!,"AAAAAH///QM=")</f>
        <v>#REF!</v>
      </c>
      <c r="E153" t="e">
        <f>AND(#REF!,"AAAAAH///QQ=")</f>
        <v>#REF!</v>
      </c>
      <c r="F153" t="e">
        <f>AND(#REF!,"AAAAAH///QU=")</f>
        <v>#REF!</v>
      </c>
      <c r="G153" t="e">
        <f>AND(#REF!,"AAAAAH///QY=")</f>
        <v>#REF!</v>
      </c>
      <c r="H153" t="e">
        <f>AND(#REF!,"AAAAAH///Qc=")</f>
        <v>#REF!</v>
      </c>
      <c r="I153" t="e">
        <f>AND(#REF!,"AAAAAH///Qg=")</f>
        <v>#REF!</v>
      </c>
      <c r="J153" t="e">
        <f>AND(#REF!,"AAAAAH///Qk=")</f>
        <v>#REF!</v>
      </c>
      <c r="K153" t="e">
        <f>AND(#REF!,"AAAAAH///Qo=")</f>
        <v>#REF!</v>
      </c>
      <c r="L153" t="e">
        <f>AND(#REF!,"AAAAAH///Qs=")</f>
        <v>#REF!</v>
      </c>
      <c r="M153" t="e">
        <f>AND(#REF!,"AAAAAH///Qw=")</f>
        <v>#REF!</v>
      </c>
      <c r="N153" t="e">
        <f>AND(#REF!,"AAAAAH///Q0=")</f>
        <v>#REF!</v>
      </c>
      <c r="O153" t="e">
        <f>AND(#REF!,"AAAAAH///Q4=")</f>
        <v>#REF!</v>
      </c>
      <c r="P153" t="e">
        <f>AND(#REF!,"AAAAAH///Q8=")</f>
        <v>#REF!</v>
      </c>
      <c r="Q153" t="e">
        <f>AND(#REF!,"AAAAAH///RA=")</f>
        <v>#REF!</v>
      </c>
      <c r="R153" t="e">
        <f>AND(#REF!,"AAAAAH///RE=")</f>
        <v>#REF!</v>
      </c>
      <c r="S153" t="e">
        <f>AND(#REF!,"AAAAAH///RI=")</f>
        <v>#REF!</v>
      </c>
      <c r="T153" t="e">
        <f>AND(#REF!,"AAAAAH///RM=")</f>
        <v>#REF!</v>
      </c>
      <c r="U153" t="e">
        <f>AND(#REF!,"AAAAAH///RQ=")</f>
        <v>#REF!</v>
      </c>
      <c r="V153" t="e">
        <f>AND(#REF!,"AAAAAH///RU=")</f>
        <v>#REF!</v>
      </c>
      <c r="W153" t="e">
        <f>AND(#REF!,"AAAAAH///RY=")</f>
        <v>#REF!</v>
      </c>
      <c r="X153" t="e">
        <f>AND(#REF!,"AAAAAH///Rc=")</f>
        <v>#REF!</v>
      </c>
      <c r="Y153" t="e">
        <f>AND(#REF!,"AAAAAH///Rg=")</f>
        <v>#REF!</v>
      </c>
      <c r="Z153" t="e">
        <f>IF(#REF!,"AAAAAH///Rk=",0)</f>
        <v>#REF!</v>
      </c>
      <c r="AA153" t="e">
        <f>AND(#REF!,"AAAAAH///Ro=")</f>
        <v>#REF!</v>
      </c>
      <c r="AB153" t="e">
        <f>AND(#REF!,"AAAAAH///Rs=")</f>
        <v>#REF!</v>
      </c>
      <c r="AC153" t="e">
        <f>AND(#REF!,"AAAAAH///Rw=")</f>
        <v>#REF!</v>
      </c>
      <c r="AD153" t="e">
        <f>AND(#REF!,"AAAAAH///R0=")</f>
        <v>#REF!</v>
      </c>
      <c r="AE153" t="e">
        <f>AND(#REF!,"AAAAAH///R4=")</f>
        <v>#REF!</v>
      </c>
      <c r="AF153" t="e">
        <f>AND(#REF!,"AAAAAH///R8=")</f>
        <v>#REF!</v>
      </c>
      <c r="AG153" t="e">
        <f>AND(#REF!,"AAAAAH///SA=")</f>
        <v>#REF!</v>
      </c>
      <c r="AH153" t="e">
        <f>AND(#REF!,"AAAAAH///SE=")</f>
        <v>#REF!</v>
      </c>
      <c r="AI153" t="e">
        <f>AND(#REF!,"AAAAAH///SI=")</f>
        <v>#REF!</v>
      </c>
      <c r="AJ153" t="e">
        <f>AND(#REF!,"AAAAAH///SM=")</f>
        <v>#REF!</v>
      </c>
      <c r="AK153" t="e">
        <f>AND(#REF!,"AAAAAH///SQ=")</f>
        <v>#REF!</v>
      </c>
      <c r="AL153" t="e">
        <f>AND(#REF!,"AAAAAH///SU=")</f>
        <v>#REF!</v>
      </c>
      <c r="AM153" t="e">
        <f>AND(#REF!,"AAAAAH///SY=")</f>
        <v>#REF!</v>
      </c>
      <c r="AN153" t="e">
        <f>AND(#REF!,"AAAAAH///Sc=")</f>
        <v>#REF!</v>
      </c>
      <c r="AO153" t="e">
        <f>AND(#REF!,"AAAAAH///Sg=")</f>
        <v>#REF!</v>
      </c>
      <c r="AP153" t="e">
        <f>AND(#REF!,"AAAAAH///Sk=")</f>
        <v>#REF!</v>
      </c>
      <c r="AQ153" t="e">
        <f>AND(#REF!,"AAAAAH///So=")</f>
        <v>#REF!</v>
      </c>
      <c r="AR153" t="e">
        <f>AND(#REF!,"AAAAAH///Ss=")</f>
        <v>#REF!</v>
      </c>
      <c r="AS153" t="e">
        <f>AND(#REF!,"AAAAAH///Sw=")</f>
        <v>#REF!</v>
      </c>
      <c r="AT153" t="e">
        <f>AND(#REF!,"AAAAAH///S0=")</f>
        <v>#REF!</v>
      </c>
      <c r="AU153" t="e">
        <f>AND(#REF!,"AAAAAH///S4=")</f>
        <v>#REF!</v>
      </c>
      <c r="AV153" t="e">
        <f>AND(#REF!,"AAAAAH///S8=")</f>
        <v>#REF!</v>
      </c>
      <c r="AW153" t="e">
        <f>AND(#REF!,"AAAAAH///TA=")</f>
        <v>#REF!</v>
      </c>
      <c r="AX153" t="e">
        <f>AND(#REF!,"AAAAAH///TE=")</f>
        <v>#REF!</v>
      </c>
      <c r="AY153" t="e">
        <f>AND(#REF!,"AAAAAH///TI=")</f>
        <v>#REF!</v>
      </c>
      <c r="AZ153" t="e">
        <f>AND(#REF!,"AAAAAH///TM=")</f>
        <v>#REF!</v>
      </c>
      <c r="BA153" t="e">
        <f>AND(#REF!,"AAAAAH///TQ=")</f>
        <v>#REF!</v>
      </c>
      <c r="BB153" t="e">
        <f>AND(#REF!,"AAAAAH///TU=")</f>
        <v>#REF!</v>
      </c>
      <c r="BC153" t="e">
        <f>AND(#REF!,"AAAAAH///TY=")</f>
        <v>#REF!</v>
      </c>
      <c r="BD153" t="e">
        <f>AND(#REF!,"AAAAAH///Tc=")</f>
        <v>#REF!</v>
      </c>
      <c r="BE153" t="e">
        <f>IF(#REF!,"AAAAAH///Tg=",0)</f>
        <v>#REF!</v>
      </c>
      <c r="BF153" t="e">
        <f>AND(#REF!,"AAAAAH///Tk=")</f>
        <v>#REF!</v>
      </c>
      <c r="BG153" t="e">
        <f>AND(#REF!,"AAAAAH///To=")</f>
        <v>#REF!</v>
      </c>
      <c r="BH153" t="e">
        <f>AND(#REF!,"AAAAAH///Ts=")</f>
        <v>#REF!</v>
      </c>
      <c r="BI153" t="e">
        <f>AND(#REF!,"AAAAAH///Tw=")</f>
        <v>#REF!</v>
      </c>
      <c r="BJ153" t="e">
        <f>AND(#REF!,"AAAAAH///T0=")</f>
        <v>#REF!</v>
      </c>
      <c r="BK153" t="e">
        <f>AND(#REF!,"AAAAAH///T4=")</f>
        <v>#REF!</v>
      </c>
      <c r="BL153" t="e">
        <f>AND(#REF!,"AAAAAH///T8=")</f>
        <v>#REF!</v>
      </c>
      <c r="BM153" t="e">
        <f>AND(#REF!,"AAAAAH///UA=")</f>
        <v>#REF!</v>
      </c>
      <c r="BN153" t="e">
        <f>AND(#REF!,"AAAAAH///UE=")</f>
        <v>#REF!</v>
      </c>
      <c r="BO153" t="e">
        <f>AND(#REF!,"AAAAAH///UI=")</f>
        <v>#REF!</v>
      </c>
      <c r="BP153" t="e">
        <f>AND(#REF!,"AAAAAH///UM=")</f>
        <v>#REF!</v>
      </c>
      <c r="BQ153" t="e">
        <f>AND(#REF!,"AAAAAH///UQ=")</f>
        <v>#REF!</v>
      </c>
      <c r="BR153" t="e">
        <f>AND(#REF!,"AAAAAH///UU=")</f>
        <v>#REF!</v>
      </c>
      <c r="BS153" t="e">
        <f>AND(#REF!,"AAAAAH///UY=")</f>
        <v>#REF!</v>
      </c>
      <c r="BT153" t="e">
        <f>AND(#REF!,"AAAAAH///Uc=")</f>
        <v>#REF!</v>
      </c>
      <c r="BU153" t="e">
        <f>AND(#REF!,"AAAAAH///Ug=")</f>
        <v>#REF!</v>
      </c>
      <c r="BV153" t="e">
        <f>AND(#REF!,"AAAAAH///Uk=")</f>
        <v>#REF!</v>
      </c>
      <c r="BW153" t="e">
        <f>AND(#REF!,"AAAAAH///Uo=")</f>
        <v>#REF!</v>
      </c>
      <c r="BX153" t="e">
        <f>AND(#REF!,"AAAAAH///Us=")</f>
        <v>#REF!</v>
      </c>
      <c r="BY153" t="e">
        <f>AND(#REF!,"AAAAAH///Uw=")</f>
        <v>#REF!</v>
      </c>
      <c r="BZ153" t="e">
        <f>AND(#REF!,"AAAAAH///U0=")</f>
        <v>#REF!</v>
      </c>
      <c r="CA153" t="e">
        <f>AND(#REF!,"AAAAAH///U4=")</f>
        <v>#REF!</v>
      </c>
      <c r="CB153" t="e">
        <f>AND(#REF!,"AAAAAH///U8=")</f>
        <v>#REF!</v>
      </c>
      <c r="CC153" t="e">
        <f>AND(#REF!,"AAAAAH///VA=")</f>
        <v>#REF!</v>
      </c>
      <c r="CD153" t="e">
        <f>AND(#REF!,"AAAAAH///VE=")</f>
        <v>#REF!</v>
      </c>
      <c r="CE153" t="e">
        <f>AND(#REF!,"AAAAAH///VI=")</f>
        <v>#REF!</v>
      </c>
      <c r="CF153" t="e">
        <f>AND(#REF!,"AAAAAH///VM=")</f>
        <v>#REF!</v>
      </c>
      <c r="CG153" t="e">
        <f>AND(#REF!,"AAAAAH///VQ=")</f>
        <v>#REF!</v>
      </c>
      <c r="CH153" t="e">
        <f>AND(#REF!,"AAAAAH///VU=")</f>
        <v>#REF!</v>
      </c>
      <c r="CI153" t="e">
        <f>AND(#REF!,"AAAAAH///VY=")</f>
        <v>#REF!</v>
      </c>
      <c r="CJ153" t="e">
        <f>IF(#REF!,"AAAAAH///Vc=",0)</f>
        <v>#REF!</v>
      </c>
      <c r="CK153" t="e">
        <f>AND(#REF!,"AAAAAH///Vg=")</f>
        <v>#REF!</v>
      </c>
      <c r="CL153" t="e">
        <f>AND(#REF!,"AAAAAH///Vk=")</f>
        <v>#REF!</v>
      </c>
      <c r="CM153" t="e">
        <f>AND(#REF!,"AAAAAH///Vo=")</f>
        <v>#REF!</v>
      </c>
      <c r="CN153" t="e">
        <f>AND(#REF!,"AAAAAH///Vs=")</f>
        <v>#REF!</v>
      </c>
      <c r="CO153" t="e">
        <f>AND(#REF!,"AAAAAH///Vw=")</f>
        <v>#REF!</v>
      </c>
      <c r="CP153" t="e">
        <f>AND(#REF!,"AAAAAH///V0=")</f>
        <v>#REF!</v>
      </c>
      <c r="CQ153" t="e">
        <f>AND(#REF!,"AAAAAH///V4=")</f>
        <v>#REF!</v>
      </c>
      <c r="CR153" t="e">
        <f>AND(#REF!,"AAAAAH///V8=")</f>
        <v>#REF!</v>
      </c>
      <c r="CS153" t="e">
        <f>AND(#REF!,"AAAAAH///WA=")</f>
        <v>#REF!</v>
      </c>
      <c r="CT153" t="e">
        <f>AND(#REF!,"AAAAAH///WE=")</f>
        <v>#REF!</v>
      </c>
      <c r="CU153" t="e">
        <f>AND(#REF!,"AAAAAH///WI=")</f>
        <v>#REF!</v>
      </c>
      <c r="CV153" t="e">
        <f>AND(#REF!,"AAAAAH///WM=")</f>
        <v>#REF!</v>
      </c>
      <c r="CW153" t="e">
        <f>AND(#REF!,"AAAAAH///WQ=")</f>
        <v>#REF!</v>
      </c>
      <c r="CX153" t="e">
        <f>AND(#REF!,"AAAAAH///WU=")</f>
        <v>#REF!</v>
      </c>
      <c r="CY153" t="e">
        <f>AND(#REF!,"AAAAAH///WY=")</f>
        <v>#REF!</v>
      </c>
      <c r="CZ153" t="e">
        <f>AND(#REF!,"AAAAAH///Wc=")</f>
        <v>#REF!</v>
      </c>
      <c r="DA153" t="e">
        <f>AND(#REF!,"AAAAAH///Wg=")</f>
        <v>#REF!</v>
      </c>
      <c r="DB153" t="e">
        <f>AND(#REF!,"AAAAAH///Wk=")</f>
        <v>#REF!</v>
      </c>
      <c r="DC153" t="e">
        <f>AND(#REF!,"AAAAAH///Wo=")</f>
        <v>#REF!</v>
      </c>
      <c r="DD153" t="e">
        <f>AND(#REF!,"AAAAAH///Ws=")</f>
        <v>#REF!</v>
      </c>
      <c r="DE153" t="e">
        <f>AND(#REF!,"AAAAAH///Ww=")</f>
        <v>#REF!</v>
      </c>
      <c r="DF153" t="e">
        <f>AND(#REF!,"AAAAAH///W0=")</f>
        <v>#REF!</v>
      </c>
      <c r="DG153" t="e">
        <f>AND(#REF!,"AAAAAH///W4=")</f>
        <v>#REF!</v>
      </c>
      <c r="DH153" t="e">
        <f>AND(#REF!,"AAAAAH///W8=")</f>
        <v>#REF!</v>
      </c>
      <c r="DI153" t="e">
        <f>AND(#REF!,"AAAAAH///XA=")</f>
        <v>#REF!</v>
      </c>
      <c r="DJ153" t="e">
        <f>AND(#REF!,"AAAAAH///XE=")</f>
        <v>#REF!</v>
      </c>
      <c r="DK153" t="e">
        <f>AND(#REF!,"AAAAAH///XI=")</f>
        <v>#REF!</v>
      </c>
      <c r="DL153" t="e">
        <f>AND(#REF!,"AAAAAH///XM=")</f>
        <v>#REF!</v>
      </c>
      <c r="DM153" t="e">
        <f>AND(#REF!,"AAAAAH///XQ=")</f>
        <v>#REF!</v>
      </c>
      <c r="DN153" t="e">
        <f>AND(#REF!,"AAAAAH///XU=")</f>
        <v>#REF!</v>
      </c>
      <c r="DO153" t="e">
        <f>IF(#REF!,"AAAAAH///XY=",0)</f>
        <v>#REF!</v>
      </c>
      <c r="DP153" t="e">
        <f>AND(#REF!,"AAAAAH///Xc=")</f>
        <v>#REF!</v>
      </c>
      <c r="DQ153" t="e">
        <f>AND(#REF!,"AAAAAH///Xg=")</f>
        <v>#REF!</v>
      </c>
      <c r="DR153" t="e">
        <f>AND(#REF!,"AAAAAH///Xk=")</f>
        <v>#REF!</v>
      </c>
      <c r="DS153" t="e">
        <f>AND(#REF!,"AAAAAH///Xo=")</f>
        <v>#REF!</v>
      </c>
      <c r="DT153" t="e">
        <f>AND(#REF!,"AAAAAH///Xs=")</f>
        <v>#REF!</v>
      </c>
      <c r="DU153" t="e">
        <f>AND(#REF!,"AAAAAH///Xw=")</f>
        <v>#REF!</v>
      </c>
      <c r="DV153" t="e">
        <f>AND(#REF!,"AAAAAH///X0=")</f>
        <v>#REF!</v>
      </c>
      <c r="DW153" t="e">
        <f>AND(#REF!,"AAAAAH///X4=")</f>
        <v>#REF!</v>
      </c>
      <c r="DX153" t="e">
        <f>AND(#REF!,"AAAAAH///X8=")</f>
        <v>#REF!</v>
      </c>
      <c r="DY153" t="e">
        <f>AND(#REF!,"AAAAAH///YA=")</f>
        <v>#REF!</v>
      </c>
      <c r="DZ153" t="e">
        <f>AND(#REF!,"AAAAAH///YE=")</f>
        <v>#REF!</v>
      </c>
      <c r="EA153" t="e">
        <f>AND(#REF!,"AAAAAH///YI=")</f>
        <v>#REF!</v>
      </c>
      <c r="EB153" t="e">
        <f>AND(#REF!,"AAAAAH///YM=")</f>
        <v>#REF!</v>
      </c>
      <c r="EC153" t="e">
        <f>AND(#REF!,"AAAAAH///YQ=")</f>
        <v>#REF!</v>
      </c>
      <c r="ED153" t="e">
        <f>AND(#REF!,"AAAAAH///YU=")</f>
        <v>#REF!</v>
      </c>
      <c r="EE153" t="e">
        <f>AND(#REF!,"AAAAAH///YY=")</f>
        <v>#REF!</v>
      </c>
      <c r="EF153" t="e">
        <f>AND(#REF!,"AAAAAH///Yc=")</f>
        <v>#REF!</v>
      </c>
      <c r="EG153" t="e">
        <f>AND(#REF!,"AAAAAH///Yg=")</f>
        <v>#REF!</v>
      </c>
      <c r="EH153" t="e">
        <f>AND(#REF!,"AAAAAH///Yk=")</f>
        <v>#REF!</v>
      </c>
      <c r="EI153" t="e">
        <f>AND(#REF!,"AAAAAH///Yo=")</f>
        <v>#REF!</v>
      </c>
      <c r="EJ153" t="e">
        <f>AND(#REF!,"AAAAAH///Ys=")</f>
        <v>#REF!</v>
      </c>
      <c r="EK153" t="e">
        <f>AND(#REF!,"AAAAAH///Yw=")</f>
        <v>#REF!</v>
      </c>
      <c r="EL153" t="e">
        <f>AND(#REF!,"AAAAAH///Y0=")</f>
        <v>#REF!</v>
      </c>
      <c r="EM153" t="e">
        <f>AND(#REF!,"AAAAAH///Y4=")</f>
        <v>#REF!</v>
      </c>
      <c r="EN153" t="e">
        <f>AND(#REF!,"AAAAAH///Y8=")</f>
        <v>#REF!</v>
      </c>
      <c r="EO153" t="e">
        <f>AND(#REF!,"AAAAAH///ZA=")</f>
        <v>#REF!</v>
      </c>
      <c r="EP153" t="e">
        <f>AND(#REF!,"AAAAAH///ZE=")</f>
        <v>#REF!</v>
      </c>
      <c r="EQ153" t="e">
        <f>AND(#REF!,"AAAAAH///ZI=")</f>
        <v>#REF!</v>
      </c>
      <c r="ER153" t="e">
        <f>AND(#REF!,"AAAAAH///ZM=")</f>
        <v>#REF!</v>
      </c>
      <c r="ES153" t="e">
        <f>AND(#REF!,"AAAAAH///ZQ=")</f>
        <v>#REF!</v>
      </c>
      <c r="ET153" t="e">
        <f>IF(#REF!,"AAAAAH///ZU=",0)</f>
        <v>#REF!</v>
      </c>
      <c r="EU153" t="e">
        <f>AND(#REF!,"AAAAAH///ZY=")</f>
        <v>#REF!</v>
      </c>
      <c r="EV153" t="e">
        <f>AND(#REF!,"AAAAAH///Zc=")</f>
        <v>#REF!</v>
      </c>
      <c r="EW153" t="e">
        <f>AND(#REF!,"AAAAAH///Zg=")</f>
        <v>#REF!</v>
      </c>
      <c r="EX153" t="e">
        <f>AND(#REF!,"AAAAAH///Zk=")</f>
        <v>#REF!</v>
      </c>
      <c r="EY153" t="e">
        <f>AND(#REF!,"AAAAAH///Zo=")</f>
        <v>#REF!</v>
      </c>
      <c r="EZ153" t="e">
        <f>AND(#REF!,"AAAAAH///Zs=")</f>
        <v>#REF!</v>
      </c>
      <c r="FA153" t="e">
        <f>AND(#REF!,"AAAAAH///Zw=")</f>
        <v>#REF!</v>
      </c>
      <c r="FB153" t="e">
        <f>AND(#REF!,"AAAAAH///Z0=")</f>
        <v>#REF!</v>
      </c>
      <c r="FC153" t="e">
        <f>AND(#REF!,"AAAAAH///Z4=")</f>
        <v>#REF!</v>
      </c>
      <c r="FD153" t="e">
        <f>AND(#REF!,"AAAAAH///Z8=")</f>
        <v>#REF!</v>
      </c>
      <c r="FE153" t="e">
        <f>AND(#REF!,"AAAAAH///aA=")</f>
        <v>#REF!</v>
      </c>
      <c r="FF153" t="e">
        <f>AND(#REF!,"AAAAAH///aE=")</f>
        <v>#REF!</v>
      </c>
      <c r="FG153" t="e">
        <f>AND(#REF!,"AAAAAH///aI=")</f>
        <v>#REF!</v>
      </c>
      <c r="FH153" t="e">
        <f>AND(#REF!,"AAAAAH///aM=")</f>
        <v>#REF!</v>
      </c>
      <c r="FI153" t="e">
        <f>AND(#REF!,"AAAAAH///aQ=")</f>
        <v>#REF!</v>
      </c>
      <c r="FJ153" t="e">
        <f>AND(#REF!,"AAAAAH///aU=")</f>
        <v>#REF!</v>
      </c>
      <c r="FK153" t="e">
        <f>AND(#REF!,"AAAAAH///aY=")</f>
        <v>#REF!</v>
      </c>
      <c r="FL153" t="e">
        <f>AND(#REF!,"AAAAAH///ac=")</f>
        <v>#REF!</v>
      </c>
      <c r="FM153" t="e">
        <f>AND(#REF!,"AAAAAH///ag=")</f>
        <v>#REF!</v>
      </c>
      <c r="FN153" t="e">
        <f>AND(#REF!,"AAAAAH///ak=")</f>
        <v>#REF!</v>
      </c>
      <c r="FO153" t="e">
        <f>AND(#REF!,"AAAAAH///ao=")</f>
        <v>#REF!</v>
      </c>
      <c r="FP153" t="e">
        <f>AND(#REF!,"AAAAAH///as=")</f>
        <v>#REF!</v>
      </c>
      <c r="FQ153" t="e">
        <f>AND(#REF!,"AAAAAH///aw=")</f>
        <v>#REF!</v>
      </c>
      <c r="FR153" t="e">
        <f>AND(#REF!,"AAAAAH///a0=")</f>
        <v>#REF!</v>
      </c>
      <c r="FS153" t="e">
        <f>AND(#REF!,"AAAAAH///a4=")</f>
        <v>#REF!</v>
      </c>
      <c r="FT153" t="e">
        <f>AND(#REF!,"AAAAAH///a8=")</f>
        <v>#REF!</v>
      </c>
      <c r="FU153" t="e">
        <f>AND(#REF!,"AAAAAH///bA=")</f>
        <v>#REF!</v>
      </c>
      <c r="FV153" t="e">
        <f>AND(#REF!,"AAAAAH///bE=")</f>
        <v>#REF!</v>
      </c>
      <c r="FW153" t="e">
        <f>AND(#REF!,"AAAAAH///bI=")</f>
        <v>#REF!</v>
      </c>
      <c r="FX153" t="e">
        <f>AND(#REF!,"AAAAAH///bM=")</f>
        <v>#REF!</v>
      </c>
      <c r="FY153" t="e">
        <f>IF(#REF!,"AAAAAH///bQ=",0)</f>
        <v>#REF!</v>
      </c>
      <c r="FZ153" t="e">
        <f>AND(#REF!,"AAAAAH///bU=")</f>
        <v>#REF!</v>
      </c>
      <c r="GA153" t="e">
        <f>AND(#REF!,"AAAAAH///bY=")</f>
        <v>#REF!</v>
      </c>
      <c r="GB153" t="e">
        <f>AND(#REF!,"AAAAAH///bc=")</f>
        <v>#REF!</v>
      </c>
      <c r="GC153" t="e">
        <f>AND(#REF!,"AAAAAH///bg=")</f>
        <v>#REF!</v>
      </c>
      <c r="GD153" t="e">
        <f>AND(#REF!,"AAAAAH///bk=")</f>
        <v>#REF!</v>
      </c>
      <c r="GE153" t="e">
        <f>AND(#REF!,"AAAAAH///bo=")</f>
        <v>#REF!</v>
      </c>
      <c r="GF153" t="e">
        <f>AND(#REF!,"AAAAAH///bs=")</f>
        <v>#REF!</v>
      </c>
      <c r="GG153" t="e">
        <f>AND(#REF!,"AAAAAH///bw=")</f>
        <v>#REF!</v>
      </c>
      <c r="GH153" t="e">
        <f>AND(#REF!,"AAAAAH///b0=")</f>
        <v>#REF!</v>
      </c>
      <c r="GI153" t="e">
        <f>AND(#REF!,"AAAAAH///b4=")</f>
        <v>#REF!</v>
      </c>
      <c r="GJ153" t="e">
        <f>AND(#REF!,"AAAAAH///b8=")</f>
        <v>#REF!</v>
      </c>
      <c r="GK153" t="e">
        <f>AND(#REF!,"AAAAAH///cA=")</f>
        <v>#REF!</v>
      </c>
      <c r="GL153" t="e">
        <f>AND(#REF!,"AAAAAH///cE=")</f>
        <v>#REF!</v>
      </c>
      <c r="GM153" t="e">
        <f>AND(#REF!,"AAAAAH///cI=")</f>
        <v>#REF!</v>
      </c>
      <c r="GN153" t="e">
        <f>AND(#REF!,"AAAAAH///cM=")</f>
        <v>#REF!</v>
      </c>
      <c r="GO153" t="e">
        <f>AND(#REF!,"AAAAAH///cQ=")</f>
        <v>#REF!</v>
      </c>
      <c r="GP153" t="e">
        <f>AND(#REF!,"AAAAAH///cU=")</f>
        <v>#REF!</v>
      </c>
      <c r="GQ153" t="e">
        <f>AND(#REF!,"AAAAAH///cY=")</f>
        <v>#REF!</v>
      </c>
      <c r="GR153" t="e">
        <f>AND(#REF!,"AAAAAH///cc=")</f>
        <v>#REF!</v>
      </c>
      <c r="GS153" t="e">
        <f>AND(#REF!,"AAAAAH///cg=")</f>
        <v>#REF!</v>
      </c>
      <c r="GT153" t="e">
        <f>AND(#REF!,"AAAAAH///ck=")</f>
        <v>#REF!</v>
      </c>
      <c r="GU153" t="e">
        <f>AND(#REF!,"AAAAAH///co=")</f>
        <v>#REF!</v>
      </c>
      <c r="GV153" t="e">
        <f>AND(#REF!,"AAAAAH///cs=")</f>
        <v>#REF!</v>
      </c>
      <c r="GW153" t="e">
        <f>AND(#REF!,"AAAAAH///cw=")</f>
        <v>#REF!</v>
      </c>
      <c r="GX153" t="e">
        <f>AND(#REF!,"AAAAAH///c0=")</f>
        <v>#REF!</v>
      </c>
      <c r="GY153" t="e">
        <f>AND(#REF!,"AAAAAH///c4=")</f>
        <v>#REF!</v>
      </c>
      <c r="GZ153" t="e">
        <f>AND(#REF!,"AAAAAH///c8=")</f>
        <v>#REF!</v>
      </c>
      <c r="HA153" t="e">
        <f>AND(#REF!,"AAAAAH///dA=")</f>
        <v>#REF!</v>
      </c>
      <c r="HB153" t="e">
        <f>AND(#REF!,"AAAAAH///dE=")</f>
        <v>#REF!</v>
      </c>
      <c r="HC153" t="e">
        <f>AND(#REF!,"AAAAAH///dI=")</f>
        <v>#REF!</v>
      </c>
      <c r="HD153" t="e">
        <f>IF(#REF!,"AAAAAH///dM=",0)</f>
        <v>#REF!</v>
      </c>
      <c r="HE153" t="e">
        <f>AND(#REF!,"AAAAAH///dQ=")</f>
        <v>#REF!</v>
      </c>
      <c r="HF153" t="e">
        <f>AND(#REF!,"AAAAAH///dU=")</f>
        <v>#REF!</v>
      </c>
      <c r="HG153" t="e">
        <f>AND(#REF!,"AAAAAH///dY=")</f>
        <v>#REF!</v>
      </c>
      <c r="HH153" t="e">
        <f>AND(#REF!,"AAAAAH///dc=")</f>
        <v>#REF!</v>
      </c>
      <c r="HI153" t="e">
        <f>AND(#REF!,"AAAAAH///dg=")</f>
        <v>#REF!</v>
      </c>
      <c r="HJ153" t="e">
        <f>AND(#REF!,"AAAAAH///dk=")</f>
        <v>#REF!</v>
      </c>
      <c r="HK153" t="e">
        <f>AND(#REF!,"AAAAAH///do=")</f>
        <v>#REF!</v>
      </c>
      <c r="HL153" t="e">
        <f>AND(#REF!,"AAAAAH///ds=")</f>
        <v>#REF!</v>
      </c>
      <c r="HM153" t="e">
        <f>AND(#REF!,"AAAAAH///dw=")</f>
        <v>#REF!</v>
      </c>
      <c r="HN153" t="e">
        <f>AND(#REF!,"AAAAAH///d0=")</f>
        <v>#REF!</v>
      </c>
      <c r="HO153" t="e">
        <f>AND(#REF!,"AAAAAH///d4=")</f>
        <v>#REF!</v>
      </c>
      <c r="HP153" t="e">
        <f>AND(#REF!,"AAAAAH///d8=")</f>
        <v>#REF!</v>
      </c>
      <c r="HQ153" t="e">
        <f>AND(#REF!,"AAAAAH///eA=")</f>
        <v>#REF!</v>
      </c>
      <c r="HR153" t="e">
        <f>AND(#REF!,"AAAAAH///eE=")</f>
        <v>#REF!</v>
      </c>
      <c r="HS153" t="e">
        <f>AND(#REF!,"AAAAAH///eI=")</f>
        <v>#REF!</v>
      </c>
      <c r="HT153" t="e">
        <f>AND(#REF!,"AAAAAH///eM=")</f>
        <v>#REF!</v>
      </c>
      <c r="HU153" t="e">
        <f>AND(#REF!,"AAAAAH///eQ=")</f>
        <v>#REF!</v>
      </c>
      <c r="HV153" t="e">
        <f>AND(#REF!,"AAAAAH///eU=")</f>
        <v>#REF!</v>
      </c>
      <c r="HW153" t="e">
        <f>AND(#REF!,"AAAAAH///eY=")</f>
        <v>#REF!</v>
      </c>
      <c r="HX153" t="e">
        <f>AND(#REF!,"AAAAAH///ec=")</f>
        <v>#REF!</v>
      </c>
      <c r="HY153" t="e">
        <f>AND(#REF!,"AAAAAH///eg=")</f>
        <v>#REF!</v>
      </c>
      <c r="HZ153" t="e">
        <f>AND(#REF!,"AAAAAH///ek=")</f>
        <v>#REF!</v>
      </c>
      <c r="IA153" t="e">
        <f>AND(#REF!,"AAAAAH///eo=")</f>
        <v>#REF!</v>
      </c>
      <c r="IB153" t="e">
        <f>AND(#REF!,"AAAAAH///es=")</f>
        <v>#REF!</v>
      </c>
      <c r="IC153" t="e">
        <f>AND(#REF!,"AAAAAH///ew=")</f>
        <v>#REF!</v>
      </c>
      <c r="ID153" t="e">
        <f>AND(#REF!,"AAAAAH///e0=")</f>
        <v>#REF!</v>
      </c>
      <c r="IE153" t="e">
        <f>AND(#REF!,"AAAAAH///e4=")</f>
        <v>#REF!</v>
      </c>
      <c r="IF153" t="e">
        <f>AND(#REF!,"AAAAAH///e8=")</f>
        <v>#REF!</v>
      </c>
      <c r="IG153" t="e">
        <f>AND(#REF!,"AAAAAH///fA=")</f>
        <v>#REF!</v>
      </c>
      <c r="IH153" t="e">
        <f>AND(#REF!,"AAAAAH///fE=")</f>
        <v>#REF!</v>
      </c>
      <c r="II153" t="e">
        <f>IF(#REF!,"AAAAAH///fI=",0)</f>
        <v>#REF!</v>
      </c>
      <c r="IJ153" t="e">
        <f>AND(#REF!,"AAAAAH///fM=")</f>
        <v>#REF!</v>
      </c>
      <c r="IK153" t="e">
        <f>AND(#REF!,"AAAAAH///fQ=")</f>
        <v>#REF!</v>
      </c>
      <c r="IL153" t="e">
        <f>AND(#REF!,"AAAAAH///fU=")</f>
        <v>#REF!</v>
      </c>
      <c r="IM153" t="e">
        <f>AND(#REF!,"AAAAAH///fY=")</f>
        <v>#REF!</v>
      </c>
      <c r="IN153" t="e">
        <f>AND(#REF!,"AAAAAH///fc=")</f>
        <v>#REF!</v>
      </c>
      <c r="IO153" t="e">
        <f>AND(#REF!,"AAAAAH///fg=")</f>
        <v>#REF!</v>
      </c>
      <c r="IP153" t="e">
        <f>AND(#REF!,"AAAAAH///fk=")</f>
        <v>#REF!</v>
      </c>
      <c r="IQ153" t="e">
        <f>AND(#REF!,"AAAAAH///fo=")</f>
        <v>#REF!</v>
      </c>
      <c r="IR153" t="e">
        <f>AND(#REF!,"AAAAAH///fs=")</f>
        <v>#REF!</v>
      </c>
      <c r="IS153" t="e">
        <f>AND(#REF!,"AAAAAH///fw=")</f>
        <v>#REF!</v>
      </c>
      <c r="IT153" t="e">
        <f>AND(#REF!,"AAAAAH///f0=")</f>
        <v>#REF!</v>
      </c>
      <c r="IU153" t="e">
        <f>AND(#REF!,"AAAAAH///f4=")</f>
        <v>#REF!</v>
      </c>
      <c r="IV153" t="e">
        <f>AND(#REF!,"AAAAAH///f8=")</f>
        <v>#REF!</v>
      </c>
    </row>
    <row r="154" spans="1:256" x14ac:dyDescent="0.2">
      <c r="A154" t="e">
        <f>AND(#REF!,"AAAAAGezPwA=")</f>
        <v>#REF!</v>
      </c>
      <c r="B154" t="e">
        <f>AND(#REF!,"AAAAAGezPwE=")</f>
        <v>#REF!</v>
      </c>
      <c r="C154" t="e">
        <f>AND(#REF!,"AAAAAGezPwI=")</f>
        <v>#REF!</v>
      </c>
      <c r="D154" t="e">
        <f>AND(#REF!,"AAAAAGezPwM=")</f>
        <v>#REF!</v>
      </c>
      <c r="E154" t="e">
        <f>AND(#REF!,"AAAAAGezPwQ=")</f>
        <v>#REF!</v>
      </c>
      <c r="F154" t="e">
        <f>AND(#REF!,"AAAAAGezPwU=")</f>
        <v>#REF!</v>
      </c>
      <c r="G154" t="e">
        <f>AND(#REF!,"AAAAAGezPwY=")</f>
        <v>#REF!</v>
      </c>
      <c r="H154" t="e">
        <f>AND(#REF!,"AAAAAGezPwc=")</f>
        <v>#REF!</v>
      </c>
      <c r="I154" t="e">
        <f>AND(#REF!,"AAAAAGezPwg=")</f>
        <v>#REF!</v>
      </c>
      <c r="J154" t="e">
        <f>AND(#REF!,"AAAAAGezPwk=")</f>
        <v>#REF!</v>
      </c>
      <c r="K154" t="e">
        <f>AND(#REF!,"AAAAAGezPwo=")</f>
        <v>#REF!</v>
      </c>
      <c r="L154" t="e">
        <f>AND(#REF!,"AAAAAGezPws=")</f>
        <v>#REF!</v>
      </c>
      <c r="M154" t="e">
        <f>AND(#REF!,"AAAAAGezPww=")</f>
        <v>#REF!</v>
      </c>
      <c r="N154" t="e">
        <f>AND(#REF!,"AAAAAGezPw0=")</f>
        <v>#REF!</v>
      </c>
      <c r="O154" t="e">
        <f>AND(#REF!,"AAAAAGezPw4=")</f>
        <v>#REF!</v>
      </c>
      <c r="P154" t="e">
        <f>AND(#REF!,"AAAAAGezPw8=")</f>
        <v>#REF!</v>
      </c>
      <c r="Q154" t="e">
        <f>AND(#REF!,"AAAAAGezPxA=")</f>
        <v>#REF!</v>
      </c>
      <c r="R154" t="e">
        <f>IF(#REF!,"AAAAAGezPxE=",0)</f>
        <v>#REF!</v>
      </c>
      <c r="S154" t="e">
        <f>AND(#REF!,"AAAAAGezPxI=")</f>
        <v>#REF!</v>
      </c>
      <c r="T154" t="e">
        <f>AND(#REF!,"AAAAAGezPxM=")</f>
        <v>#REF!</v>
      </c>
      <c r="U154" t="e">
        <f>AND(#REF!,"AAAAAGezPxQ=")</f>
        <v>#REF!</v>
      </c>
      <c r="V154" t="e">
        <f>AND(#REF!,"AAAAAGezPxU=")</f>
        <v>#REF!</v>
      </c>
      <c r="W154" t="e">
        <f>AND(#REF!,"AAAAAGezPxY=")</f>
        <v>#REF!</v>
      </c>
      <c r="X154" t="e">
        <f>AND(#REF!,"AAAAAGezPxc=")</f>
        <v>#REF!</v>
      </c>
      <c r="Y154" t="e">
        <f>AND(#REF!,"AAAAAGezPxg=")</f>
        <v>#REF!</v>
      </c>
      <c r="Z154" t="e">
        <f>AND(#REF!,"AAAAAGezPxk=")</f>
        <v>#REF!</v>
      </c>
      <c r="AA154" t="e">
        <f>AND(#REF!,"AAAAAGezPxo=")</f>
        <v>#REF!</v>
      </c>
      <c r="AB154" t="e">
        <f>AND(#REF!,"AAAAAGezPxs=")</f>
        <v>#REF!</v>
      </c>
      <c r="AC154" t="e">
        <f>AND(#REF!,"AAAAAGezPxw=")</f>
        <v>#REF!</v>
      </c>
      <c r="AD154" t="e">
        <f>AND(#REF!,"AAAAAGezPx0=")</f>
        <v>#REF!</v>
      </c>
      <c r="AE154" t="e">
        <f>AND(#REF!,"AAAAAGezPx4=")</f>
        <v>#REF!</v>
      </c>
      <c r="AF154" t="e">
        <f>AND(#REF!,"AAAAAGezPx8=")</f>
        <v>#REF!</v>
      </c>
      <c r="AG154" t="e">
        <f>AND(#REF!,"AAAAAGezPyA=")</f>
        <v>#REF!</v>
      </c>
      <c r="AH154" t="e">
        <f>AND(#REF!,"AAAAAGezPyE=")</f>
        <v>#REF!</v>
      </c>
      <c r="AI154" t="e">
        <f>AND(#REF!,"AAAAAGezPyI=")</f>
        <v>#REF!</v>
      </c>
      <c r="AJ154" t="e">
        <f>AND(#REF!,"AAAAAGezPyM=")</f>
        <v>#REF!</v>
      </c>
      <c r="AK154" t="e">
        <f>AND(#REF!,"AAAAAGezPyQ=")</f>
        <v>#REF!</v>
      </c>
      <c r="AL154" t="e">
        <f>AND(#REF!,"AAAAAGezPyU=")</f>
        <v>#REF!</v>
      </c>
      <c r="AM154" t="e">
        <f>AND(#REF!,"AAAAAGezPyY=")</f>
        <v>#REF!</v>
      </c>
      <c r="AN154" t="e">
        <f>AND(#REF!,"AAAAAGezPyc=")</f>
        <v>#REF!</v>
      </c>
      <c r="AO154" t="e">
        <f>AND(#REF!,"AAAAAGezPyg=")</f>
        <v>#REF!</v>
      </c>
      <c r="AP154" t="e">
        <f>AND(#REF!,"AAAAAGezPyk=")</f>
        <v>#REF!</v>
      </c>
      <c r="AQ154" t="e">
        <f>AND(#REF!,"AAAAAGezPyo=")</f>
        <v>#REF!</v>
      </c>
      <c r="AR154" t="e">
        <f>AND(#REF!,"AAAAAGezPys=")</f>
        <v>#REF!</v>
      </c>
      <c r="AS154" t="e">
        <f>AND(#REF!,"AAAAAGezPyw=")</f>
        <v>#REF!</v>
      </c>
      <c r="AT154" t="e">
        <f>AND(#REF!,"AAAAAGezPy0=")</f>
        <v>#REF!</v>
      </c>
      <c r="AU154" t="e">
        <f>AND(#REF!,"AAAAAGezPy4=")</f>
        <v>#REF!</v>
      </c>
      <c r="AV154" t="e">
        <f>AND(#REF!,"AAAAAGezPy8=")</f>
        <v>#REF!</v>
      </c>
      <c r="AW154" t="e">
        <f>IF(#REF!,"AAAAAGezPzA=",0)</f>
        <v>#REF!</v>
      </c>
      <c r="AX154" t="e">
        <f>AND(#REF!,"AAAAAGezPzE=")</f>
        <v>#REF!</v>
      </c>
      <c r="AY154" t="e">
        <f>AND(#REF!,"AAAAAGezPzI=")</f>
        <v>#REF!</v>
      </c>
      <c r="AZ154" t="e">
        <f>AND(#REF!,"AAAAAGezPzM=")</f>
        <v>#REF!</v>
      </c>
      <c r="BA154" t="e">
        <f>AND(#REF!,"AAAAAGezPzQ=")</f>
        <v>#REF!</v>
      </c>
      <c r="BB154" t="e">
        <f>AND(#REF!,"AAAAAGezPzU=")</f>
        <v>#REF!</v>
      </c>
      <c r="BC154" t="e">
        <f>AND(#REF!,"AAAAAGezPzY=")</f>
        <v>#REF!</v>
      </c>
      <c r="BD154" t="e">
        <f>AND(#REF!,"AAAAAGezPzc=")</f>
        <v>#REF!</v>
      </c>
      <c r="BE154" t="e">
        <f>AND(#REF!,"AAAAAGezPzg=")</f>
        <v>#REF!</v>
      </c>
      <c r="BF154" t="e">
        <f>AND(#REF!,"AAAAAGezPzk=")</f>
        <v>#REF!</v>
      </c>
      <c r="BG154" t="e">
        <f>AND(#REF!,"AAAAAGezPzo=")</f>
        <v>#REF!</v>
      </c>
      <c r="BH154" t="e">
        <f>AND(#REF!,"AAAAAGezPzs=")</f>
        <v>#REF!</v>
      </c>
      <c r="BI154" t="e">
        <f>AND(#REF!,"AAAAAGezPzw=")</f>
        <v>#REF!</v>
      </c>
      <c r="BJ154" t="e">
        <f>AND(#REF!,"AAAAAGezPz0=")</f>
        <v>#REF!</v>
      </c>
      <c r="BK154" t="e">
        <f>AND(#REF!,"AAAAAGezPz4=")</f>
        <v>#REF!</v>
      </c>
      <c r="BL154" t="e">
        <f>AND(#REF!,"AAAAAGezPz8=")</f>
        <v>#REF!</v>
      </c>
      <c r="BM154" t="e">
        <f>AND(#REF!,"AAAAAGezP0A=")</f>
        <v>#REF!</v>
      </c>
      <c r="BN154" t="e">
        <f>AND(#REF!,"AAAAAGezP0E=")</f>
        <v>#REF!</v>
      </c>
      <c r="BO154" t="e">
        <f>AND(#REF!,"AAAAAGezP0I=")</f>
        <v>#REF!</v>
      </c>
      <c r="BP154" t="e">
        <f>AND(#REF!,"AAAAAGezP0M=")</f>
        <v>#REF!</v>
      </c>
      <c r="BQ154" t="e">
        <f>AND(#REF!,"AAAAAGezP0Q=")</f>
        <v>#REF!</v>
      </c>
      <c r="BR154" t="e">
        <f>AND(#REF!,"AAAAAGezP0U=")</f>
        <v>#REF!</v>
      </c>
      <c r="BS154" t="e">
        <f>AND(#REF!,"AAAAAGezP0Y=")</f>
        <v>#REF!</v>
      </c>
      <c r="BT154" t="e">
        <f>AND(#REF!,"AAAAAGezP0c=")</f>
        <v>#REF!</v>
      </c>
      <c r="BU154" t="e">
        <f>AND(#REF!,"AAAAAGezP0g=")</f>
        <v>#REF!</v>
      </c>
      <c r="BV154" t="e">
        <f>AND(#REF!,"AAAAAGezP0k=")</f>
        <v>#REF!</v>
      </c>
      <c r="BW154" t="e">
        <f>AND(#REF!,"AAAAAGezP0o=")</f>
        <v>#REF!</v>
      </c>
      <c r="BX154" t="e">
        <f>AND(#REF!,"AAAAAGezP0s=")</f>
        <v>#REF!</v>
      </c>
      <c r="BY154" t="e">
        <f>AND(#REF!,"AAAAAGezP0w=")</f>
        <v>#REF!</v>
      </c>
      <c r="BZ154" t="e">
        <f>AND(#REF!,"AAAAAGezP00=")</f>
        <v>#REF!</v>
      </c>
      <c r="CA154" t="e">
        <f>AND(#REF!,"AAAAAGezP04=")</f>
        <v>#REF!</v>
      </c>
      <c r="CB154" t="e">
        <f>IF(#REF!,"AAAAAGezP08=",0)</f>
        <v>#REF!</v>
      </c>
      <c r="CC154" t="e">
        <f>AND(#REF!,"AAAAAGezP1A=")</f>
        <v>#REF!</v>
      </c>
      <c r="CD154" t="e">
        <f>AND(#REF!,"AAAAAGezP1E=")</f>
        <v>#REF!</v>
      </c>
      <c r="CE154" t="e">
        <f>AND(#REF!,"AAAAAGezP1I=")</f>
        <v>#REF!</v>
      </c>
      <c r="CF154" t="e">
        <f>AND(#REF!,"AAAAAGezP1M=")</f>
        <v>#REF!</v>
      </c>
      <c r="CG154" t="e">
        <f>AND(#REF!,"AAAAAGezP1Q=")</f>
        <v>#REF!</v>
      </c>
      <c r="CH154" t="e">
        <f>AND(#REF!,"AAAAAGezP1U=")</f>
        <v>#REF!</v>
      </c>
      <c r="CI154" t="e">
        <f>AND(#REF!,"AAAAAGezP1Y=")</f>
        <v>#REF!</v>
      </c>
      <c r="CJ154" t="e">
        <f>AND(#REF!,"AAAAAGezP1c=")</f>
        <v>#REF!</v>
      </c>
      <c r="CK154" t="e">
        <f>AND(#REF!,"AAAAAGezP1g=")</f>
        <v>#REF!</v>
      </c>
      <c r="CL154" t="e">
        <f>AND(#REF!,"AAAAAGezP1k=")</f>
        <v>#REF!</v>
      </c>
      <c r="CM154" t="e">
        <f>AND(#REF!,"AAAAAGezP1o=")</f>
        <v>#REF!</v>
      </c>
      <c r="CN154" t="e">
        <f>AND(#REF!,"AAAAAGezP1s=")</f>
        <v>#REF!</v>
      </c>
      <c r="CO154" t="e">
        <f>AND(#REF!,"AAAAAGezP1w=")</f>
        <v>#REF!</v>
      </c>
      <c r="CP154" t="e">
        <f>AND(#REF!,"AAAAAGezP10=")</f>
        <v>#REF!</v>
      </c>
      <c r="CQ154" t="e">
        <f>AND(#REF!,"AAAAAGezP14=")</f>
        <v>#REF!</v>
      </c>
      <c r="CR154" t="e">
        <f>AND(#REF!,"AAAAAGezP18=")</f>
        <v>#REF!</v>
      </c>
      <c r="CS154" t="e">
        <f>AND(#REF!,"AAAAAGezP2A=")</f>
        <v>#REF!</v>
      </c>
      <c r="CT154" t="e">
        <f>AND(#REF!,"AAAAAGezP2E=")</f>
        <v>#REF!</v>
      </c>
      <c r="CU154" t="e">
        <f>AND(#REF!,"AAAAAGezP2I=")</f>
        <v>#REF!</v>
      </c>
      <c r="CV154" t="e">
        <f>AND(#REF!,"AAAAAGezP2M=")</f>
        <v>#REF!</v>
      </c>
      <c r="CW154" t="e">
        <f>AND(#REF!,"AAAAAGezP2Q=")</f>
        <v>#REF!</v>
      </c>
      <c r="CX154" t="e">
        <f>AND(#REF!,"AAAAAGezP2U=")</f>
        <v>#REF!</v>
      </c>
      <c r="CY154" t="e">
        <f>AND(#REF!,"AAAAAGezP2Y=")</f>
        <v>#REF!</v>
      </c>
      <c r="CZ154" t="e">
        <f>AND(#REF!,"AAAAAGezP2c=")</f>
        <v>#REF!</v>
      </c>
      <c r="DA154" t="e">
        <f>AND(#REF!,"AAAAAGezP2g=")</f>
        <v>#REF!</v>
      </c>
      <c r="DB154" t="e">
        <f>AND(#REF!,"AAAAAGezP2k=")</f>
        <v>#REF!</v>
      </c>
      <c r="DC154" t="e">
        <f>AND(#REF!,"AAAAAGezP2o=")</f>
        <v>#REF!</v>
      </c>
      <c r="DD154" t="e">
        <f>AND(#REF!,"AAAAAGezP2s=")</f>
        <v>#REF!</v>
      </c>
      <c r="DE154" t="e">
        <f>AND(#REF!,"AAAAAGezP2w=")</f>
        <v>#REF!</v>
      </c>
      <c r="DF154" t="e">
        <f>AND(#REF!,"AAAAAGezP20=")</f>
        <v>#REF!</v>
      </c>
      <c r="DG154" t="e">
        <f>IF(#REF!,"AAAAAGezP24=",0)</f>
        <v>#REF!</v>
      </c>
      <c r="DH154" t="e">
        <f>AND(#REF!,"AAAAAGezP28=")</f>
        <v>#REF!</v>
      </c>
      <c r="DI154" t="e">
        <f>AND(#REF!,"AAAAAGezP3A=")</f>
        <v>#REF!</v>
      </c>
      <c r="DJ154" t="e">
        <f>AND(#REF!,"AAAAAGezP3E=")</f>
        <v>#REF!</v>
      </c>
      <c r="DK154" t="e">
        <f>AND(#REF!,"AAAAAGezP3I=")</f>
        <v>#REF!</v>
      </c>
      <c r="DL154" t="e">
        <f>AND(#REF!,"AAAAAGezP3M=")</f>
        <v>#REF!</v>
      </c>
      <c r="DM154" t="e">
        <f>AND(#REF!,"AAAAAGezP3Q=")</f>
        <v>#REF!</v>
      </c>
      <c r="DN154" t="e">
        <f>AND(#REF!,"AAAAAGezP3U=")</f>
        <v>#REF!</v>
      </c>
      <c r="DO154" t="e">
        <f>AND(#REF!,"AAAAAGezP3Y=")</f>
        <v>#REF!</v>
      </c>
      <c r="DP154" t="e">
        <f>AND(#REF!,"AAAAAGezP3c=")</f>
        <v>#REF!</v>
      </c>
      <c r="DQ154" t="e">
        <f>AND(#REF!,"AAAAAGezP3g=")</f>
        <v>#REF!</v>
      </c>
      <c r="DR154" t="e">
        <f>AND(#REF!,"AAAAAGezP3k=")</f>
        <v>#REF!</v>
      </c>
      <c r="DS154" t="e">
        <f>AND(#REF!,"AAAAAGezP3o=")</f>
        <v>#REF!</v>
      </c>
      <c r="DT154" t="e">
        <f>AND(#REF!,"AAAAAGezP3s=")</f>
        <v>#REF!</v>
      </c>
      <c r="DU154" t="e">
        <f>AND(#REF!,"AAAAAGezP3w=")</f>
        <v>#REF!</v>
      </c>
      <c r="DV154" t="e">
        <f>AND(#REF!,"AAAAAGezP30=")</f>
        <v>#REF!</v>
      </c>
      <c r="DW154" t="e">
        <f>AND(#REF!,"AAAAAGezP34=")</f>
        <v>#REF!</v>
      </c>
      <c r="DX154" t="e">
        <f>AND(#REF!,"AAAAAGezP38=")</f>
        <v>#REF!</v>
      </c>
      <c r="DY154" t="e">
        <f>AND(#REF!,"AAAAAGezP4A=")</f>
        <v>#REF!</v>
      </c>
      <c r="DZ154" t="e">
        <f>AND(#REF!,"AAAAAGezP4E=")</f>
        <v>#REF!</v>
      </c>
      <c r="EA154" t="e">
        <f>AND(#REF!,"AAAAAGezP4I=")</f>
        <v>#REF!</v>
      </c>
      <c r="EB154" t="e">
        <f>AND(#REF!,"AAAAAGezP4M=")</f>
        <v>#REF!</v>
      </c>
      <c r="EC154" t="e">
        <f>AND(#REF!,"AAAAAGezP4Q=")</f>
        <v>#REF!</v>
      </c>
      <c r="ED154" t="e">
        <f>AND(#REF!,"AAAAAGezP4U=")</f>
        <v>#REF!</v>
      </c>
      <c r="EE154" t="e">
        <f>AND(#REF!,"AAAAAGezP4Y=")</f>
        <v>#REF!</v>
      </c>
      <c r="EF154" t="e">
        <f>AND(#REF!,"AAAAAGezP4c=")</f>
        <v>#REF!</v>
      </c>
      <c r="EG154" t="e">
        <f>AND(#REF!,"AAAAAGezP4g=")</f>
        <v>#REF!</v>
      </c>
      <c r="EH154" t="e">
        <f>AND(#REF!,"AAAAAGezP4k=")</f>
        <v>#REF!</v>
      </c>
      <c r="EI154" t="e">
        <f>AND(#REF!,"AAAAAGezP4o=")</f>
        <v>#REF!</v>
      </c>
      <c r="EJ154" t="e">
        <f>AND(#REF!,"AAAAAGezP4s=")</f>
        <v>#REF!</v>
      </c>
      <c r="EK154" t="e">
        <f>AND(#REF!,"AAAAAGezP4w=")</f>
        <v>#REF!</v>
      </c>
      <c r="EL154" t="e">
        <f>IF(#REF!,"AAAAAGezP40=",0)</f>
        <v>#REF!</v>
      </c>
      <c r="EM154" t="e">
        <f>AND(#REF!,"AAAAAGezP44=")</f>
        <v>#REF!</v>
      </c>
      <c r="EN154" t="e">
        <f>AND(#REF!,"AAAAAGezP48=")</f>
        <v>#REF!</v>
      </c>
      <c r="EO154" t="e">
        <f>AND(#REF!,"AAAAAGezP5A=")</f>
        <v>#REF!</v>
      </c>
      <c r="EP154" t="e">
        <f>AND(#REF!,"AAAAAGezP5E=")</f>
        <v>#REF!</v>
      </c>
      <c r="EQ154" t="e">
        <f>AND(#REF!,"AAAAAGezP5I=")</f>
        <v>#REF!</v>
      </c>
      <c r="ER154" t="e">
        <f>AND(#REF!,"AAAAAGezP5M=")</f>
        <v>#REF!</v>
      </c>
      <c r="ES154" t="e">
        <f>AND(#REF!,"AAAAAGezP5Q=")</f>
        <v>#REF!</v>
      </c>
      <c r="ET154" t="e">
        <f>AND(#REF!,"AAAAAGezP5U=")</f>
        <v>#REF!</v>
      </c>
      <c r="EU154" t="e">
        <f>AND(#REF!,"AAAAAGezP5Y=")</f>
        <v>#REF!</v>
      </c>
      <c r="EV154" t="e">
        <f>AND(#REF!,"AAAAAGezP5c=")</f>
        <v>#REF!</v>
      </c>
      <c r="EW154" t="e">
        <f>AND(#REF!,"AAAAAGezP5g=")</f>
        <v>#REF!</v>
      </c>
      <c r="EX154" t="e">
        <f>AND(#REF!,"AAAAAGezP5k=")</f>
        <v>#REF!</v>
      </c>
      <c r="EY154" t="e">
        <f>AND(#REF!,"AAAAAGezP5o=")</f>
        <v>#REF!</v>
      </c>
      <c r="EZ154" t="e">
        <f>AND(#REF!,"AAAAAGezP5s=")</f>
        <v>#REF!</v>
      </c>
      <c r="FA154" t="e">
        <f>AND(#REF!,"AAAAAGezP5w=")</f>
        <v>#REF!</v>
      </c>
      <c r="FB154" t="e">
        <f>AND(#REF!,"AAAAAGezP50=")</f>
        <v>#REF!</v>
      </c>
      <c r="FC154" t="e">
        <f>AND(#REF!,"AAAAAGezP54=")</f>
        <v>#REF!</v>
      </c>
      <c r="FD154" t="e">
        <f>AND(#REF!,"AAAAAGezP58=")</f>
        <v>#REF!</v>
      </c>
      <c r="FE154" t="e">
        <f>AND(#REF!,"AAAAAGezP6A=")</f>
        <v>#REF!</v>
      </c>
      <c r="FF154" t="e">
        <f>AND(#REF!,"AAAAAGezP6E=")</f>
        <v>#REF!</v>
      </c>
      <c r="FG154" t="e">
        <f>AND(#REF!,"AAAAAGezP6I=")</f>
        <v>#REF!</v>
      </c>
      <c r="FH154" t="e">
        <f>AND(#REF!,"AAAAAGezP6M=")</f>
        <v>#REF!</v>
      </c>
      <c r="FI154" t="e">
        <f>AND(#REF!,"AAAAAGezP6Q=")</f>
        <v>#REF!</v>
      </c>
      <c r="FJ154" t="e">
        <f>AND(#REF!,"AAAAAGezP6U=")</f>
        <v>#REF!</v>
      </c>
      <c r="FK154" t="e">
        <f>AND(#REF!,"AAAAAGezP6Y=")</f>
        <v>#REF!</v>
      </c>
      <c r="FL154" t="e">
        <f>AND(#REF!,"AAAAAGezP6c=")</f>
        <v>#REF!</v>
      </c>
      <c r="FM154" t="e">
        <f>AND(#REF!,"AAAAAGezP6g=")</f>
        <v>#REF!</v>
      </c>
      <c r="FN154" t="e">
        <f>AND(#REF!,"AAAAAGezP6k=")</f>
        <v>#REF!</v>
      </c>
      <c r="FO154" t="e">
        <f>AND(#REF!,"AAAAAGezP6o=")</f>
        <v>#REF!</v>
      </c>
      <c r="FP154" t="e">
        <f>AND(#REF!,"AAAAAGezP6s=")</f>
        <v>#REF!</v>
      </c>
      <c r="FQ154" t="e">
        <f>IF(#REF!,"AAAAAGezP6w=",0)</f>
        <v>#REF!</v>
      </c>
      <c r="FR154" t="e">
        <f>AND(#REF!,"AAAAAGezP60=")</f>
        <v>#REF!</v>
      </c>
      <c r="FS154" t="e">
        <f>AND(#REF!,"AAAAAGezP64=")</f>
        <v>#REF!</v>
      </c>
      <c r="FT154" t="e">
        <f>AND(#REF!,"AAAAAGezP68=")</f>
        <v>#REF!</v>
      </c>
      <c r="FU154" t="e">
        <f>AND(#REF!,"AAAAAGezP7A=")</f>
        <v>#REF!</v>
      </c>
      <c r="FV154" t="e">
        <f>AND(#REF!,"AAAAAGezP7E=")</f>
        <v>#REF!</v>
      </c>
      <c r="FW154" t="e">
        <f>AND(#REF!,"AAAAAGezP7I=")</f>
        <v>#REF!</v>
      </c>
      <c r="FX154" t="e">
        <f>AND(#REF!,"AAAAAGezP7M=")</f>
        <v>#REF!</v>
      </c>
      <c r="FY154" t="e">
        <f>AND(#REF!,"AAAAAGezP7Q=")</f>
        <v>#REF!</v>
      </c>
      <c r="FZ154" t="e">
        <f>AND(#REF!,"AAAAAGezP7U=")</f>
        <v>#REF!</v>
      </c>
      <c r="GA154" t="e">
        <f>AND(#REF!,"AAAAAGezP7Y=")</f>
        <v>#REF!</v>
      </c>
      <c r="GB154" t="e">
        <f>AND(#REF!,"AAAAAGezP7c=")</f>
        <v>#REF!</v>
      </c>
      <c r="GC154" t="e">
        <f>AND(#REF!,"AAAAAGezP7g=")</f>
        <v>#REF!</v>
      </c>
      <c r="GD154" t="e">
        <f>AND(#REF!,"AAAAAGezP7k=")</f>
        <v>#REF!</v>
      </c>
      <c r="GE154" t="e">
        <f>AND(#REF!,"AAAAAGezP7o=")</f>
        <v>#REF!</v>
      </c>
      <c r="GF154" t="e">
        <f>AND(#REF!,"AAAAAGezP7s=")</f>
        <v>#REF!</v>
      </c>
      <c r="GG154" t="e">
        <f>AND(#REF!,"AAAAAGezP7w=")</f>
        <v>#REF!</v>
      </c>
      <c r="GH154" t="e">
        <f>AND(#REF!,"AAAAAGezP70=")</f>
        <v>#REF!</v>
      </c>
      <c r="GI154" t="e">
        <f>AND(#REF!,"AAAAAGezP74=")</f>
        <v>#REF!</v>
      </c>
      <c r="GJ154" t="e">
        <f>AND(#REF!,"AAAAAGezP78=")</f>
        <v>#REF!</v>
      </c>
      <c r="GK154" t="e">
        <f>AND(#REF!,"AAAAAGezP8A=")</f>
        <v>#REF!</v>
      </c>
      <c r="GL154" t="e">
        <f>AND(#REF!,"AAAAAGezP8E=")</f>
        <v>#REF!</v>
      </c>
      <c r="GM154" t="e">
        <f>AND(#REF!,"AAAAAGezP8I=")</f>
        <v>#REF!</v>
      </c>
      <c r="GN154" t="e">
        <f>AND(#REF!,"AAAAAGezP8M=")</f>
        <v>#REF!</v>
      </c>
      <c r="GO154" t="e">
        <f>AND(#REF!,"AAAAAGezP8Q=")</f>
        <v>#REF!</v>
      </c>
      <c r="GP154" t="e">
        <f>AND(#REF!,"AAAAAGezP8U=")</f>
        <v>#REF!</v>
      </c>
      <c r="GQ154" t="e">
        <f>AND(#REF!,"AAAAAGezP8Y=")</f>
        <v>#REF!</v>
      </c>
      <c r="GR154" t="e">
        <f>AND(#REF!,"AAAAAGezP8c=")</f>
        <v>#REF!</v>
      </c>
      <c r="GS154" t="e">
        <f>AND(#REF!,"AAAAAGezP8g=")</f>
        <v>#REF!</v>
      </c>
      <c r="GT154" t="e">
        <f>AND(#REF!,"AAAAAGezP8k=")</f>
        <v>#REF!</v>
      </c>
      <c r="GU154" t="e">
        <f>AND(#REF!,"AAAAAGezP8o=")</f>
        <v>#REF!</v>
      </c>
      <c r="GV154" t="e">
        <f>IF(#REF!,"AAAAAGezP8s=",0)</f>
        <v>#REF!</v>
      </c>
      <c r="GW154" t="e">
        <f>AND(#REF!,"AAAAAGezP8w=")</f>
        <v>#REF!</v>
      </c>
      <c r="GX154" t="e">
        <f>AND(#REF!,"AAAAAGezP80=")</f>
        <v>#REF!</v>
      </c>
      <c r="GY154" t="e">
        <f>AND(#REF!,"AAAAAGezP84=")</f>
        <v>#REF!</v>
      </c>
      <c r="GZ154" t="e">
        <f>AND(#REF!,"AAAAAGezP88=")</f>
        <v>#REF!</v>
      </c>
      <c r="HA154" t="e">
        <f>AND(#REF!,"AAAAAGezP9A=")</f>
        <v>#REF!</v>
      </c>
      <c r="HB154" t="e">
        <f>AND(#REF!,"AAAAAGezP9E=")</f>
        <v>#REF!</v>
      </c>
      <c r="HC154" t="e">
        <f>AND(#REF!,"AAAAAGezP9I=")</f>
        <v>#REF!</v>
      </c>
      <c r="HD154" t="e">
        <f>AND(#REF!,"AAAAAGezP9M=")</f>
        <v>#REF!</v>
      </c>
      <c r="HE154" t="e">
        <f>AND(#REF!,"AAAAAGezP9Q=")</f>
        <v>#REF!</v>
      </c>
      <c r="HF154" t="e">
        <f>AND(#REF!,"AAAAAGezP9U=")</f>
        <v>#REF!</v>
      </c>
      <c r="HG154" t="e">
        <f>AND(#REF!,"AAAAAGezP9Y=")</f>
        <v>#REF!</v>
      </c>
      <c r="HH154" t="e">
        <f>AND(#REF!,"AAAAAGezP9c=")</f>
        <v>#REF!</v>
      </c>
      <c r="HI154" t="e">
        <f>AND(#REF!,"AAAAAGezP9g=")</f>
        <v>#REF!</v>
      </c>
      <c r="HJ154" t="e">
        <f>AND(#REF!,"AAAAAGezP9k=")</f>
        <v>#REF!</v>
      </c>
      <c r="HK154" t="e">
        <f>AND(#REF!,"AAAAAGezP9o=")</f>
        <v>#REF!</v>
      </c>
      <c r="HL154" t="e">
        <f>AND(#REF!,"AAAAAGezP9s=")</f>
        <v>#REF!</v>
      </c>
      <c r="HM154" t="e">
        <f>AND(#REF!,"AAAAAGezP9w=")</f>
        <v>#REF!</v>
      </c>
      <c r="HN154" t="e">
        <f>AND(#REF!,"AAAAAGezP90=")</f>
        <v>#REF!</v>
      </c>
      <c r="HO154" t="e">
        <f>AND(#REF!,"AAAAAGezP94=")</f>
        <v>#REF!</v>
      </c>
      <c r="HP154" t="e">
        <f>AND(#REF!,"AAAAAGezP98=")</f>
        <v>#REF!</v>
      </c>
      <c r="HQ154" t="e">
        <f>AND(#REF!,"AAAAAGezP+A=")</f>
        <v>#REF!</v>
      </c>
      <c r="HR154" t="e">
        <f>AND(#REF!,"AAAAAGezP+E=")</f>
        <v>#REF!</v>
      </c>
      <c r="HS154" t="e">
        <f>AND(#REF!,"AAAAAGezP+I=")</f>
        <v>#REF!</v>
      </c>
      <c r="HT154" t="e">
        <f>AND(#REF!,"AAAAAGezP+M=")</f>
        <v>#REF!</v>
      </c>
      <c r="HU154" t="e">
        <f>AND(#REF!,"AAAAAGezP+Q=")</f>
        <v>#REF!</v>
      </c>
      <c r="HV154" t="e">
        <f>AND(#REF!,"AAAAAGezP+U=")</f>
        <v>#REF!</v>
      </c>
      <c r="HW154" t="e">
        <f>AND(#REF!,"AAAAAGezP+Y=")</f>
        <v>#REF!</v>
      </c>
      <c r="HX154" t="e">
        <f>AND(#REF!,"AAAAAGezP+c=")</f>
        <v>#REF!</v>
      </c>
      <c r="HY154" t="e">
        <f>AND(#REF!,"AAAAAGezP+g=")</f>
        <v>#REF!</v>
      </c>
      <c r="HZ154" t="e">
        <f>AND(#REF!,"AAAAAGezP+k=")</f>
        <v>#REF!</v>
      </c>
      <c r="IA154" t="e">
        <f>IF(#REF!,"AAAAAGezP+o=",0)</f>
        <v>#REF!</v>
      </c>
      <c r="IB154" t="e">
        <f>AND(#REF!,"AAAAAGezP+s=")</f>
        <v>#REF!</v>
      </c>
      <c r="IC154" t="e">
        <f>AND(#REF!,"AAAAAGezP+w=")</f>
        <v>#REF!</v>
      </c>
      <c r="ID154" t="e">
        <f>AND(#REF!,"AAAAAGezP+0=")</f>
        <v>#REF!</v>
      </c>
      <c r="IE154" t="e">
        <f>AND(#REF!,"AAAAAGezP+4=")</f>
        <v>#REF!</v>
      </c>
      <c r="IF154" t="e">
        <f>AND(#REF!,"AAAAAGezP+8=")</f>
        <v>#REF!</v>
      </c>
      <c r="IG154" t="e">
        <f>AND(#REF!,"AAAAAGezP/A=")</f>
        <v>#REF!</v>
      </c>
      <c r="IH154" t="e">
        <f>AND(#REF!,"AAAAAGezP/E=")</f>
        <v>#REF!</v>
      </c>
      <c r="II154" t="e">
        <f>AND(#REF!,"AAAAAGezP/I=")</f>
        <v>#REF!</v>
      </c>
      <c r="IJ154" t="e">
        <f>AND(#REF!,"AAAAAGezP/M=")</f>
        <v>#REF!</v>
      </c>
      <c r="IK154" t="e">
        <f>AND(#REF!,"AAAAAGezP/Q=")</f>
        <v>#REF!</v>
      </c>
      <c r="IL154" t="e">
        <f>AND(#REF!,"AAAAAGezP/U=")</f>
        <v>#REF!</v>
      </c>
      <c r="IM154" t="e">
        <f>AND(#REF!,"AAAAAGezP/Y=")</f>
        <v>#REF!</v>
      </c>
      <c r="IN154" t="e">
        <f>AND(#REF!,"AAAAAGezP/c=")</f>
        <v>#REF!</v>
      </c>
      <c r="IO154" t="e">
        <f>AND(#REF!,"AAAAAGezP/g=")</f>
        <v>#REF!</v>
      </c>
      <c r="IP154" t="e">
        <f>AND(#REF!,"AAAAAGezP/k=")</f>
        <v>#REF!</v>
      </c>
      <c r="IQ154" t="e">
        <f>AND(#REF!,"AAAAAGezP/o=")</f>
        <v>#REF!</v>
      </c>
      <c r="IR154" t="e">
        <f>AND(#REF!,"AAAAAGezP/s=")</f>
        <v>#REF!</v>
      </c>
      <c r="IS154" t="e">
        <f>AND(#REF!,"AAAAAGezP/w=")</f>
        <v>#REF!</v>
      </c>
      <c r="IT154" t="e">
        <f>AND(#REF!,"AAAAAGezP/0=")</f>
        <v>#REF!</v>
      </c>
      <c r="IU154" t="e">
        <f>AND(#REF!,"AAAAAGezP/4=")</f>
        <v>#REF!</v>
      </c>
      <c r="IV154" t="e">
        <f>AND(#REF!,"AAAAAGezP/8=")</f>
        <v>#REF!</v>
      </c>
    </row>
    <row r="155" spans="1:256" x14ac:dyDescent="0.2">
      <c r="A155" t="e">
        <f>AND(#REF!,"AAAAAHvv/gA=")</f>
        <v>#REF!</v>
      </c>
      <c r="B155" t="e">
        <f>AND(#REF!,"AAAAAHvv/gE=")</f>
        <v>#REF!</v>
      </c>
      <c r="C155" t="e">
        <f>AND(#REF!,"AAAAAHvv/gI=")</f>
        <v>#REF!</v>
      </c>
      <c r="D155" t="e">
        <f>AND(#REF!,"AAAAAHvv/gM=")</f>
        <v>#REF!</v>
      </c>
      <c r="E155" t="e">
        <f>AND(#REF!,"AAAAAHvv/gQ=")</f>
        <v>#REF!</v>
      </c>
      <c r="F155" t="e">
        <f>AND(#REF!,"AAAAAHvv/gU=")</f>
        <v>#REF!</v>
      </c>
      <c r="G155" t="e">
        <f>AND(#REF!,"AAAAAHvv/gY=")</f>
        <v>#REF!</v>
      </c>
      <c r="H155" t="e">
        <f>AND(#REF!,"AAAAAHvv/gc=")</f>
        <v>#REF!</v>
      </c>
      <c r="I155" t="e">
        <f>AND(#REF!,"AAAAAHvv/gg=")</f>
        <v>#REF!</v>
      </c>
      <c r="J155" t="e">
        <f>IF(#REF!,"AAAAAHvv/gk=",0)</f>
        <v>#REF!</v>
      </c>
      <c r="K155" t="e">
        <f>AND(#REF!,"AAAAAHvv/go=")</f>
        <v>#REF!</v>
      </c>
      <c r="L155" t="e">
        <f>AND(#REF!,"AAAAAHvv/gs=")</f>
        <v>#REF!</v>
      </c>
      <c r="M155" t="e">
        <f>AND(#REF!,"AAAAAHvv/gw=")</f>
        <v>#REF!</v>
      </c>
      <c r="N155" t="e">
        <f>AND(#REF!,"AAAAAHvv/g0=")</f>
        <v>#REF!</v>
      </c>
      <c r="O155" t="e">
        <f>AND(#REF!,"AAAAAHvv/g4=")</f>
        <v>#REF!</v>
      </c>
      <c r="P155" t="e">
        <f>AND(#REF!,"AAAAAHvv/g8=")</f>
        <v>#REF!</v>
      </c>
      <c r="Q155" t="e">
        <f>AND(#REF!,"AAAAAHvv/hA=")</f>
        <v>#REF!</v>
      </c>
      <c r="R155" t="e">
        <f>AND(#REF!,"AAAAAHvv/hE=")</f>
        <v>#REF!</v>
      </c>
      <c r="S155" t="e">
        <f>AND(#REF!,"AAAAAHvv/hI=")</f>
        <v>#REF!</v>
      </c>
      <c r="T155" t="e">
        <f>AND(#REF!,"AAAAAHvv/hM=")</f>
        <v>#REF!</v>
      </c>
      <c r="U155" t="e">
        <f>AND(#REF!,"AAAAAHvv/hQ=")</f>
        <v>#REF!</v>
      </c>
      <c r="V155" t="e">
        <f>AND(#REF!,"AAAAAHvv/hU=")</f>
        <v>#REF!</v>
      </c>
      <c r="W155" t="e">
        <f>AND(#REF!,"AAAAAHvv/hY=")</f>
        <v>#REF!</v>
      </c>
      <c r="X155" t="e">
        <f>AND(#REF!,"AAAAAHvv/hc=")</f>
        <v>#REF!</v>
      </c>
      <c r="Y155" t="e">
        <f>AND(#REF!,"AAAAAHvv/hg=")</f>
        <v>#REF!</v>
      </c>
      <c r="Z155" t="e">
        <f>AND(#REF!,"AAAAAHvv/hk=")</f>
        <v>#REF!</v>
      </c>
      <c r="AA155" t="e">
        <f>AND(#REF!,"AAAAAHvv/ho=")</f>
        <v>#REF!</v>
      </c>
      <c r="AB155" t="e">
        <f>AND(#REF!,"AAAAAHvv/hs=")</f>
        <v>#REF!</v>
      </c>
      <c r="AC155" t="e">
        <f>AND(#REF!,"AAAAAHvv/hw=")</f>
        <v>#REF!</v>
      </c>
      <c r="AD155" t="e">
        <f>AND(#REF!,"AAAAAHvv/h0=")</f>
        <v>#REF!</v>
      </c>
      <c r="AE155" t="e">
        <f>AND(#REF!,"AAAAAHvv/h4=")</f>
        <v>#REF!</v>
      </c>
      <c r="AF155" t="e">
        <f>AND(#REF!,"AAAAAHvv/h8=")</f>
        <v>#REF!</v>
      </c>
      <c r="AG155" t="e">
        <f>AND(#REF!,"AAAAAHvv/iA=")</f>
        <v>#REF!</v>
      </c>
      <c r="AH155" t="e">
        <f>AND(#REF!,"AAAAAHvv/iE=")</f>
        <v>#REF!</v>
      </c>
      <c r="AI155" t="e">
        <f>AND(#REF!,"AAAAAHvv/iI=")</f>
        <v>#REF!</v>
      </c>
      <c r="AJ155" t="e">
        <f>AND(#REF!,"AAAAAHvv/iM=")</f>
        <v>#REF!</v>
      </c>
      <c r="AK155" t="e">
        <f>AND(#REF!,"AAAAAHvv/iQ=")</f>
        <v>#REF!</v>
      </c>
      <c r="AL155" t="e">
        <f>AND(#REF!,"AAAAAHvv/iU=")</f>
        <v>#REF!</v>
      </c>
      <c r="AM155" t="e">
        <f>AND(#REF!,"AAAAAHvv/iY=")</f>
        <v>#REF!</v>
      </c>
      <c r="AN155" t="e">
        <f>AND(#REF!,"AAAAAHvv/ic=")</f>
        <v>#REF!</v>
      </c>
      <c r="AO155" t="e">
        <f>IF(#REF!,"AAAAAHvv/ig=",0)</f>
        <v>#REF!</v>
      </c>
      <c r="AP155" t="e">
        <f>AND(#REF!,"AAAAAHvv/ik=")</f>
        <v>#REF!</v>
      </c>
      <c r="AQ155" t="e">
        <f>AND(#REF!,"AAAAAHvv/io=")</f>
        <v>#REF!</v>
      </c>
      <c r="AR155" t="e">
        <f>AND(#REF!,"AAAAAHvv/is=")</f>
        <v>#REF!</v>
      </c>
      <c r="AS155" t="e">
        <f>AND(#REF!,"AAAAAHvv/iw=")</f>
        <v>#REF!</v>
      </c>
      <c r="AT155" t="e">
        <f>AND(#REF!,"AAAAAHvv/i0=")</f>
        <v>#REF!</v>
      </c>
      <c r="AU155" t="e">
        <f>AND(#REF!,"AAAAAHvv/i4=")</f>
        <v>#REF!</v>
      </c>
      <c r="AV155" t="e">
        <f>AND(#REF!,"AAAAAHvv/i8=")</f>
        <v>#REF!</v>
      </c>
      <c r="AW155" t="e">
        <f>AND(#REF!,"AAAAAHvv/jA=")</f>
        <v>#REF!</v>
      </c>
      <c r="AX155" t="e">
        <f>AND(#REF!,"AAAAAHvv/jE=")</f>
        <v>#REF!</v>
      </c>
      <c r="AY155" t="e">
        <f>AND(#REF!,"AAAAAHvv/jI=")</f>
        <v>#REF!</v>
      </c>
      <c r="AZ155" t="e">
        <f>AND(#REF!,"AAAAAHvv/jM=")</f>
        <v>#REF!</v>
      </c>
      <c r="BA155" t="e">
        <f>AND(#REF!,"AAAAAHvv/jQ=")</f>
        <v>#REF!</v>
      </c>
      <c r="BB155" t="e">
        <f>AND(#REF!,"AAAAAHvv/jU=")</f>
        <v>#REF!</v>
      </c>
      <c r="BC155" t="e">
        <f>AND(#REF!,"AAAAAHvv/jY=")</f>
        <v>#REF!</v>
      </c>
      <c r="BD155" t="e">
        <f>AND(#REF!,"AAAAAHvv/jc=")</f>
        <v>#REF!</v>
      </c>
      <c r="BE155" t="e">
        <f>AND(#REF!,"AAAAAHvv/jg=")</f>
        <v>#REF!</v>
      </c>
      <c r="BF155" t="e">
        <f>AND(#REF!,"AAAAAHvv/jk=")</f>
        <v>#REF!</v>
      </c>
      <c r="BG155" t="e">
        <f>AND(#REF!,"AAAAAHvv/jo=")</f>
        <v>#REF!</v>
      </c>
      <c r="BH155" t="e">
        <f>AND(#REF!,"AAAAAHvv/js=")</f>
        <v>#REF!</v>
      </c>
      <c r="BI155" t="e">
        <f>AND(#REF!,"AAAAAHvv/jw=")</f>
        <v>#REF!</v>
      </c>
      <c r="BJ155" t="e">
        <f>AND(#REF!,"AAAAAHvv/j0=")</f>
        <v>#REF!</v>
      </c>
      <c r="BK155" t="e">
        <f>AND(#REF!,"AAAAAHvv/j4=")</f>
        <v>#REF!</v>
      </c>
      <c r="BL155" t="e">
        <f>AND(#REF!,"AAAAAHvv/j8=")</f>
        <v>#REF!</v>
      </c>
      <c r="BM155" t="e">
        <f>AND(#REF!,"AAAAAHvv/kA=")</f>
        <v>#REF!</v>
      </c>
      <c r="BN155" t="e">
        <f>AND(#REF!,"AAAAAHvv/kE=")</f>
        <v>#REF!</v>
      </c>
      <c r="BO155" t="e">
        <f>AND(#REF!,"AAAAAHvv/kI=")</f>
        <v>#REF!</v>
      </c>
      <c r="BP155" t="e">
        <f>AND(#REF!,"AAAAAHvv/kM=")</f>
        <v>#REF!</v>
      </c>
      <c r="BQ155" t="e">
        <f>AND(#REF!,"AAAAAHvv/kQ=")</f>
        <v>#REF!</v>
      </c>
      <c r="BR155" t="e">
        <f>AND(#REF!,"AAAAAHvv/kU=")</f>
        <v>#REF!</v>
      </c>
      <c r="BS155" t="e">
        <f>AND(#REF!,"AAAAAHvv/kY=")</f>
        <v>#REF!</v>
      </c>
      <c r="BT155" t="e">
        <f>IF(#REF!,"AAAAAHvv/kc=",0)</f>
        <v>#REF!</v>
      </c>
      <c r="BU155" t="e">
        <f>AND(#REF!,"AAAAAHvv/kg=")</f>
        <v>#REF!</v>
      </c>
      <c r="BV155" t="e">
        <f>AND(#REF!,"AAAAAHvv/kk=")</f>
        <v>#REF!</v>
      </c>
      <c r="BW155" t="e">
        <f>AND(#REF!,"AAAAAHvv/ko=")</f>
        <v>#REF!</v>
      </c>
      <c r="BX155" t="e">
        <f>AND(#REF!,"AAAAAHvv/ks=")</f>
        <v>#REF!</v>
      </c>
      <c r="BY155" t="e">
        <f>AND(#REF!,"AAAAAHvv/kw=")</f>
        <v>#REF!</v>
      </c>
      <c r="BZ155" t="e">
        <f>AND(#REF!,"AAAAAHvv/k0=")</f>
        <v>#REF!</v>
      </c>
      <c r="CA155" t="e">
        <f>AND(#REF!,"AAAAAHvv/k4=")</f>
        <v>#REF!</v>
      </c>
      <c r="CB155" t="e">
        <f>AND(#REF!,"AAAAAHvv/k8=")</f>
        <v>#REF!</v>
      </c>
      <c r="CC155" t="e">
        <f>AND(#REF!,"AAAAAHvv/lA=")</f>
        <v>#REF!</v>
      </c>
      <c r="CD155" t="e">
        <f>AND(#REF!,"AAAAAHvv/lE=")</f>
        <v>#REF!</v>
      </c>
      <c r="CE155" t="e">
        <f>AND(#REF!,"AAAAAHvv/lI=")</f>
        <v>#REF!</v>
      </c>
      <c r="CF155" t="e">
        <f>AND(#REF!,"AAAAAHvv/lM=")</f>
        <v>#REF!</v>
      </c>
      <c r="CG155" t="e">
        <f>AND(#REF!,"AAAAAHvv/lQ=")</f>
        <v>#REF!</v>
      </c>
      <c r="CH155" t="e">
        <f>AND(#REF!,"AAAAAHvv/lU=")</f>
        <v>#REF!</v>
      </c>
      <c r="CI155" t="e">
        <f>AND(#REF!,"AAAAAHvv/lY=")</f>
        <v>#REF!</v>
      </c>
      <c r="CJ155" t="e">
        <f>AND(#REF!,"AAAAAHvv/lc=")</f>
        <v>#REF!</v>
      </c>
      <c r="CK155" t="e">
        <f>AND(#REF!,"AAAAAHvv/lg=")</f>
        <v>#REF!</v>
      </c>
      <c r="CL155" t="e">
        <f>AND(#REF!,"AAAAAHvv/lk=")</f>
        <v>#REF!</v>
      </c>
      <c r="CM155" t="e">
        <f>AND(#REF!,"AAAAAHvv/lo=")</f>
        <v>#REF!</v>
      </c>
      <c r="CN155" t="e">
        <f>AND(#REF!,"AAAAAHvv/ls=")</f>
        <v>#REF!</v>
      </c>
      <c r="CO155" t="e">
        <f>AND(#REF!,"AAAAAHvv/lw=")</f>
        <v>#REF!</v>
      </c>
      <c r="CP155" t="e">
        <f>AND(#REF!,"AAAAAHvv/l0=")</f>
        <v>#REF!</v>
      </c>
      <c r="CQ155" t="e">
        <f>AND(#REF!,"AAAAAHvv/l4=")</f>
        <v>#REF!</v>
      </c>
      <c r="CR155" t="e">
        <f>AND(#REF!,"AAAAAHvv/l8=")</f>
        <v>#REF!</v>
      </c>
      <c r="CS155" t="e">
        <f>AND(#REF!,"AAAAAHvv/mA=")</f>
        <v>#REF!</v>
      </c>
      <c r="CT155" t="e">
        <f>AND(#REF!,"AAAAAHvv/mE=")</f>
        <v>#REF!</v>
      </c>
      <c r="CU155" t="e">
        <f>AND(#REF!,"AAAAAHvv/mI=")</f>
        <v>#REF!</v>
      </c>
      <c r="CV155" t="e">
        <f>AND(#REF!,"AAAAAHvv/mM=")</f>
        <v>#REF!</v>
      </c>
      <c r="CW155" t="e">
        <f>AND(#REF!,"AAAAAHvv/mQ=")</f>
        <v>#REF!</v>
      </c>
      <c r="CX155" t="e">
        <f>AND(#REF!,"AAAAAHvv/mU=")</f>
        <v>#REF!</v>
      </c>
      <c r="CY155" t="e">
        <f>IF(#REF!,"AAAAAHvv/mY=",0)</f>
        <v>#REF!</v>
      </c>
      <c r="CZ155" t="e">
        <f>AND(#REF!,"AAAAAHvv/mc=")</f>
        <v>#REF!</v>
      </c>
      <c r="DA155" t="e">
        <f>AND(#REF!,"AAAAAHvv/mg=")</f>
        <v>#REF!</v>
      </c>
      <c r="DB155" t="e">
        <f>AND(#REF!,"AAAAAHvv/mk=")</f>
        <v>#REF!</v>
      </c>
      <c r="DC155" t="e">
        <f>AND(#REF!,"AAAAAHvv/mo=")</f>
        <v>#REF!</v>
      </c>
      <c r="DD155" t="e">
        <f>AND(#REF!,"AAAAAHvv/ms=")</f>
        <v>#REF!</v>
      </c>
      <c r="DE155" t="e">
        <f>AND(#REF!,"AAAAAHvv/mw=")</f>
        <v>#REF!</v>
      </c>
      <c r="DF155" t="e">
        <f>AND(#REF!,"AAAAAHvv/m0=")</f>
        <v>#REF!</v>
      </c>
      <c r="DG155" t="e">
        <f>AND(#REF!,"AAAAAHvv/m4=")</f>
        <v>#REF!</v>
      </c>
      <c r="DH155" t="e">
        <f>AND(#REF!,"AAAAAHvv/m8=")</f>
        <v>#REF!</v>
      </c>
      <c r="DI155" t="e">
        <f>AND(#REF!,"AAAAAHvv/nA=")</f>
        <v>#REF!</v>
      </c>
      <c r="DJ155" t="e">
        <f>AND(#REF!,"AAAAAHvv/nE=")</f>
        <v>#REF!</v>
      </c>
      <c r="DK155" t="e">
        <f>AND(#REF!,"AAAAAHvv/nI=")</f>
        <v>#REF!</v>
      </c>
      <c r="DL155" t="e">
        <f>AND(#REF!,"AAAAAHvv/nM=")</f>
        <v>#REF!</v>
      </c>
      <c r="DM155" t="e">
        <f>AND(#REF!,"AAAAAHvv/nQ=")</f>
        <v>#REF!</v>
      </c>
      <c r="DN155" t="e">
        <f>AND(#REF!,"AAAAAHvv/nU=")</f>
        <v>#REF!</v>
      </c>
      <c r="DO155" t="e">
        <f>AND(#REF!,"AAAAAHvv/nY=")</f>
        <v>#REF!</v>
      </c>
      <c r="DP155" t="e">
        <f>AND(#REF!,"AAAAAHvv/nc=")</f>
        <v>#REF!</v>
      </c>
      <c r="DQ155" t="e">
        <f>AND(#REF!,"AAAAAHvv/ng=")</f>
        <v>#REF!</v>
      </c>
      <c r="DR155" t="e">
        <f>AND(#REF!,"AAAAAHvv/nk=")</f>
        <v>#REF!</v>
      </c>
      <c r="DS155" t="e">
        <f>AND(#REF!,"AAAAAHvv/no=")</f>
        <v>#REF!</v>
      </c>
      <c r="DT155" t="e">
        <f>AND(#REF!,"AAAAAHvv/ns=")</f>
        <v>#REF!</v>
      </c>
      <c r="DU155" t="e">
        <f>AND(#REF!,"AAAAAHvv/nw=")</f>
        <v>#REF!</v>
      </c>
      <c r="DV155" t="e">
        <f>AND(#REF!,"AAAAAHvv/n0=")</f>
        <v>#REF!</v>
      </c>
      <c r="DW155" t="e">
        <f>AND(#REF!,"AAAAAHvv/n4=")</f>
        <v>#REF!</v>
      </c>
      <c r="DX155" t="e">
        <f>AND(#REF!,"AAAAAHvv/n8=")</f>
        <v>#REF!</v>
      </c>
      <c r="DY155" t="e">
        <f>AND(#REF!,"AAAAAHvv/oA=")</f>
        <v>#REF!</v>
      </c>
      <c r="DZ155" t="e">
        <f>AND(#REF!,"AAAAAHvv/oE=")</f>
        <v>#REF!</v>
      </c>
      <c r="EA155" t="e">
        <f>AND(#REF!,"AAAAAHvv/oI=")</f>
        <v>#REF!</v>
      </c>
      <c r="EB155" t="e">
        <f>AND(#REF!,"AAAAAHvv/oM=")</f>
        <v>#REF!</v>
      </c>
      <c r="EC155" t="e">
        <f>AND(#REF!,"AAAAAHvv/oQ=")</f>
        <v>#REF!</v>
      </c>
      <c r="ED155" t="e">
        <f>IF(#REF!,"AAAAAHvv/oU=",0)</f>
        <v>#REF!</v>
      </c>
      <c r="EE155" t="e">
        <f>AND(#REF!,"AAAAAHvv/oY=")</f>
        <v>#REF!</v>
      </c>
      <c r="EF155" t="e">
        <f>AND(#REF!,"AAAAAHvv/oc=")</f>
        <v>#REF!</v>
      </c>
      <c r="EG155" t="e">
        <f>AND(#REF!,"AAAAAHvv/og=")</f>
        <v>#REF!</v>
      </c>
      <c r="EH155" t="e">
        <f>AND(#REF!,"AAAAAHvv/ok=")</f>
        <v>#REF!</v>
      </c>
      <c r="EI155" t="e">
        <f>AND(#REF!,"AAAAAHvv/oo=")</f>
        <v>#REF!</v>
      </c>
      <c r="EJ155" t="e">
        <f>AND(#REF!,"AAAAAHvv/os=")</f>
        <v>#REF!</v>
      </c>
      <c r="EK155" t="e">
        <f>AND(#REF!,"AAAAAHvv/ow=")</f>
        <v>#REF!</v>
      </c>
      <c r="EL155" t="e">
        <f>AND(#REF!,"AAAAAHvv/o0=")</f>
        <v>#REF!</v>
      </c>
      <c r="EM155" t="e">
        <f>AND(#REF!,"AAAAAHvv/o4=")</f>
        <v>#REF!</v>
      </c>
      <c r="EN155" t="e">
        <f>AND(#REF!,"AAAAAHvv/o8=")</f>
        <v>#REF!</v>
      </c>
      <c r="EO155" t="e">
        <f>AND(#REF!,"AAAAAHvv/pA=")</f>
        <v>#REF!</v>
      </c>
      <c r="EP155" t="e">
        <f>AND(#REF!,"AAAAAHvv/pE=")</f>
        <v>#REF!</v>
      </c>
      <c r="EQ155" t="e">
        <f>AND(#REF!,"AAAAAHvv/pI=")</f>
        <v>#REF!</v>
      </c>
      <c r="ER155" t="e">
        <f>AND(#REF!,"AAAAAHvv/pM=")</f>
        <v>#REF!</v>
      </c>
      <c r="ES155" t="e">
        <f>AND(#REF!,"AAAAAHvv/pQ=")</f>
        <v>#REF!</v>
      </c>
      <c r="ET155" t="e">
        <f>AND(#REF!,"AAAAAHvv/pU=")</f>
        <v>#REF!</v>
      </c>
      <c r="EU155" t="e">
        <f>AND(#REF!,"AAAAAHvv/pY=")</f>
        <v>#REF!</v>
      </c>
      <c r="EV155" t="e">
        <f>AND(#REF!,"AAAAAHvv/pc=")</f>
        <v>#REF!</v>
      </c>
      <c r="EW155" t="e">
        <f>AND(#REF!,"AAAAAHvv/pg=")</f>
        <v>#REF!</v>
      </c>
      <c r="EX155" t="e">
        <f>AND(#REF!,"AAAAAHvv/pk=")</f>
        <v>#REF!</v>
      </c>
      <c r="EY155" t="e">
        <f>AND(#REF!,"AAAAAHvv/po=")</f>
        <v>#REF!</v>
      </c>
      <c r="EZ155" t="e">
        <f>AND(#REF!,"AAAAAHvv/ps=")</f>
        <v>#REF!</v>
      </c>
      <c r="FA155" t="e">
        <f>AND(#REF!,"AAAAAHvv/pw=")</f>
        <v>#REF!</v>
      </c>
      <c r="FB155" t="e">
        <f>AND(#REF!,"AAAAAHvv/p0=")</f>
        <v>#REF!</v>
      </c>
      <c r="FC155" t="e">
        <f>AND(#REF!,"AAAAAHvv/p4=")</f>
        <v>#REF!</v>
      </c>
      <c r="FD155" t="e">
        <f>AND(#REF!,"AAAAAHvv/p8=")</f>
        <v>#REF!</v>
      </c>
      <c r="FE155" t="e">
        <f>AND(#REF!,"AAAAAHvv/qA=")</f>
        <v>#REF!</v>
      </c>
      <c r="FF155" t="e">
        <f>AND(#REF!,"AAAAAHvv/qE=")</f>
        <v>#REF!</v>
      </c>
      <c r="FG155" t="e">
        <f>AND(#REF!,"AAAAAHvv/qI=")</f>
        <v>#REF!</v>
      </c>
      <c r="FH155" t="e">
        <f>AND(#REF!,"AAAAAHvv/qM=")</f>
        <v>#REF!</v>
      </c>
      <c r="FI155" t="e">
        <f>IF(#REF!,"AAAAAHvv/qQ=",0)</f>
        <v>#REF!</v>
      </c>
      <c r="FJ155" t="e">
        <f>AND(#REF!,"AAAAAHvv/qU=")</f>
        <v>#REF!</v>
      </c>
      <c r="FK155" t="e">
        <f>AND(#REF!,"AAAAAHvv/qY=")</f>
        <v>#REF!</v>
      </c>
      <c r="FL155" t="e">
        <f>AND(#REF!,"AAAAAHvv/qc=")</f>
        <v>#REF!</v>
      </c>
      <c r="FM155" t="e">
        <f>AND(#REF!,"AAAAAHvv/qg=")</f>
        <v>#REF!</v>
      </c>
      <c r="FN155" t="e">
        <f>AND(#REF!,"AAAAAHvv/qk=")</f>
        <v>#REF!</v>
      </c>
      <c r="FO155" t="e">
        <f>AND(#REF!,"AAAAAHvv/qo=")</f>
        <v>#REF!</v>
      </c>
      <c r="FP155" t="e">
        <f>AND(#REF!,"AAAAAHvv/qs=")</f>
        <v>#REF!</v>
      </c>
      <c r="FQ155" t="e">
        <f>AND(#REF!,"AAAAAHvv/qw=")</f>
        <v>#REF!</v>
      </c>
      <c r="FR155" t="e">
        <f>AND(#REF!,"AAAAAHvv/q0=")</f>
        <v>#REF!</v>
      </c>
      <c r="FS155" t="e">
        <f>AND(#REF!,"AAAAAHvv/q4=")</f>
        <v>#REF!</v>
      </c>
      <c r="FT155" t="e">
        <f>AND(#REF!,"AAAAAHvv/q8=")</f>
        <v>#REF!</v>
      </c>
      <c r="FU155" t="e">
        <f>AND(#REF!,"AAAAAHvv/rA=")</f>
        <v>#REF!</v>
      </c>
      <c r="FV155" t="e">
        <f>AND(#REF!,"AAAAAHvv/rE=")</f>
        <v>#REF!</v>
      </c>
      <c r="FW155" t="e">
        <f>AND(#REF!,"AAAAAHvv/rI=")</f>
        <v>#REF!</v>
      </c>
      <c r="FX155" t="e">
        <f>AND(#REF!,"AAAAAHvv/rM=")</f>
        <v>#REF!</v>
      </c>
      <c r="FY155" t="e">
        <f>AND(#REF!,"AAAAAHvv/rQ=")</f>
        <v>#REF!</v>
      </c>
      <c r="FZ155" t="e">
        <f>AND(#REF!,"AAAAAHvv/rU=")</f>
        <v>#REF!</v>
      </c>
      <c r="GA155" t="e">
        <f>AND(#REF!,"AAAAAHvv/rY=")</f>
        <v>#REF!</v>
      </c>
      <c r="GB155" t="e">
        <f>AND(#REF!,"AAAAAHvv/rc=")</f>
        <v>#REF!</v>
      </c>
      <c r="GC155" t="e">
        <f>AND(#REF!,"AAAAAHvv/rg=")</f>
        <v>#REF!</v>
      </c>
      <c r="GD155" t="e">
        <f>AND(#REF!,"AAAAAHvv/rk=")</f>
        <v>#REF!</v>
      </c>
      <c r="GE155" t="e">
        <f>AND(#REF!,"AAAAAHvv/ro=")</f>
        <v>#REF!</v>
      </c>
      <c r="GF155" t="e">
        <f>AND(#REF!,"AAAAAHvv/rs=")</f>
        <v>#REF!</v>
      </c>
      <c r="GG155" t="e">
        <f>AND(#REF!,"AAAAAHvv/rw=")</f>
        <v>#REF!</v>
      </c>
      <c r="GH155" t="e">
        <f>AND(#REF!,"AAAAAHvv/r0=")</f>
        <v>#REF!</v>
      </c>
      <c r="GI155" t="e">
        <f>AND(#REF!,"AAAAAHvv/r4=")</f>
        <v>#REF!</v>
      </c>
      <c r="GJ155" t="e">
        <f>AND(#REF!,"AAAAAHvv/r8=")</f>
        <v>#REF!</v>
      </c>
      <c r="GK155" t="e">
        <f>AND(#REF!,"AAAAAHvv/sA=")</f>
        <v>#REF!</v>
      </c>
      <c r="GL155" t="e">
        <f>AND(#REF!,"AAAAAHvv/sE=")</f>
        <v>#REF!</v>
      </c>
      <c r="GM155" t="e">
        <f>AND(#REF!,"AAAAAHvv/sI=")</f>
        <v>#REF!</v>
      </c>
      <c r="GN155" t="e">
        <f>IF(#REF!,"AAAAAHvv/sM=",0)</f>
        <v>#REF!</v>
      </c>
      <c r="GO155" t="e">
        <f>AND(#REF!,"AAAAAHvv/sQ=")</f>
        <v>#REF!</v>
      </c>
      <c r="GP155" t="e">
        <f>AND(#REF!,"AAAAAHvv/sU=")</f>
        <v>#REF!</v>
      </c>
      <c r="GQ155" t="e">
        <f>AND(#REF!,"AAAAAHvv/sY=")</f>
        <v>#REF!</v>
      </c>
      <c r="GR155" t="e">
        <f>AND(#REF!,"AAAAAHvv/sc=")</f>
        <v>#REF!</v>
      </c>
      <c r="GS155" t="e">
        <f>AND(#REF!,"AAAAAHvv/sg=")</f>
        <v>#REF!</v>
      </c>
      <c r="GT155" t="e">
        <f>AND(#REF!,"AAAAAHvv/sk=")</f>
        <v>#REF!</v>
      </c>
      <c r="GU155" t="e">
        <f>AND(#REF!,"AAAAAHvv/so=")</f>
        <v>#REF!</v>
      </c>
      <c r="GV155" t="e">
        <f>AND(#REF!,"AAAAAHvv/ss=")</f>
        <v>#REF!</v>
      </c>
      <c r="GW155" t="e">
        <f>AND(#REF!,"AAAAAHvv/sw=")</f>
        <v>#REF!</v>
      </c>
      <c r="GX155" t="e">
        <f>AND(#REF!,"AAAAAHvv/s0=")</f>
        <v>#REF!</v>
      </c>
      <c r="GY155" t="e">
        <f>AND(#REF!,"AAAAAHvv/s4=")</f>
        <v>#REF!</v>
      </c>
      <c r="GZ155" t="e">
        <f>AND(#REF!,"AAAAAHvv/s8=")</f>
        <v>#REF!</v>
      </c>
      <c r="HA155" t="e">
        <f>AND(#REF!,"AAAAAHvv/tA=")</f>
        <v>#REF!</v>
      </c>
      <c r="HB155" t="e">
        <f>AND(#REF!,"AAAAAHvv/tE=")</f>
        <v>#REF!</v>
      </c>
      <c r="HC155" t="e">
        <f>AND(#REF!,"AAAAAHvv/tI=")</f>
        <v>#REF!</v>
      </c>
      <c r="HD155" t="e">
        <f>AND(#REF!,"AAAAAHvv/tM=")</f>
        <v>#REF!</v>
      </c>
      <c r="HE155" t="e">
        <f>AND(#REF!,"AAAAAHvv/tQ=")</f>
        <v>#REF!</v>
      </c>
      <c r="HF155" t="e">
        <f>AND(#REF!,"AAAAAHvv/tU=")</f>
        <v>#REF!</v>
      </c>
      <c r="HG155" t="e">
        <f>AND(#REF!,"AAAAAHvv/tY=")</f>
        <v>#REF!</v>
      </c>
      <c r="HH155" t="e">
        <f>AND(#REF!,"AAAAAHvv/tc=")</f>
        <v>#REF!</v>
      </c>
      <c r="HI155" t="e">
        <f>AND(#REF!,"AAAAAHvv/tg=")</f>
        <v>#REF!</v>
      </c>
      <c r="HJ155" t="e">
        <f>AND(#REF!,"AAAAAHvv/tk=")</f>
        <v>#REF!</v>
      </c>
      <c r="HK155" t="e">
        <f>AND(#REF!,"AAAAAHvv/to=")</f>
        <v>#REF!</v>
      </c>
      <c r="HL155" t="e">
        <f>AND(#REF!,"AAAAAHvv/ts=")</f>
        <v>#REF!</v>
      </c>
      <c r="HM155" t="e">
        <f>AND(#REF!,"AAAAAHvv/tw=")</f>
        <v>#REF!</v>
      </c>
      <c r="HN155" t="e">
        <f>AND(#REF!,"AAAAAHvv/t0=")</f>
        <v>#REF!</v>
      </c>
      <c r="HO155" t="e">
        <f>AND(#REF!,"AAAAAHvv/t4=")</f>
        <v>#REF!</v>
      </c>
      <c r="HP155" t="e">
        <f>AND(#REF!,"AAAAAHvv/t8=")</f>
        <v>#REF!</v>
      </c>
      <c r="HQ155" t="e">
        <f>AND(#REF!,"AAAAAHvv/uA=")</f>
        <v>#REF!</v>
      </c>
      <c r="HR155" t="e">
        <f>AND(#REF!,"AAAAAHvv/uE=")</f>
        <v>#REF!</v>
      </c>
      <c r="HS155" t="e">
        <f>IF(#REF!,"AAAAAHvv/uI=",0)</f>
        <v>#REF!</v>
      </c>
      <c r="HT155" t="e">
        <f>AND(#REF!,"AAAAAHvv/uM=")</f>
        <v>#REF!</v>
      </c>
      <c r="HU155" t="e">
        <f>AND(#REF!,"AAAAAHvv/uQ=")</f>
        <v>#REF!</v>
      </c>
      <c r="HV155" t="e">
        <f>AND(#REF!,"AAAAAHvv/uU=")</f>
        <v>#REF!</v>
      </c>
      <c r="HW155" t="e">
        <f>AND(#REF!,"AAAAAHvv/uY=")</f>
        <v>#REF!</v>
      </c>
      <c r="HX155" t="e">
        <f>AND(#REF!,"AAAAAHvv/uc=")</f>
        <v>#REF!</v>
      </c>
      <c r="HY155" t="e">
        <f>AND(#REF!,"AAAAAHvv/ug=")</f>
        <v>#REF!</v>
      </c>
      <c r="HZ155" t="e">
        <f>AND(#REF!,"AAAAAHvv/uk=")</f>
        <v>#REF!</v>
      </c>
      <c r="IA155" t="e">
        <f>AND(#REF!,"AAAAAHvv/uo=")</f>
        <v>#REF!</v>
      </c>
      <c r="IB155" t="e">
        <f>AND(#REF!,"AAAAAHvv/us=")</f>
        <v>#REF!</v>
      </c>
      <c r="IC155" t="e">
        <f>AND(#REF!,"AAAAAHvv/uw=")</f>
        <v>#REF!</v>
      </c>
      <c r="ID155" t="e">
        <f>AND(#REF!,"AAAAAHvv/u0=")</f>
        <v>#REF!</v>
      </c>
      <c r="IE155" t="e">
        <f>AND(#REF!,"AAAAAHvv/u4=")</f>
        <v>#REF!</v>
      </c>
      <c r="IF155" t="e">
        <f>AND(#REF!,"AAAAAHvv/u8=")</f>
        <v>#REF!</v>
      </c>
      <c r="IG155" t="e">
        <f>AND(#REF!,"AAAAAHvv/vA=")</f>
        <v>#REF!</v>
      </c>
      <c r="IH155" t="e">
        <f>AND(#REF!,"AAAAAHvv/vE=")</f>
        <v>#REF!</v>
      </c>
      <c r="II155" t="e">
        <f>AND(#REF!,"AAAAAHvv/vI=")</f>
        <v>#REF!</v>
      </c>
      <c r="IJ155" t="e">
        <f>AND(#REF!,"AAAAAHvv/vM=")</f>
        <v>#REF!</v>
      </c>
      <c r="IK155" t="e">
        <f>AND(#REF!,"AAAAAHvv/vQ=")</f>
        <v>#REF!</v>
      </c>
      <c r="IL155" t="e">
        <f>AND(#REF!,"AAAAAHvv/vU=")</f>
        <v>#REF!</v>
      </c>
      <c r="IM155" t="e">
        <f>AND(#REF!,"AAAAAHvv/vY=")</f>
        <v>#REF!</v>
      </c>
      <c r="IN155" t="e">
        <f>AND(#REF!,"AAAAAHvv/vc=")</f>
        <v>#REF!</v>
      </c>
      <c r="IO155" t="e">
        <f>AND(#REF!,"AAAAAHvv/vg=")</f>
        <v>#REF!</v>
      </c>
      <c r="IP155" t="e">
        <f>AND(#REF!,"AAAAAHvv/vk=")</f>
        <v>#REF!</v>
      </c>
      <c r="IQ155" t="e">
        <f>AND(#REF!,"AAAAAHvv/vo=")</f>
        <v>#REF!</v>
      </c>
      <c r="IR155" t="e">
        <f>AND(#REF!,"AAAAAHvv/vs=")</f>
        <v>#REF!</v>
      </c>
      <c r="IS155" t="e">
        <f>AND(#REF!,"AAAAAHvv/vw=")</f>
        <v>#REF!</v>
      </c>
      <c r="IT155" t="e">
        <f>AND(#REF!,"AAAAAHvv/v0=")</f>
        <v>#REF!</v>
      </c>
      <c r="IU155" t="e">
        <f>AND(#REF!,"AAAAAHvv/v4=")</f>
        <v>#REF!</v>
      </c>
      <c r="IV155" t="e">
        <f>AND(#REF!,"AAAAAHvv/v8=")</f>
        <v>#REF!</v>
      </c>
    </row>
    <row r="156" spans="1:256" x14ac:dyDescent="0.2">
      <c r="A156" t="e">
        <f>AND(#REF!,"AAAAAFwzfwA=")</f>
        <v>#REF!</v>
      </c>
      <c r="B156" t="e">
        <f>IF(#REF!,"AAAAAFwzfwE=",0)</f>
        <v>#REF!</v>
      </c>
      <c r="C156" t="e">
        <f>AND(#REF!,"AAAAAFwzfwI=")</f>
        <v>#REF!</v>
      </c>
      <c r="D156" t="e">
        <f>AND(#REF!,"AAAAAFwzfwM=")</f>
        <v>#REF!</v>
      </c>
      <c r="E156" t="e">
        <f>AND(#REF!,"AAAAAFwzfwQ=")</f>
        <v>#REF!</v>
      </c>
      <c r="F156" t="e">
        <f>AND(#REF!,"AAAAAFwzfwU=")</f>
        <v>#REF!</v>
      </c>
      <c r="G156" t="e">
        <f>AND(#REF!,"AAAAAFwzfwY=")</f>
        <v>#REF!</v>
      </c>
      <c r="H156" t="e">
        <f>AND(#REF!,"AAAAAFwzfwc=")</f>
        <v>#REF!</v>
      </c>
      <c r="I156" t="e">
        <f>AND(#REF!,"AAAAAFwzfwg=")</f>
        <v>#REF!</v>
      </c>
      <c r="J156" t="e">
        <f>AND(#REF!,"AAAAAFwzfwk=")</f>
        <v>#REF!</v>
      </c>
      <c r="K156" t="e">
        <f>AND(#REF!,"AAAAAFwzfwo=")</f>
        <v>#REF!</v>
      </c>
      <c r="L156" t="e">
        <f>AND(#REF!,"AAAAAFwzfws=")</f>
        <v>#REF!</v>
      </c>
      <c r="M156" t="e">
        <f>AND(#REF!,"AAAAAFwzfww=")</f>
        <v>#REF!</v>
      </c>
      <c r="N156" t="e">
        <f>AND(#REF!,"AAAAAFwzfw0=")</f>
        <v>#REF!</v>
      </c>
      <c r="O156" t="e">
        <f>AND(#REF!,"AAAAAFwzfw4=")</f>
        <v>#REF!</v>
      </c>
      <c r="P156" t="e">
        <f>AND(#REF!,"AAAAAFwzfw8=")</f>
        <v>#REF!</v>
      </c>
      <c r="Q156" t="e">
        <f>AND(#REF!,"AAAAAFwzfxA=")</f>
        <v>#REF!</v>
      </c>
      <c r="R156" t="e">
        <f>AND(#REF!,"AAAAAFwzfxE=")</f>
        <v>#REF!</v>
      </c>
      <c r="S156" t="e">
        <f>AND(#REF!,"AAAAAFwzfxI=")</f>
        <v>#REF!</v>
      </c>
      <c r="T156" t="e">
        <f>AND(#REF!,"AAAAAFwzfxM=")</f>
        <v>#REF!</v>
      </c>
      <c r="U156" t="e">
        <f>AND(#REF!,"AAAAAFwzfxQ=")</f>
        <v>#REF!</v>
      </c>
      <c r="V156" t="e">
        <f>AND(#REF!,"AAAAAFwzfxU=")</f>
        <v>#REF!</v>
      </c>
      <c r="W156" t="e">
        <f>AND(#REF!,"AAAAAFwzfxY=")</f>
        <v>#REF!</v>
      </c>
      <c r="X156" t="e">
        <f>AND(#REF!,"AAAAAFwzfxc=")</f>
        <v>#REF!</v>
      </c>
      <c r="Y156" t="e">
        <f>AND(#REF!,"AAAAAFwzfxg=")</f>
        <v>#REF!</v>
      </c>
      <c r="Z156" t="e">
        <f>AND(#REF!,"AAAAAFwzfxk=")</f>
        <v>#REF!</v>
      </c>
      <c r="AA156" t="e">
        <f>AND(#REF!,"AAAAAFwzfxo=")</f>
        <v>#REF!</v>
      </c>
      <c r="AB156" t="e">
        <f>AND(#REF!,"AAAAAFwzfxs=")</f>
        <v>#REF!</v>
      </c>
      <c r="AC156" t="e">
        <f>AND(#REF!,"AAAAAFwzfxw=")</f>
        <v>#REF!</v>
      </c>
      <c r="AD156" t="e">
        <f>AND(#REF!,"AAAAAFwzfx0=")</f>
        <v>#REF!</v>
      </c>
      <c r="AE156" t="e">
        <f>AND(#REF!,"AAAAAFwzfx4=")</f>
        <v>#REF!</v>
      </c>
      <c r="AF156" t="e">
        <f>AND(#REF!,"AAAAAFwzfx8=")</f>
        <v>#REF!</v>
      </c>
      <c r="AG156" t="e">
        <f>IF(#REF!,"AAAAAFwzfyA=",0)</f>
        <v>#REF!</v>
      </c>
      <c r="AH156" t="e">
        <f>AND(#REF!,"AAAAAFwzfyE=")</f>
        <v>#REF!</v>
      </c>
      <c r="AI156" t="e">
        <f>AND(#REF!,"AAAAAFwzfyI=")</f>
        <v>#REF!</v>
      </c>
      <c r="AJ156" t="e">
        <f>AND(#REF!,"AAAAAFwzfyM=")</f>
        <v>#REF!</v>
      </c>
      <c r="AK156" t="e">
        <f>AND(#REF!,"AAAAAFwzfyQ=")</f>
        <v>#REF!</v>
      </c>
      <c r="AL156" t="e">
        <f>AND(#REF!,"AAAAAFwzfyU=")</f>
        <v>#REF!</v>
      </c>
      <c r="AM156" t="e">
        <f>AND(#REF!,"AAAAAFwzfyY=")</f>
        <v>#REF!</v>
      </c>
      <c r="AN156" t="e">
        <f>AND(#REF!,"AAAAAFwzfyc=")</f>
        <v>#REF!</v>
      </c>
      <c r="AO156" t="e">
        <f>AND(#REF!,"AAAAAFwzfyg=")</f>
        <v>#REF!</v>
      </c>
      <c r="AP156" t="e">
        <f>AND(#REF!,"AAAAAFwzfyk=")</f>
        <v>#REF!</v>
      </c>
      <c r="AQ156" t="e">
        <f>AND(#REF!,"AAAAAFwzfyo=")</f>
        <v>#REF!</v>
      </c>
      <c r="AR156" t="e">
        <f>AND(#REF!,"AAAAAFwzfys=")</f>
        <v>#REF!</v>
      </c>
      <c r="AS156" t="e">
        <f>AND(#REF!,"AAAAAFwzfyw=")</f>
        <v>#REF!</v>
      </c>
      <c r="AT156" t="e">
        <f>AND(#REF!,"AAAAAFwzfy0=")</f>
        <v>#REF!</v>
      </c>
      <c r="AU156" t="e">
        <f>AND(#REF!,"AAAAAFwzfy4=")</f>
        <v>#REF!</v>
      </c>
      <c r="AV156" t="e">
        <f>AND(#REF!,"AAAAAFwzfy8=")</f>
        <v>#REF!</v>
      </c>
      <c r="AW156" t="e">
        <f>AND(#REF!,"AAAAAFwzfzA=")</f>
        <v>#REF!</v>
      </c>
      <c r="AX156" t="e">
        <f>AND(#REF!,"AAAAAFwzfzE=")</f>
        <v>#REF!</v>
      </c>
      <c r="AY156" t="e">
        <f>AND(#REF!,"AAAAAFwzfzI=")</f>
        <v>#REF!</v>
      </c>
      <c r="AZ156" t="e">
        <f>AND(#REF!,"AAAAAFwzfzM=")</f>
        <v>#REF!</v>
      </c>
      <c r="BA156" t="e">
        <f>AND(#REF!,"AAAAAFwzfzQ=")</f>
        <v>#REF!</v>
      </c>
      <c r="BB156" t="e">
        <f>AND(#REF!,"AAAAAFwzfzU=")</f>
        <v>#REF!</v>
      </c>
      <c r="BC156" t="e">
        <f>AND(#REF!,"AAAAAFwzfzY=")</f>
        <v>#REF!</v>
      </c>
      <c r="BD156" t="e">
        <f>AND(#REF!,"AAAAAFwzfzc=")</f>
        <v>#REF!</v>
      </c>
      <c r="BE156" t="e">
        <f>AND(#REF!,"AAAAAFwzfzg=")</f>
        <v>#REF!</v>
      </c>
      <c r="BF156" t="e">
        <f>AND(#REF!,"AAAAAFwzfzk=")</f>
        <v>#REF!</v>
      </c>
      <c r="BG156" t="e">
        <f>AND(#REF!,"AAAAAFwzfzo=")</f>
        <v>#REF!</v>
      </c>
      <c r="BH156" t="e">
        <f>AND(#REF!,"AAAAAFwzfzs=")</f>
        <v>#REF!</v>
      </c>
      <c r="BI156" t="e">
        <f>AND(#REF!,"AAAAAFwzfzw=")</f>
        <v>#REF!</v>
      </c>
      <c r="BJ156" t="e">
        <f>AND(#REF!,"AAAAAFwzfz0=")</f>
        <v>#REF!</v>
      </c>
      <c r="BK156" t="e">
        <f>AND(#REF!,"AAAAAFwzfz4=")</f>
        <v>#REF!</v>
      </c>
      <c r="BL156" t="e">
        <f>IF(#REF!,"AAAAAFwzfz8=",0)</f>
        <v>#REF!</v>
      </c>
      <c r="BM156" t="e">
        <f>AND(#REF!,"AAAAAFwzf0A=")</f>
        <v>#REF!</v>
      </c>
      <c r="BN156" t="e">
        <f>AND(#REF!,"AAAAAFwzf0E=")</f>
        <v>#REF!</v>
      </c>
      <c r="BO156" t="e">
        <f>AND(#REF!,"AAAAAFwzf0I=")</f>
        <v>#REF!</v>
      </c>
      <c r="BP156" t="e">
        <f>AND(#REF!,"AAAAAFwzf0M=")</f>
        <v>#REF!</v>
      </c>
      <c r="BQ156" t="e">
        <f>AND(#REF!,"AAAAAFwzf0Q=")</f>
        <v>#REF!</v>
      </c>
      <c r="BR156" t="e">
        <f>AND(#REF!,"AAAAAFwzf0U=")</f>
        <v>#REF!</v>
      </c>
      <c r="BS156" t="e">
        <f>AND(#REF!,"AAAAAFwzf0Y=")</f>
        <v>#REF!</v>
      </c>
      <c r="BT156" t="e">
        <f>AND(#REF!,"AAAAAFwzf0c=")</f>
        <v>#REF!</v>
      </c>
      <c r="BU156" t="e">
        <f>AND(#REF!,"AAAAAFwzf0g=")</f>
        <v>#REF!</v>
      </c>
      <c r="BV156" t="e">
        <f>AND(#REF!,"AAAAAFwzf0k=")</f>
        <v>#REF!</v>
      </c>
      <c r="BW156" t="e">
        <f>AND(#REF!,"AAAAAFwzf0o=")</f>
        <v>#REF!</v>
      </c>
      <c r="BX156" t="e">
        <f>AND(#REF!,"AAAAAFwzf0s=")</f>
        <v>#REF!</v>
      </c>
      <c r="BY156" t="e">
        <f>AND(#REF!,"AAAAAFwzf0w=")</f>
        <v>#REF!</v>
      </c>
      <c r="BZ156" t="e">
        <f>AND(#REF!,"AAAAAFwzf00=")</f>
        <v>#REF!</v>
      </c>
      <c r="CA156" t="e">
        <f>AND(#REF!,"AAAAAFwzf04=")</f>
        <v>#REF!</v>
      </c>
      <c r="CB156" t="e">
        <f>AND(#REF!,"AAAAAFwzf08=")</f>
        <v>#REF!</v>
      </c>
      <c r="CC156" t="e">
        <f>AND(#REF!,"AAAAAFwzf1A=")</f>
        <v>#REF!</v>
      </c>
      <c r="CD156" t="e">
        <f>AND(#REF!,"AAAAAFwzf1E=")</f>
        <v>#REF!</v>
      </c>
      <c r="CE156" t="e">
        <f>AND(#REF!,"AAAAAFwzf1I=")</f>
        <v>#REF!</v>
      </c>
      <c r="CF156" t="e">
        <f>AND(#REF!,"AAAAAFwzf1M=")</f>
        <v>#REF!</v>
      </c>
      <c r="CG156" t="e">
        <f>AND(#REF!,"AAAAAFwzf1Q=")</f>
        <v>#REF!</v>
      </c>
      <c r="CH156" t="e">
        <f>AND(#REF!,"AAAAAFwzf1U=")</f>
        <v>#REF!</v>
      </c>
      <c r="CI156" t="e">
        <f>AND(#REF!,"AAAAAFwzf1Y=")</f>
        <v>#REF!</v>
      </c>
      <c r="CJ156" t="e">
        <f>AND(#REF!,"AAAAAFwzf1c=")</f>
        <v>#REF!</v>
      </c>
      <c r="CK156" t="e">
        <f>AND(#REF!,"AAAAAFwzf1g=")</f>
        <v>#REF!</v>
      </c>
      <c r="CL156" t="e">
        <f>AND(#REF!,"AAAAAFwzf1k=")</f>
        <v>#REF!</v>
      </c>
      <c r="CM156" t="e">
        <f>AND(#REF!,"AAAAAFwzf1o=")</f>
        <v>#REF!</v>
      </c>
      <c r="CN156" t="e">
        <f>AND(#REF!,"AAAAAFwzf1s=")</f>
        <v>#REF!</v>
      </c>
      <c r="CO156" t="e">
        <f>AND(#REF!,"AAAAAFwzf1w=")</f>
        <v>#REF!</v>
      </c>
      <c r="CP156" t="e">
        <f>AND(#REF!,"AAAAAFwzf10=")</f>
        <v>#REF!</v>
      </c>
      <c r="CQ156" t="e">
        <f>IF(#REF!,"AAAAAFwzf14=",0)</f>
        <v>#REF!</v>
      </c>
      <c r="CR156" t="e">
        <f>AND(#REF!,"AAAAAFwzf18=")</f>
        <v>#REF!</v>
      </c>
      <c r="CS156" t="e">
        <f>AND(#REF!,"AAAAAFwzf2A=")</f>
        <v>#REF!</v>
      </c>
      <c r="CT156" t="e">
        <f>AND(#REF!,"AAAAAFwzf2E=")</f>
        <v>#REF!</v>
      </c>
      <c r="CU156" t="e">
        <f>AND(#REF!,"AAAAAFwzf2I=")</f>
        <v>#REF!</v>
      </c>
      <c r="CV156" t="e">
        <f>AND(#REF!,"AAAAAFwzf2M=")</f>
        <v>#REF!</v>
      </c>
      <c r="CW156" t="e">
        <f>AND(#REF!,"AAAAAFwzf2Q=")</f>
        <v>#REF!</v>
      </c>
      <c r="CX156" t="e">
        <f>AND(#REF!,"AAAAAFwzf2U=")</f>
        <v>#REF!</v>
      </c>
      <c r="CY156" t="e">
        <f>AND(#REF!,"AAAAAFwzf2Y=")</f>
        <v>#REF!</v>
      </c>
      <c r="CZ156" t="e">
        <f>AND(#REF!,"AAAAAFwzf2c=")</f>
        <v>#REF!</v>
      </c>
      <c r="DA156" t="e">
        <f>AND(#REF!,"AAAAAFwzf2g=")</f>
        <v>#REF!</v>
      </c>
      <c r="DB156" t="e">
        <f>AND(#REF!,"AAAAAFwzf2k=")</f>
        <v>#REF!</v>
      </c>
      <c r="DC156" t="e">
        <f>AND(#REF!,"AAAAAFwzf2o=")</f>
        <v>#REF!</v>
      </c>
      <c r="DD156" t="e">
        <f>AND(#REF!,"AAAAAFwzf2s=")</f>
        <v>#REF!</v>
      </c>
      <c r="DE156" t="e">
        <f>AND(#REF!,"AAAAAFwzf2w=")</f>
        <v>#REF!</v>
      </c>
      <c r="DF156" t="e">
        <f>AND(#REF!,"AAAAAFwzf20=")</f>
        <v>#REF!</v>
      </c>
      <c r="DG156" t="e">
        <f>AND(#REF!,"AAAAAFwzf24=")</f>
        <v>#REF!</v>
      </c>
      <c r="DH156" t="e">
        <f>AND(#REF!,"AAAAAFwzf28=")</f>
        <v>#REF!</v>
      </c>
      <c r="DI156" t="e">
        <f>AND(#REF!,"AAAAAFwzf3A=")</f>
        <v>#REF!</v>
      </c>
      <c r="DJ156" t="e">
        <f>AND(#REF!,"AAAAAFwzf3E=")</f>
        <v>#REF!</v>
      </c>
      <c r="DK156" t="e">
        <f>AND(#REF!,"AAAAAFwzf3I=")</f>
        <v>#REF!</v>
      </c>
      <c r="DL156" t="e">
        <f>AND(#REF!,"AAAAAFwzf3M=")</f>
        <v>#REF!</v>
      </c>
      <c r="DM156" t="e">
        <f>AND(#REF!,"AAAAAFwzf3Q=")</f>
        <v>#REF!</v>
      </c>
      <c r="DN156" t="e">
        <f>AND(#REF!,"AAAAAFwzf3U=")</f>
        <v>#REF!</v>
      </c>
      <c r="DO156" t="e">
        <f>AND(#REF!,"AAAAAFwzf3Y=")</f>
        <v>#REF!</v>
      </c>
      <c r="DP156" t="e">
        <f>AND(#REF!,"AAAAAFwzf3c=")</f>
        <v>#REF!</v>
      </c>
      <c r="DQ156" t="e">
        <f>AND(#REF!,"AAAAAFwzf3g=")</f>
        <v>#REF!</v>
      </c>
      <c r="DR156" t="e">
        <f>AND(#REF!,"AAAAAFwzf3k=")</f>
        <v>#REF!</v>
      </c>
      <c r="DS156" t="e">
        <f>AND(#REF!,"AAAAAFwzf3o=")</f>
        <v>#REF!</v>
      </c>
      <c r="DT156" t="e">
        <f>AND(#REF!,"AAAAAFwzf3s=")</f>
        <v>#REF!</v>
      </c>
      <c r="DU156" t="e">
        <f>AND(#REF!,"AAAAAFwzf3w=")</f>
        <v>#REF!</v>
      </c>
      <c r="DV156" t="e">
        <f>IF(#REF!,"AAAAAFwzf30=",0)</f>
        <v>#REF!</v>
      </c>
      <c r="DW156" t="e">
        <f>AND(#REF!,"AAAAAFwzf34=")</f>
        <v>#REF!</v>
      </c>
      <c r="DX156" t="e">
        <f>AND(#REF!,"AAAAAFwzf38=")</f>
        <v>#REF!</v>
      </c>
      <c r="DY156" t="e">
        <f>AND(#REF!,"AAAAAFwzf4A=")</f>
        <v>#REF!</v>
      </c>
      <c r="DZ156" t="e">
        <f>AND(#REF!,"AAAAAFwzf4E=")</f>
        <v>#REF!</v>
      </c>
      <c r="EA156" t="e">
        <f>AND(#REF!,"AAAAAFwzf4I=")</f>
        <v>#REF!</v>
      </c>
      <c r="EB156" t="e">
        <f>AND(#REF!,"AAAAAFwzf4M=")</f>
        <v>#REF!</v>
      </c>
      <c r="EC156" t="e">
        <f>AND(#REF!,"AAAAAFwzf4Q=")</f>
        <v>#REF!</v>
      </c>
      <c r="ED156" t="e">
        <f>AND(#REF!,"AAAAAFwzf4U=")</f>
        <v>#REF!</v>
      </c>
      <c r="EE156" t="e">
        <f>AND(#REF!,"AAAAAFwzf4Y=")</f>
        <v>#REF!</v>
      </c>
      <c r="EF156" t="e">
        <f>AND(#REF!,"AAAAAFwzf4c=")</f>
        <v>#REF!</v>
      </c>
      <c r="EG156" t="e">
        <f>AND(#REF!,"AAAAAFwzf4g=")</f>
        <v>#REF!</v>
      </c>
      <c r="EH156" t="e">
        <f>AND(#REF!,"AAAAAFwzf4k=")</f>
        <v>#REF!</v>
      </c>
      <c r="EI156" t="e">
        <f>AND(#REF!,"AAAAAFwzf4o=")</f>
        <v>#REF!</v>
      </c>
      <c r="EJ156" t="e">
        <f>AND(#REF!,"AAAAAFwzf4s=")</f>
        <v>#REF!</v>
      </c>
      <c r="EK156" t="e">
        <f>AND(#REF!,"AAAAAFwzf4w=")</f>
        <v>#REF!</v>
      </c>
      <c r="EL156" t="e">
        <f>AND(#REF!,"AAAAAFwzf40=")</f>
        <v>#REF!</v>
      </c>
      <c r="EM156" t="e">
        <f>AND(#REF!,"AAAAAFwzf44=")</f>
        <v>#REF!</v>
      </c>
      <c r="EN156" t="e">
        <f>AND(#REF!,"AAAAAFwzf48=")</f>
        <v>#REF!</v>
      </c>
      <c r="EO156" t="e">
        <f>AND(#REF!,"AAAAAFwzf5A=")</f>
        <v>#REF!</v>
      </c>
      <c r="EP156" t="e">
        <f>AND(#REF!,"AAAAAFwzf5E=")</f>
        <v>#REF!</v>
      </c>
      <c r="EQ156" t="e">
        <f>AND(#REF!,"AAAAAFwzf5I=")</f>
        <v>#REF!</v>
      </c>
      <c r="ER156" t="e">
        <f>AND(#REF!,"AAAAAFwzf5M=")</f>
        <v>#REF!</v>
      </c>
      <c r="ES156" t="e">
        <f>AND(#REF!,"AAAAAFwzf5Q=")</f>
        <v>#REF!</v>
      </c>
      <c r="ET156" t="e">
        <f>AND(#REF!,"AAAAAFwzf5U=")</f>
        <v>#REF!</v>
      </c>
      <c r="EU156" t="e">
        <f>AND(#REF!,"AAAAAFwzf5Y=")</f>
        <v>#REF!</v>
      </c>
      <c r="EV156" t="e">
        <f>AND(#REF!,"AAAAAFwzf5c=")</f>
        <v>#REF!</v>
      </c>
      <c r="EW156" t="e">
        <f>AND(#REF!,"AAAAAFwzf5g=")</f>
        <v>#REF!</v>
      </c>
      <c r="EX156" t="e">
        <f>AND(#REF!,"AAAAAFwzf5k=")</f>
        <v>#REF!</v>
      </c>
      <c r="EY156" t="e">
        <f>AND(#REF!,"AAAAAFwzf5o=")</f>
        <v>#REF!</v>
      </c>
      <c r="EZ156" t="e">
        <f>AND(#REF!,"AAAAAFwzf5s=")</f>
        <v>#REF!</v>
      </c>
      <c r="FA156" t="e">
        <f>IF(#REF!,"AAAAAFwzf5w=",0)</f>
        <v>#REF!</v>
      </c>
      <c r="FB156" t="e">
        <f>AND(#REF!,"AAAAAFwzf50=")</f>
        <v>#REF!</v>
      </c>
      <c r="FC156" t="e">
        <f>AND(#REF!,"AAAAAFwzf54=")</f>
        <v>#REF!</v>
      </c>
      <c r="FD156" t="e">
        <f>AND(#REF!,"AAAAAFwzf58=")</f>
        <v>#REF!</v>
      </c>
      <c r="FE156" t="e">
        <f>AND(#REF!,"AAAAAFwzf6A=")</f>
        <v>#REF!</v>
      </c>
      <c r="FF156" t="e">
        <f>AND(#REF!,"AAAAAFwzf6E=")</f>
        <v>#REF!</v>
      </c>
      <c r="FG156" t="e">
        <f>AND(#REF!,"AAAAAFwzf6I=")</f>
        <v>#REF!</v>
      </c>
      <c r="FH156" t="e">
        <f>AND(#REF!,"AAAAAFwzf6M=")</f>
        <v>#REF!</v>
      </c>
      <c r="FI156" t="e">
        <f>AND(#REF!,"AAAAAFwzf6Q=")</f>
        <v>#REF!</v>
      </c>
      <c r="FJ156" t="e">
        <f>AND(#REF!,"AAAAAFwzf6U=")</f>
        <v>#REF!</v>
      </c>
      <c r="FK156" t="e">
        <f>AND(#REF!,"AAAAAFwzf6Y=")</f>
        <v>#REF!</v>
      </c>
      <c r="FL156" t="e">
        <f>AND(#REF!,"AAAAAFwzf6c=")</f>
        <v>#REF!</v>
      </c>
      <c r="FM156" t="e">
        <f>AND(#REF!,"AAAAAFwzf6g=")</f>
        <v>#REF!</v>
      </c>
      <c r="FN156" t="e">
        <f>AND(#REF!,"AAAAAFwzf6k=")</f>
        <v>#REF!</v>
      </c>
      <c r="FO156" t="e">
        <f>AND(#REF!,"AAAAAFwzf6o=")</f>
        <v>#REF!</v>
      </c>
      <c r="FP156" t="e">
        <f>AND(#REF!,"AAAAAFwzf6s=")</f>
        <v>#REF!</v>
      </c>
      <c r="FQ156" t="e">
        <f>AND(#REF!,"AAAAAFwzf6w=")</f>
        <v>#REF!</v>
      </c>
      <c r="FR156" t="e">
        <f>AND(#REF!,"AAAAAFwzf60=")</f>
        <v>#REF!</v>
      </c>
      <c r="FS156" t="e">
        <f>AND(#REF!,"AAAAAFwzf64=")</f>
        <v>#REF!</v>
      </c>
      <c r="FT156" t="e">
        <f>AND(#REF!,"AAAAAFwzf68=")</f>
        <v>#REF!</v>
      </c>
      <c r="FU156" t="e">
        <f>AND(#REF!,"AAAAAFwzf7A=")</f>
        <v>#REF!</v>
      </c>
      <c r="FV156" t="e">
        <f>AND(#REF!,"AAAAAFwzf7E=")</f>
        <v>#REF!</v>
      </c>
      <c r="FW156" t="e">
        <f>AND(#REF!,"AAAAAFwzf7I=")</f>
        <v>#REF!</v>
      </c>
      <c r="FX156" t="e">
        <f>AND(#REF!,"AAAAAFwzf7M=")</f>
        <v>#REF!</v>
      </c>
      <c r="FY156" t="e">
        <f>AND(#REF!,"AAAAAFwzf7Q=")</f>
        <v>#REF!</v>
      </c>
      <c r="FZ156" t="e">
        <f>AND(#REF!,"AAAAAFwzf7U=")</f>
        <v>#REF!</v>
      </c>
      <c r="GA156" t="e">
        <f>AND(#REF!,"AAAAAFwzf7Y=")</f>
        <v>#REF!</v>
      </c>
      <c r="GB156" t="e">
        <f>AND(#REF!,"AAAAAFwzf7c=")</f>
        <v>#REF!</v>
      </c>
      <c r="GC156" t="e">
        <f>AND(#REF!,"AAAAAFwzf7g=")</f>
        <v>#REF!</v>
      </c>
      <c r="GD156" t="e">
        <f>AND(#REF!,"AAAAAFwzf7k=")</f>
        <v>#REF!</v>
      </c>
      <c r="GE156" t="e">
        <f>AND(#REF!,"AAAAAFwzf7o=")</f>
        <v>#REF!</v>
      </c>
      <c r="GF156" t="e">
        <f>IF(#REF!,"AAAAAFwzf7s=",0)</f>
        <v>#REF!</v>
      </c>
      <c r="GG156" t="e">
        <f>AND(#REF!,"AAAAAFwzf7w=")</f>
        <v>#REF!</v>
      </c>
      <c r="GH156" t="e">
        <f>AND(#REF!,"AAAAAFwzf70=")</f>
        <v>#REF!</v>
      </c>
      <c r="GI156" t="e">
        <f>AND(#REF!,"AAAAAFwzf74=")</f>
        <v>#REF!</v>
      </c>
      <c r="GJ156" t="e">
        <f>AND(#REF!,"AAAAAFwzf78=")</f>
        <v>#REF!</v>
      </c>
      <c r="GK156" t="e">
        <f>AND(#REF!,"AAAAAFwzf8A=")</f>
        <v>#REF!</v>
      </c>
      <c r="GL156" t="e">
        <f>AND(#REF!,"AAAAAFwzf8E=")</f>
        <v>#REF!</v>
      </c>
      <c r="GM156" t="e">
        <f>AND(#REF!,"AAAAAFwzf8I=")</f>
        <v>#REF!</v>
      </c>
      <c r="GN156" t="e">
        <f>AND(#REF!,"AAAAAFwzf8M=")</f>
        <v>#REF!</v>
      </c>
      <c r="GO156" t="e">
        <f>AND(#REF!,"AAAAAFwzf8Q=")</f>
        <v>#REF!</v>
      </c>
      <c r="GP156" t="e">
        <f>AND(#REF!,"AAAAAFwzf8U=")</f>
        <v>#REF!</v>
      </c>
      <c r="GQ156" t="e">
        <f>AND(#REF!,"AAAAAFwzf8Y=")</f>
        <v>#REF!</v>
      </c>
      <c r="GR156" t="e">
        <f>AND(#REF!,"AAAAAFwzf8c=")</f>
        <v>#REF!</v>
      </c>
      <c r="GS156" t="e">
        <f>AND(#REF!,"AAAAAFwzf8g=")</f>
        <v>#REF!</v>
      </c>
      <c r="GT156" t="e">
        <f>AND(#REF!,"AAAAAFwzf8k=")</f>
        <v>#REF!</v>
      </c>
      <c r="GU156" t="e">
        <f>AND(#REF!,"AAAAAFwzf8o=")</f>
        <v>#REF!</v>
      </c>
      <c r="GV156" t="e">
        <f>AND(#REF!,"AAAAAFwzf8s=")</f>
        <v>#REF!</v>
      </c>
      <c r="GW156" t="e">
        <f>AND(#REF!,"AAAAAFwzf8w=")</f>
        <v>#REF!</v>
      </c>
      <c r="GX156" t="e">
        <f>AND(#REF!,"AAAAAFwzf80=")</f>
        <v>#REF!</v>
      </c>
      <c r="GY156" t="e">
        <f>AND(#REF!,"AAAAAFwzf84=")</f>
        <v>#REF!</v>
      </c>
      <c r="GZ156" t="e">
        <f>AND(#REF!,"AAAAAFwzf88=")</f>
        <v>#REF!</v>
      </c>
      <c r="HA156" t="e">
        <f>AND(#REF!,"AAAAAFwzf9A=")</f>
        <v>#REF!</v>
      </c>
      <c r="HB156" t="e">
        <f>AND(#REF!,"AAAAAFwzf9E=")</f>
        <v>#REF!</v>
      </c>
      <c r="HC156" t="e">
        <f>AND(#REF!,"AAAAAFwzf9I=")</f>
        <v>#REF!</v>
      </c>
      <c r="HD156" t="e">
        <f>AND(#REF!,"AAAAAFwzf9M=")</f>
        <v>#REF!</v>
      </c>
      <c r="HE156" t="e">
        <f>AND(#REF!,"AAAAAFwzf9Q=")</f>
        <v>#REF!</v>
      </c>
      <c r="HF156" t="e">
        <f>AND(#REF!,"AAAAAFwzf9U=")</f>
        <v>#REF!</v>
      </c>
      <c r="HG156" t="e">
        <f>AND(#REF!,"AAAAAFwzf9Y=")</f>
        <v>#REF!</v>
      </c>
      <c r="HH156" t="e">
        <f>AND(#REF!,"AAAAAFwzf9c=")</f>
        <v>#REF!</v>
      </c>
      <c r="HI156" t="e">
        <f>AND(#REF!,"AAAAAFwzf9g=")</f>
        <v>#REF!</v>
      </c>
      <c r="HJ156" t="e">
        <f>AND(#REF!,"AAAAAFwzf9k=")</f>
        <v>#REF!</v>
      </c>
      <c r="HK156" t="e">
        <f>IF(#REF!,"AAAAAFwzf9o=",0)</f>
        <v>#REF!</v>
      </c>
      <c r="HL156" t="e">
        <f>AND(#REF!,"AAAAAFwzf9s=")</f>
        <v>#REF!</v>
      </c>
      <c r="HM156" t="e">
        <f>AND(#REF!,"AAAAAFwzf9w=")</f>
        <v>#REF!</v>
      </c>
      <c r="HN156" t="e">
        <f>AND(#REF!,"AAAAAFwzf90=")</f>
        <v>#REF!</v>
      </c>
      <c r="HO156" t="e">
        <f>AND(#REF!,"AAAAAFwzf94=")</f>
        <v>#REF!</v>
      </c>
      <c r="HP156" t="e">
        <f>AND(#REF!,"AAAAAFwzf98=")</f>
        <v>#REF!</v>
      </c>
      <c r="HQ156" t="e">
        <f>AND(#REF!,"AAAAAFwzf+A=")</f>
        <v>#REF!</v>
      </c>
      <c r="HR156" t="e">
        <f>AND(#REF!,"AAAAAFwzf+E=")</f>
        <v>#REF!</v>
      </c>
      <c r="HS156" t="e">
        <f>AND(#REF!,"AAAAAFwzf+I=")</f>
        <v>#REF!</v>
      </c>
      <c r="HT156" t="e">
        <f>AND(#REF!,"AAAAAFwzf+M=")</f>
        <v>#REF!</v>
      </c>
      <c r="HU156" t="e">
        <f>AND(#REF!,"AAAAAFwzf+Q=")</f>
        <v>#REF!</v>
      </c>
      <c r="HV156" t="e">
        <f>AND(#REF!,"AAAAAFwzf+U=")</f>
        <v>#REF!</v>
      </c>
      <c r="HW156" t="e">
        <f>AND(#REF!,"AAAAAFwzf+Y=")</f>
        <v>#REF!</v>
      </c>
      <c r="HX156" t="e">
        <f>AND(#REF!,"AAAAAFwzf+c=")</f>
        <v>#REF!</v>
      </c>
      <c r="HY156" t="e">
        <f>AND(#REF!,"AAAAAFwzf+g=")</f>
        <v>#REF!</v>
      </c>
      <c r="HZ156" t="e">
        <f>AND(#REF!,"AAAAAFwzf+k=")</f>
        <v>#REF!</v>
      </c>
      <c r="IA156" t="e">
        <f>AND(#REF!,"AAAAAFwzf+o=")</f>
        <v>#REF!</v>
      </c>
      <c r="IB156" t="e">
        <f>AND(#REF!,"AAAAAFwzf+s=")</f>
        <v>#REF!</v>
      </c>
      <c r="IC156" t="e">
        <f>AND(#REF!,"AAAAAFwzf+w=")</f>
        <v>#REF!</v>
      </c>
      <c r="ID156" t="e">
        <f>AND(#REF!,"AAAAAFwzf+0=")</f>
        <v>#REF!</v>
      </c>
      <c r="IE156" t="e">
        <f>AND(#REF!,"AAAAAFwzf+4=")</f>
        <v>#REF!</v>
      </c>
      <c r="IF156" t="e">
        <f>AND(#REF!,"AAAAAFwzf+8=")</f>
        <v>#REF!</v>
      </c>
      <c r="IG156" t="e">
        <f>AND(#REF!,"AAAAAFwzf/A=")</f>
        <v>#REF!</v>
      </c>
      <c r="IH156" t="e">
        <f>AND(#REF!,"AAAAAFwzf/E=")</f>
        <v>#REF!</v>
      </c>
      <c r="II156" t="e">
        <f>AND(#REF!,"AAAAAFwzf/I=")</f>
        <v>#REF!</v>
      </c>
      <c r="IJ156" t="e">
        <f>AND(#REF!,"AAAAAFwzf/M=")</f>
        <v>#REF!</v>
      </c>
      <c r="IK156" t="e">
        <f>AND(#REF!,"AAAAAFwzf/Q=")</f>
        <v>#REF!</v>
      </c>
      <c r="IL156" t="e">
        <f>AND(#REF!,"AAAAAFwzf/U=")</f>
        <v>#REF!</v>
      </c>
      <c r="IM156" t="e">
        <f>AND(#REF!,"AAAAAFwzf/Y=")</f>
        <v>#REF!</v>
      </c>
      <c r="IN156" t="e">
        <f>AND(#REF!,"AAAAAFwzf/c=")</f>
        <v>#REF!</v>
      </c>
      <c r="IO156" t="e">
        <f>AND(#REF!,"AAAAAFwzf/g=")</f>
        <v>#REF!</v>
      </c>
      <c r="IP156" t="e">
        <f>IF(#REF!,"AAAAAFwzf/k=",0)</f>
        <v>#REF!</v>
      </c>
      <c r="IQ156" t="e">
        <f>AND(#REF!,"AAAAAFwzf/o=")</f>
        <v>#REF!</v>
      </c>
      <c r="IR156" t="e">
        <f>AND(#REF!,"AAAAAFwzf/s=")</f>
        <v>#REF!</v>
      </c>
      <c r="IS156" t="e">
        <f>AND(#REF!,"AAAAAFwzf/w=")</f>
        <v>#REF!</v>
      </c>
      <c r="IT156" t="e">
        <f>AND(#REF!,"AAAAAFwzf/0=")</f>
        <v>#REF!</v>
      </c>
      <c r="IU156" t="e">
        <f>AND(#REF!,"AAAAAFwzf/4=")</f>
        <v>#REF!</v>
      </c>
      <c r="IV156" t="e">
        <f>AND(#REF!,"AAAAAFwzf/8=")</f>
        <v>#REF!</v>
      </c>
    </row>
    <row r="157" spans="1:256" x14ac:dyDescent="0.2">
      <c r="A157" t="e">
        <f>AND(#REF!,"AAAAAHL+XgA=")</f>
        <v>#REF!</v>
      </c>
      <c r="B157" t="e">
        <f>AND(#REF!,"AAAAAHL+XgE=")</f>
        <v>#REF!</v>
      </c>
      <c r="C157" t="e">
        <f>AND(#REF!,"AAAAAHL+XgI=")</f>
        <v>#REF!</v>
      </c>
      <c r="D157" t="e">
        <f>AND(#REF!,"AAAAAHL+XgM=")</f>
        <v>#REF!</v>
      </c>
      <c r="E157" t="e">
        <f>AND(#REF!,"AAAAAHL+XgQ=")</f>
        <v>#REF!</v>
      </c>
      <c r="F157" t="e">
        <f>AND(#REF!,"AAAAAHL+XgU=")</f>
        <v>#REF!</v>
      </c>
      <c r="G157" t="e">
        <f>AND(#REF!,"AAAAAHL+XgY=")</f>
        <v>#REF!</v>
      </c>
      <c r="H157" t="e">
        <f>AND(#REF!,"AAAAAHL+Xgc=")</f>
        <v>#REF!</v>
      </c>
      <c r="I157" t="e">
        <f>AND(#REF!,"AAAAAHL+Xgg=")</f>
        <v>#REF!</v>
      </c>
      <c r="J157" t="e">
        <f>AND(#REF!,"AAAAAHL+Xgk=")</f>
        <v>#REF!</v>
      </c>
      <c r="K157" t="e">
        <f>AND(#REF!,"AAAAAHL+Xgo=")</f>
        <v>#REF!</v>
      </c>
      <c r="L157" t="e">
        <f>AND(#REF!,"AAAAAHL+Xgs=")</f>
        <v>#REF!</v>
      </c>
      <c r="M157" t="e">
        <f>AND(#REF!,"AAAAAHL+Xgw=")</f>
        <v>#REF!</v>
      </c>
      <c r="N157" t="e">
        <f>AND(#REF!,"AAAAAHL+Xg0=")</f>
        <v>#REF!</v>
      </c>
      <c r="O157" t="e">
        <f>AND(#REF!,"AAAAAHL+Xg4=")</f>
        <v>#REF!</v>
      </c>
      <c r="P157" t="e">
        <f>AND(#REF!,"AAAAAHL+Xg8=")</f>
        <v>#REF!</v>
      </c>
      <c r="Q157" t="e">
        <f>AND(#REF!,"AAAAAHL+XhA=")</f>
        <v>#REF!</v>
      </c>
      <c r="R157" t="e">
        <f>AND(#REF!,"AAAAAHL+XhE=")</f>
        <v>#REF!</v>
      </c>
      <c r="S157" t="e">
        <f>AND(#REF!,"AAAAAHL+XhI=")</f>
        <v>#REF!</v>
      </c>
      <c r="T157" t="e">
        <f>AND(#REF!,"AAAAAHL+XhM=")</f>
        <v>#REF!</v>
      </c>
      <c r="U157" t="e">
        <f>AND(#REF!,"AAAAAHL+XhQ=")</f>
        <v>#REF!</v>
      </c>
      <c r="V157" t="e">
        <f>AND(#REF!,"AAAAAHL+XhU=")</f>
        <v>#REF!</v>
      </c>
      <c r="W157" t="e">
        <f>AND(#REF!,"AAAAAHL+XhY=")</f>
        <v>#REF!</v>
      </c>
      <c r="X157" t="e">
        <f>AND(#REF!,"AAAAAHL+Xhc=")</f>
        <v>#REF!</v>
      </c>
      <c r="Y157" t="e">
        <f>IF(#REF!,"AAAAAHL+Xhg=",0)</f>
        <v>#REF!</v>
      </c>
      <c r="Z157" t="e">
        <f>AND(#REF!,"AAAAAHL+Xhk=")</f>
        <v>#REF!</v>
      </c>
      <c r="AA157" t="e">
        <f>AND(#REF!,"AAAAAHL+Xho=")</f>
        <v>#REF!</v>
      </c>
      <c r="AB157" t="e">
        <f>AND(#REF!,"AAAAAHL+Xhs=")</f>
        <v>#REF!</v>
      </c>
      <c r="AC157" t="e">
        <f>AND(#REF!,"AAAAAHL+Xhw=")</f>
        <v>#REF!</v>
      </c>
      <c r="AD157" t="e">
        <f>AND(#REF!,"AAAAAHL+Xh0=")</f>
        <v>#REF!</v>
      </c>
      <c r="AE157" t="e">
        <f>AND(#REF!,"AAAAAHL+Xh4=")</f>
        <v>#REF!</v>
      </c>
      <c r="AF157" t="e">
        <f>AND(#REF!,"AAAAAHL+Xh8=")</f>
        <v>#REF!</v>
      </c>
      <c r="AG157" t="e">
        <f>AND(#REF!,"AAAAAHL+XiA=")</f>
        <v>#REF!</v>
      </c>
      <c r="AH157" t="e">
        <f>AND(#REF!,"AAAAAHL+XiE=")</f>
        <v>#REF!</v>
      </c>
      <c r="AI157" t="e">
        <f>AND(#REF!,"AAAAAHL+XiI=")</f>
        <v>#REF!</v>
      </c>
      <c r="AJ157" t="e">
        <f>AND(#REF!,"AAAAAHL+XiM=")</f>
        <v>#REF!</v>
      </c>
      <c r="AK157" t="e">
        <f>AND(#REF!,"AAAAAHL+XiQ=")</f>
        <v>#REF!</v>
      </c>
      <c r="AL157" t="e">
        <f>AND(#REF!,"AAAAAHL+XiU=")</f>
        <v>#REF!</v>
      </c>
      <c r="AM157" t="e">
        <f>AND(#REF!,"AAAAAHL+XiY=")</f>
        <v>#REF!</v>
      </c>
      <c r="AN157" t="e">
        <f>AND(#REF!,"AAAAAHL+Xic=")</f>
        <v>#REF!</v>
      </c>
      <c r="AO157" t="e">
        <f>AND(#REF!,"AAAAAHL+Xig=")</f>
        <v>#REF!</v>
      </c>
      <c r="AP157" t="e">
        <f>AND(#REF!,"AAAAAHL+Xik=")</f>
        <v>#REF!</v>
      </c>
      <c r="AQ157" t="e">
        <f>AND(#REF!,"AAAAAHL+Xio=")</f>
        <v>#REF!</v>
      </c>
      <c r="AR157" t="e">
        <f>AND(#REF!,"AAAAAHL+Xis=")</f>
        <v>#REF!</v>
      </c>
      <c r="AS157" t="e">
        <f>AND(#REF!,"AAAAAHL+Xiw=")</f>
        <v>#REF!</v>
      </c>
      <c r="AT157" t="e">
        <f>AND(#REF!,"AAAAAHL+Xi0=")</f>
        <v>#REF!</v>
      </c>
      <c r="AU157" t="e">
        <f>AND(#REF!,"AAAAAHL+Xi4=")</f>
        <v>#REF!</v>
      </c>
      <c r="AV157" t="e">
        <f>AND(#REF!,"AAAAAHL+Xi8=")</f>
        <v>#REF!</v>
      </c>
      <c r="AW157" t="e">
        <f>AND(#REF!,"AAAAAHL+XjA=")</f>
        <v>#REF!</v>
      </c>
      <c r="AX157" t="e">
        <f>AND(#REF!,"AAAAAHL+XjE=")</f>
        <v>#REF!</v>
      </c>
      <c r="AY157" t="e">
        <f>AND(#REF!,"AAAAAHL+XjI=")</f>
        <v>#REF!</v>
      </c>
      <c r="AZ157" t="e">
        <f>AND(#REF!,"AAAAAHL+XjM=")</f>
        <v>#REF!</v>
      </c>
      <c r="BA157" t="e">
        <f>AND(#REF!,"AAAAAHL+XjQ=")</f>
        <v>#REF!</v>
      </c>
      <c r="BB157" t="e">
        <f>AND(#REF!,"AAAAAHL+XjU=")</f>
        <v>#REF!</v>
      </c>
      <c r="BC157" t="e">
        <f>AND(#REF!,"AAAAAHL+XjY=")</f>
        <v>#REF!</v>
      </c>
      <c r="BD157" t="e">
        <f>IF(#REF!,"AAAAAHL+Xjc=",0)</f>
        <v>#REF!</v>
      </c>
      <c r="BE157" t="e">
        <f>AND(#REF!,"AAAAAHL+Xjg=")</f>
        <v>#REF!</v>
      </c>
      <c r="BF157" t="e">
        <f>AND(#REF!,"AAAAAHL+Xjk=")</f>
        <v>#REF!</v>
      </c>
      <c r="BG157" t="e">
        <f>AND(#REF!,"AAAAAHL+Xjo=")</f>
        <v>#REF!</v>
      </c>
      <c r="BH157" t="e">
        <f>AND(#REF!,"AAAAAHL+Xjs=")</f>
        <v>#REF!</v>
      </c>
      <c r="BI157" t="e">
        <f>AND(#REF!,"AAAAAHL+Xjw=")</f>
        <v>#REF!</v>
      </c>
      <c r="BJ157" t="e">
        <f>AND(#REF!,"AAAAAHL+Xj0=")</f>
        <v>#REF!</v>
      </c>
      <c r="BK157" t="e">
        <f>AND(#REF!,"AAAAAHL+Xj4=")</f>
        <v>#REF!</v>
      </c>
      <c r="BL157" t="e">
        <f>AND(#REF!,"AAAAAHL+Xj8=")</f>
        <v>#REF!</v>
      </c>
      <c r="BM157" t="e">
        <f>AND(#REF!,"AAAAAHL+XkA=")</f>
        <v>#REF!</v>
      </c>
      <c r="BN157" t="e">
        <f>AND(#REF!,"AAAAAHL+XkE=")</f>
        <v>#REF!</v>
      </c>
      <c r="BO157" t="e">
        <f>AND(#REF!,"AAAAAHL+XkI=")</f>
        <v>#REF!</v>
      </c>
      <c r="BP157" t="e">
        <f>AND(#REF!,"AAAAAHL+XkM=")</f>
        <v>#REF!</v>
      </c>
      <c r="BQ157" t="e">
        <f>AND(#REF!,"AAAAAHL+XkQ=")</f>
        <v>#REF!</v>
      </c>
      <c r="BR157" t="e">
        <f>AND(#REF!,"AAAAAHL+XkU=")</f>
        <v>#REF!</v>
      </c>
      <c r="BS157" t="e">
        <f>AND(#REF!,"AAAAAHL+XkY=")</f>
        <v>#REF!</v>
      </c>
      <c r="BT157" t="e">
        <f>AND(#REF!,"AAAAAHL+Xkc=")</f>
        <v>#REF!</v>
      </c>
      <c r="BU157" t="e">
        <f>AND(#REF!,"AAAAAHL+Xkg=")</f>
        <v>#REF!</v>
      </c>
      <c r="BV157" t="e">
        <f>AND(#REF!,"AAAAAHL+Xkk=")</f>
        <v>#REF!</v>
      </c>
      <c r="BW157" t="e">
        <f>AND(#REF!,"AAAAAHL+Xko=")</f>
        <v>#REF!</v>
      </c>
      <c r="BX157" t="e">
        <f>AND(#REF!,"AAAAAHL+Xks=")</f>
        <v>#REF!</v>
      </c>
      <c r="BY157" t="e">
        <f>AND(#REF!,"AAAAAHL+Xkw=")</f>
        <v>#REF!</v>
      </c>
      <c r="BZ157" t="e">
        <f>AND(#REF!,"AAAAAHL+Xk0=")</f>
        <v>#REF!</v>
      </c>
      <c r="CA157" t="e">
        <f>AND(#REF!,"AAAAAHL+Xk4=")</f>
        <v>#REF!</v>
      </c>
      <c r="CB157" t="e">
        <f>AND(#REF!,"AAAAAHL+Xk8=")</f>
        <v>#REF!</v>
      </c>
      <c r="CC157" t="e">
        <f>AND(#REF!,"AAAAAHL+XlA=")</f>
        <v>#REF!</v>
      </c>
      <c r="CD157" t="e">
        <f>AND(#REF!,"AAAAAHL+XlE=")</f>
        <v>#REF!</v>
      </c>
      <c r="CE157" t="e">
        <f>AND(#REF!,"AAAAAHL+XlI=")</f>
        <v>#REF!</v>
      </c>
      <c r="CF157" t="e">
        <f>AND(#REF!,"AAAAAHL+XlM=")</f>
        <v>#REF!</v>
      </c>
      <c r="CG157" t="e">
        <f>AND(#REF!,"AAAAAHL+XlQ=")</f>
        <v>#REF!</v>
      </c>
      <c r="CH157" t="e">
        <f>AND(#REF!,"AAAAAHL+XlU=")</f>
        <v>#REF!</v>
      </c>
      <c r="CI157" t="e">
        <f>IF(#REF!,"AAAAAHL+XlY=",0)</f>
        <v>#REF!</v>
      </c>
      <c r="CJ157" t="e">
        <f>AND(#REF!,"AAAAAHL+Xlc=")</f>
        <v>#REF!</v>
      </c>
      <c r="CK157" t="e">
        <f>AND(#REF!,"AAAAAHL+Xlg=")</f>
        <v>#REF!</v>
      </c>
      <c r="CL157" t="e">
        <f>AND(#REF!,"AAAAAHL+Xlk=")</f>
        <v>#REF!</v>
      </c>
      <c r="CM157" t="e">
        <f>AND(#REF!,"AAAAAHL+Xlo=")</f>
        <v>#REF!</v>
      </c>
      <c r="CN157" t="e">
        <f>AND(#REF!,"AAAAAHL+Xls=")</f>
        <v>#REF!</v>
      </c>
      <c r="CO157" t="e">
        <f>AND(#REF!,"AAAAAHL+Xlw=")</f>
        <v>#REF!</v>
      </c>
      <c r="CP157" t="e">
        <f>AND(#REF!,"AAAAAHL+Xl0=")</f>
        <v>#REF!</v>
      </c>
      <c r="CQ157" t="e">
        <f>AND(#REF!,"AAAAAHL+Xl4=")</f>
        <v>#REF!</v>
      </c>
      <c r="CR157" t="e">
        <f>AND(#REF!,"AAAAAHL+Xl8=")</f>
        <v>#REF!</v>
      </c>
      <c r="CS157" t="e">
        <f>AND(#REF!,"AAAAAHL+XmA=")</f>
        <v>#REF!</v>
      </c>
      <c r="CT157" t="e">
        <f>AND(#REF!,"AAAAAHL+XmE=")</f>
        <v>#REF!</v>
      </c>
      <c r="CU157" t="e">
        <f>AND(#REF!,"AAAAAHL+XmI=")</f>
        <v>#REF!</v>
      </c>
      <c r="CV157" t="e">
        <f>AND(#REF!,"AAAAAHL+XmM=")</f>
        <v>#REF!</v>
      </c>
      <c r="CW157" t="e">
        <f>AND(#REF!,"AAAAAHL+XmQ=")</f>
        <v>#REF!</v>
      </c>
      <c r="CX157" t="e">
        <f>AND(#REF!,"AAAAAHL+XmU=")</f>
        <v>#REF!</v>
      </c>
      <c r="CY157" t="e">
        <f>AND(#REF!,"AAAAAHL+XmY=")</f>
        <v>#REF!</v>
      </c>
      <c r="CZ157" t="e">
        <f>AND(#REF!,"AAAAAHL+Xmc=")</f>
        <v>#REF!</v>
      </c>
      <c r="DA157" t="e">
        <f>AND(#REF!,"AAAAAHL+Xmg=")</f>
        <v>#REF!</v>
      </c>
      <c r="DB157" t="e">
        <f>AND(#REF!,"AAAAAHL+Xmk=")</f>
        <v>#REF!</v>
      </c>
      <c r="DC157" t="e">
        <f>AND(#REF!,"AAAAAHL+Xmo=")</f>
        <v>#REF!</v>
      </c>
      <c r="DD157" t="e">
        <f>AND(#REF!,"AAAAAHL+Xms=")</f>
        <v>#REF!</v>
      </c>
      <c r="DE157" t="e">
        <f>AND(#REF!,"AAAAAHL+Xmw=")</f>
        <v>#REF!</v>
      </c>
      <c r="DF157" t="e">
        <f>AND(#REF!,"AAAAAHL+Xm0=")</f>
        <v>#REF!</v>
      </c>
      <c r="DG157" t="e">
        <f>AND(#REF!,"AAAAAHL+Xm4=")</f>
        <v>#REF!</v>
      </c>
      <c r="DH157" t="e">
        <f>AND(#REF!,"AAAAAHL+Xm8=")</f>
        <v>#REF!</v>
      </c>
      <c r="DI157" t="e">
        <f>AND(#REF!,"AAAAAHL+XnA=")</f>
        <v>#REF!</v>
      </c>
      <c r="DJ157" t="e">
        <f>AND(#REF!,"AAAAAHL+XnE=")</f>
        <v>#REF!</v>
      </c>
      <c r="DK157" t="e">
        <f>AND(#REF!,"AAAAAHL+XnI=")</f>
        <v>#REF!</v>
      </c>
      <c r="DL157" t="e">
        <f>AND(#REF!,"AAAAAHL+XnM=")</f>
        <v>#REF!</v>
      </c>
      <c r="DM157" t="e">
        <f>AND(#REF!,"AAAAAHL+XnQ=")</f>
        <v>#REF!</v>
      </c>
      <c r="DN157" t="e">
        <f>IF(#REF!,"AAAAAHL+XnU=",0)</f>
        <v>#REF!</v>
      </c>
      <c r="DO157" t="e">
        <f>AND(#REF!,"AAAAAHL+XnY=")</f>
        <v>#REF!</v>
      </c>
      <c r="DP157" t="e">
        <f>AND(#REF!,"AAAAAHL+Xnc=")</f>
        <v>#REF!</v>
      </c>
      <c r="DQ157" t="e">
        <f>AND(#REF!,"AAAAAHL+Xng=")</f>
        <v>#REF!</v>
      </c>
      <c r="DR157" t="e">
        <f>AND(#REF!,"AAAAAHL+Xnk=")</f>
        <v>#REF!</v>
      </c>
      <c r="DS157" t="e">
        <f>AND(#REF!,"AAAAAHL+Xno=")</f>
        <v>#REF!</v>
      </c>
      <c r="DT157" t="e">
        <f>AND(#REF!,"AAAAAHL+Xns=")</f>
        <v>#REF!</v>
      </c>
      <c r="DU157" t="e">
        <f>AND(#REF!,"AAAAAHL+Xnw=")</f>
        <v>#REF!</v>
      </c>
      <c r="DV157" t="e">
        <f>AND(#REF!,"AAAAAHL+Xn0=")</f>
        <v>#REF!</v>
      </c>
      <c r="DW157" t="e">
        <f>AND(#REF!,"AAAAAHL+Xn4=")</f>
        <v>#REF!</v>
      </c>
      <c r="DX157" t="e">
        <f>AND(#REF!,"AAAAAHL+Xn8=")</f>
        <v>#REF!</v>
      </c>
      <c r="DY157" t="e">
        <f>AND(#REF!,"AAAAAHL+XoA=")</f>
        <v>#REF!</v>
      </c>
      <c r="DZ157" t="e">
        <f>AND(#REF!,"AAAAAHL+XoE=")</f>
        <v>#REF!</v>
      </c>
      <c r="EA157" t="e">
        <f>AND(#REF!,"AAAAAHL+XoI=")</f>
        <v>#REF!</v>
      </c>
      <c r="EB157" t="e">
        <f>AND(#REF!,"AAAAAHL+XoM=")</f>
        <v>#REF!</v>
      </c>
      <c r="EC157" t="e">
        <f>AND(#REF!,"AAAAAHL+XoQ=")</f>
        <v>#REF!</v>
      </c>
      <c r="ED157" t="e">
        <f>AND(#REF!,"AAAAAHL+XoU=")</f>
        <v>#REF!</v>
      </c>
      <c r="EE157" t="e">
        <f>AND(#REF!,"AAAAAHL+XoY=")</f>
        <v>#REF!</v>
      </c>
      <c r="EF157" t="e">
        <f>AND(#REF!,"AAAAAHL+Xoc=")</f>
        <v>#REF!</v>
      </c>
      <c r="EG157" t="e">
        <f>AND(#REF!,"AAAAAHL+Xog=")</f>
        <v>#REF!</v>
      </c>
      <c r="EH157" t="e">
        <f>AND(#REF!,"AAAAAHL+Xok=")</f>
        <v>#REF!</v>
      </c>
      <c r="EI157" t="e">
        <f>AND(#REF!,"AAAAAHL+Xoo=")</f>
        <v>#REF!</v>
      </c>
      <c r="EJ157" t="e">
        <f>AND(#REF!,"AAAAAHL+Xos=")</f>
        <v>#REF!</v>
      </c>
      <c r="EK157" t="e">
        <f>AND(#REF!,"AAAAAHL+Xow=")</f>
        <v>#REF!</v>
      </c>
      <c r="EL157" t="e">
        <f>AND(#REF!,"AAAAAHL+Xo0=")</f>
        <v>#REF!</v>
      </c>
      <c r="EM157" t="e">
        <f>AND(#REF!,"AAAAAHL+Xo4=")</f>
        <v>#REF!</v>
      </c>
      <c r="EN157" t="e">
        <f>AND(#REF!,"AAAAAHL+Xo8=")</f>
        <v>#REF!</v>
      </c>
      <c r="EO157" t="e">
        <f>AND(#REF!,"AAAAAHL+XpA=")</f>
        <v>#REF!</v>
      </c>
      <c r="EP157" t="e">
        <f>AND(#REF!,"AAAAAHL+XpE=")</f>
        <v>#REF!</v>
      </c>
      <c r="EQ157" t="e">
        <f>AND(#REF!,"AAAAAHL+XpI=")</f>
        <v>#REF!</v>
      </c>
      <c r="ER157" t="e">
        <f>AND(#REF!,"AAAAAHL+XpM=")</f>
        <v>#REF!</v>
      </c>
      <c r="ES157" t="e">
        <f>IF(#REF!,"AAAAAHL+XpQ=",0)</f>
        <v>#REF!</v>
      </c>
      <c r="ET157" t="e">
        <f>AND(#REF!,"AAAAAHL+XpU=")</f>
        <v>#REF!</v>
      </c>
      <c r="EU157" t="e">
        <f>AND(#REF!,"AAAAAHL+XpY=")</f>
        <v>#REF!</v>
      </c>
      <c r="EV157" t="e">
        <f>AND(#REF!,"AAAAAHL+Xpc=")</f>
        <v>#REF!</v>
      </c>
      <c r="EW157" t="e">
        <f>AND(#REF!,"AAAAAHL+Xpg=")</f>
        <v>#REF!</v>
      </c>
      <c r="EX157" t="e">
        <f>AND(#REF!,"AAAAAHL+Xpk=")</f>
        <v>#REF!</v>
      </c>
      <c r="EY157" t="e">
        <f>AND(#REF!,"AAAAAHL+Xpo=")</f>
        <v>#REF!</v>
      </c>
      <c r="EZ157" t="e">
        <f>AND(#REF!,"AAAAAHL+Xps=")</f>
        <v>#REF!</v>
      </c>
      <c r="FA157" t="e">
        <f>AND(#REF!,"AAAAAHL+Xpw=")</f>
        <v>#REF!</v>
      </c>
      <c r="FB157" t="e">
        <f>AND(#REF!,"AAAAAHL+Xp0=")</f>
        <v>#REF!</v>
      </c>
      <c r="FC157" t="e">
        <f>AND(#REF!,"AAAAAHL+Xp4=")</f>
        <v>#REF!</v>
      </c>
      <c r="FD157" t="e">
        <f>AND(#REF!,"AAAAAHL+Xp8=")</f>
        <v>#REF!</v>
      </c>
      <c r="FE157" t="e">
        <f>AND(#REF!,"AAAAAHL+XqA=")</f>
        <v>#REF!</v>
      </c>
      <c r="FF157" t="e">
        <f>AND(#REF!,"AAAAAHL+XqE=")</f>
        <v>#REF!</v>
      </c>
      <c r="FG157" t="e">
        <f>AND(#REF!,"AAAAAHL+XqI=")</f>
        <v>#REF!</v>
      </c>
      <c r="FH157" t="e">
        <f>AND(#REF!,"AAAAAHL+XqM=")</f>
        <v>#REF!</v>
      </c>
      <c r="FI157" t="e">
        <f>AND(#REF!,"AAAAAHL+XqQ=")</f>
        <v>#REF!</v>
      </c>
      <c r="FJ157" t="e">
        <f>AND(#REF!,"AAAAAHL+XqU=")</f>
        <v>#REF!</v>
      </c>
      <c r="FK157" t="e">
        <f>AND(#REF!,"AAAAAHL+XqY=")</f>
        <v>#REF!</v>
      </c>
      <c r="FL157" t="e">
        <f>AND(#REF!,"AAAAAHL+Xqc=")</f>
        <v>#REF!</v>
      </c>
      <c r="FM157" t="e">
        <f>AND(#REF!,"AAAAAHL+Xqg=")</f>
        <v>#REF!</v>
      </c>
      <c r="FN157" t="e">
        <f>AND(#REF!,"AAAAAHL+Xqk=")</f>
        <v>#REF!</v>
      </c>
      <c r="FO157" t="e">
        <f>AND(#REF!,"AAAAAHL+Xqo=")</f>
        <v>#REF!</v>
      </c>
      <c r="FP157" t="e">
        <f>AND(#REF!,"AAAAAHL+Xqs=")</f>
        <v>#REF!</v>
      </c>
      <c r="FQ157" t="e">
        <f>AND(#REF!,"AAAAAHL+Xqw=")</f>
        <v>#REF!</v>
      </c>
      <c r="FR157" t="e">
        <f>AND(#REF!,"AAAAAHL+Xq0=")</f>
        <v>#REF!</v>
      </c>
      <c r="FS157" t="e">
        <f>AND(#REF!,"AAAAAHL+Xq4=")</f>
        <v>#REF!</v>
      </c>
      <c r="FT157" t="e">
        <f>AND(#REF!,"AAAAAHL+Xq8=")</f>
        <v>#REF!</v>
      </c>
      <c r="FU157" t="e">
        <f>AND(#REF!,"AAAAAHL+XrA=")</f>
        <v>#REF!</v>
      </c>
      <c r="FV157" t="e">
        <f>AND(#REF!,"AAAAAHL+XrE=")</f>
        <v>#REF!</v>
      </c>
      <c r="FW157" t="e">
        <f>AND(#REF!,"AAAAAHL+XrI=")</f>
        <v>#REF!</v>
      </c>
      <c r="FX157" t="e">
        <f>IF(#REF!,"AAAAAHL+XrM=",0)</f>
        <v>#REF!</v>
      </c>
      <c r="FY157" t="e">
        <f>AND(#REF!,"AAAAAHL+XrQ=")</f>
        <v>#REF!</v>
      </c>
      <c r="FZ157" t="e">
        <f>AND(#REF!,"AAAAAHL+XrU=")</f>
        <v>#REF!</v>
      </c>
      <c r="GA157" t="e">
        <f>AND(#REF!,"AAAAAHL+XrY=")</f>
        <v>#REF!</v>
      </c>
      <c r="GB157" t="e">
        <f>AND(#REF!,"AAAAAHL+Xrc=")</f>
        <v>#REF!</v>
      </c>
      <c r="GC157" t="e">
        <f>AND(#REF!,"AAAAAHL+Xrg=")</f>
        <v>#REF!</v>
      </c>
      <c r="GD157" t="e">
        <f>AND(#REF!,"AAAAAHL+Xrk=")</f>
        <v>#REF!</v>
      </c>
      <c r="GE157" t="e">
        <f>AND(#REF!,"AAAAAHL+Xro=")</f>
        <v>#REF!</v>
      </c>
      <c r="GF157" t="e">
        <f>AND(#REF!,"AAAAAHL+Xrs=")</f>
        <v>#REF!</v>
      </c>
      <c r="GG157" t="e">
        <f>AND(#REF!,"AAAAAHL+Xrw=")</f>
        <v>#REF!</v>
      </c>
      <c r="GH157" t="e">
        <f>AND(#REF!,"AAAAAHL+Xr0=")</f>
        <v>#REF!</v>
      </c>
      <c r="GI157" t="e">
        <f>AND(#REF!,"AAAAAHL+Xr4=")</f>
        <v>#REF!</v>
      </c>
      <c r="GJ157" t="e">
        <f>AND(#REF!,"AAAAAHL+Xr8=")</f>
        <v>#REF!</v>
      </c>
      <c r="GK157" t="e">
        <f>AND(#REF!,"AAAAAHL+XsA=")</f>
        <v>#REF!</v>
      </c>
      <c r="GL157" t="e">
        <f>AND(#REF!,"AAAAAHL+XsE=")</f>
        <v>#REF!</v>
      </c>
      <c r="GM157" t="e">
        <f>AND(#REF!,"AAAAAHL+XsI=")</f>
        <v>#REF!</v>
      </c>
      <c r="GN157" t="e">
        <f>AND(#REF!,"AAAAAHL+XsM=")</f>
        <v>#REF!</v>
      </c>
      <c r="GO157" t="e">
        <f>AND(#REF!,"AAAAAHL+XsQ=")</f>
        <v>#REF!</v>
      </c>
      <c r="GP157" t="e">
        <f>AND(#REF!,"AAAAAHL+XsU=")</f>
        <v>#REF!</v>
      </c>
      <c r="GQ157" t="e">
        <f>AND(#REF!,"AAAAAHL+XsY=")</f>
        <v>#REF!</v>
      </c>
      <c r="GR157" t="e">
        <f>AND(#REF!,"AAAAAHL+Xsc=")</f>
        <v>#REF!</v>
      </c>
      <c r="GS157" t="e">
        <f>AND(#REF!,"AAAAAHL+Xsg=")</f>
        <v>#REF!</v>
      </c>
      <c r="GT157" t="e">
        <f>AND(#REF!,"AAAAAHL+Xsk=")</f>
        <v>#REF!</v>
      </c>
      <c r="GU157" t="e">
        <f>AND(#REF!,"AAAAAHL+Xso=")</f>
        <v>#REF!</v>
      </c>
      <c r="GV157" t="e">
        <f>AND(#REF!,"AAAAAHL+Xss=")</f>
        <v>#REF!</v>
      </c>
      <c r="GW157" t="e">
        <f>AND(#REF!,"AAAAAHL+Xsw=")</f>
        <v>#REF!</v>
      </c>
      <c r="GX157" t="e">
        <f>AND(#REF!,"AAAAAHL+Xs0=")</f>
        <v>#REF!</v>
      </c>
      <c r="GY157" t="e">
        <f>AND(#REF!,"AAAAAHL+Xs4=")</f>
        <v>#REF!</v>
      </c>
      <c r="GZ157" t="e">
        <f>AND(#REF!,"AAAAAHL+Xs8=")</f>
        <v>#REF!</v>
      </c>
      <c r="HA157" t="e">
        <f>AND(#REF!,"AAAAAHL+XtA=")</f>
        <v>#REF!</v>
      </c>
      <c r="HB157" t="e">
        <f>AND(#REF!,"AAAAAHL+XtE=")</f>
        <v>#REF!</v>
      </c>
      <c r="HC157" t="e">
        <f>IF(#REF!,"AAAAAHL+XtI=",0)</f>
        <v>#REF!</v>
      </c>
      <c r="HD157" t="e">
        <f>AND(#REF!,"AAAAAHL+XtM=")</f>
        <v>#REF!</v>
      </c>
      <c r="HE157" t="e">
        <f>AND(#REF!,"AAAAAHL+XtQ=")</f>
        <v>#REF!</v>
      </c>
      <c r="HF157" t="e">
        <f>AND(#REF!,"AAAAAHL+XtU=")</f>
        <v>#REF!</v>
      </c>
      <c r="HG157" t="e">
        <f>AND(#REF!,"AAAAAHL+XtY=")</f>
        <v>#REF!</v>
      </c>
      <c r="HH157" t="e">
        <f>AND(#REF!,"AAAAAHL+Xtc=")</f>
        <v>#REF!</v>
      </c>
      <c r="HI157" t="e">
        <f>AND(#REF!,"AAAAAHL+Xtg=")</f>
        <v>#REF!</v>
      </c>
      <c r="HJ157" t="e">
        <f>AND(#REF!,"AAAAAHL+Xtk=")</f>
        <v>#REF!</v>
      </c>
      <c r="HK157" t="e">
        <f>AND(#REF!,"AAAAAHL+Xto=")</f>
        <v>#REF!</v>
      </c>
      <c r="HL157" t="e">
        <f>AND(#REF!,"AAAAAHL+Xts=")</f>
        <v>#REF!</v>
      </c>
      <c r="HM157" t="e">
        <f>AND(#REF!,"AAAAAHL+Xtw=")</f>
        <v>#REF!</v>
      </c>
      <c r="HN157" t="e">
        <f>AND(#REF!,"AAAAAHL+Xt0=")</f>
        <v>#REF!</v>
      </c>
      <c r="HO157" t="e">
        <f>AND(#REF!,"AAAAAHL+Xt4=")</f>
        <v>#REF!</v>
      </c>
      <c r="HP157" t="e">
        <f>AND(#REF!,"AAAAAHL+Xt8=")</f>
        <v>#REF!</v>
      </c>
      <c r="HQ157" t="e">
        <f>AND(#REF!,"AAAAAHL+XuA=")</f>
        <v>#REF!</v>
      </c>
      <c r="HR157" t="e">
        <f>AND(#REF!,"AAAAAHL+XuE=")</f>
        <v>#REF!</v>
      </c>
      <c r="HS157" t="e">
        <f>AND(#REF!,"AAAAAHL+XuI=")</f>
        <v>#REF!</v>
      </c>
      <c r="HT157" t="e">
        <f>AND(#REF!,"AAAAAHL+XuM=")</f>
        <v>#REF!</v>
      </c>
      <c r="HU157" t="e">
        <f>AND(#REF!,"AAAAAHL+XuQ=")</f>
        <v>#REF!</v>
      </c>
      <c r="HV157" t="e">
        <f>AND(#REF!,"AAAAAHL+XuU=")</f>
        <v>#REF!</v>
      </c>
      <c r="HW157" t="e">
        <f>AND(#REF!,"AAAAAHL+XuY=")</f>
        <v>#REF!</v>
      </c>
      <c r="HX157" t="e">
        <f>AND(#REF!,"AAAAAHL+Xuc=")</f>
        <v>#REF!</v>
      </c>
      <c r="HY157" t="e">
        <f>AND(#REF!,"AAAAAHL+Xug=")</f>
        <v>#REF!</v>
      </c>
      <c r="HZ157" t="e">
        <f>AND(#REF!,"AAAAAHL+Xuk=")</f>
        <v>#REF!</v>
      </c>
      <c r="IA157" t="e">
        <f>AND(#REF!,"AAAAAHL+Xuo=")</f>
        <v>#REF!</v>
      </c>
      <c r="IB157" t="e">
        <f>AND(#REF!,"AAAAAHL+Xus=")</f>
        <v>#REF!</v>
      </c>
      <c r="IC157" t="e">
        <f>AND(#REF!,"AAAAAHL+Xuw=")</f>
        <v>#REF!</v>
      </c>
      <c r="ID157" t="e">
        <f>AND(#REF!,"AAAAAHL+Xu0=")</f>
        <v>#REF!</v>
      </c>
      <c r="IE157" t="e">
        <f>AND(#REF!,"AAAAAHL+Xu4=")</f>
        <v>#REF!</v>
      </c>
      <c r="IF157" t="e">
        <f>AND(#REF!,"AAAAAHL+Xu8=")</f>
        <v>#REF!</v>
      </c>
      <c r="IG157" t="e">
        <f>AND(#REF!,"AAAAAHL+XvA=")</f>
        <v>#REF!</v>
      </c>
      <c r="IH157" t="e">
        <f>IF(#REF!,"AAAAAHL+XvE=",0)</f>
        <v>#REF!</v>
      </c>
      <c r="II157" t="e">
        <f>AND(#REF!,"AAAAAHL+XvI=")</f>
        <v>#REF!</v>
      </c>
      <c r="IJ157" t="e">
        <f>AND(#REF!,"AAAAAHL+XvM=")</f>
        <v>#REF!</v>
      </c>
      <c r="IK157" t="e">
        <f>AND(#REF!,"AAAAAHL+XvQ=")</f>
        <v>#REF!</v>
      </c>
      <c r="IL157" t="e">
        <f>AND(#REF!,"AAAAAHL+XvU=")</f>
        <v>#REF!</v>
      </c>
      <c r="IM157" t="e">
        <f>AND(#REF!,"AAAAAHL+XvY=")</f>
        <v>#REF!</v>
      </c>
      <c r="IN157" t="e">
        <f>AND(#REF!,"AAAAAHL+Xvc=")</f>
        <v>#REF!</v>
      </c>
      <c r="IO157" t="e">
        <f>AND(#REF!,"AAAAAHL+Xvg=")</f>
        <v>#REF!</v>
      </c>
      <c r="IP157" t="e">
        <f>AND(#REF!,"AAAAAHL+Xvk=")</f>
        <v>#REF!</v>
      </c>
      <c r="IQ157" t="e">
        <f>AND(#REF!,"AAAAAHL+Xvo=")</f>
        <v>#REF!</v>
      </c>
      <c r="IR157" t="e">
        <f>AND(#REF!,"AAAAAHL+Xvs=")</f>
        <v>#REF!</v>
      </c>
      <c r="IS157" t="e">
        <f>AND(#REF!,"AAAAAHL+Xvw=")</f>
        <v>#REF!</v>
      </c>
      <c r="IT157" t="e">
        <f>AND(#REF!,"AAAAAHL+Xv0=")</f>
        <v>#REF!</v>
      </c>
      <c r="IU157" t="e">
        <f>AND(#REF!,"AAAAAHL+Xv4=")</f>
        <v>#REF!</v>
      </c>
      <c r="IV157" t="e">
        <f>AND(#REF!,"AAAAAHL+Xv8=")</f>
        <v>#REF!</v>
      </c>
    </row>
    <row r="158" spans="1:256" x14ac:dyDescent="0.2">
      <c r="A158" t="e">
        <f>AND(#REF!,"AAAAAHb+9wA=")</f>
        <v>#REF!</v>
      </c>
      <c r="B158" t="e">
        <f>AND(#REF!,"AAAAAHb+9wE=")</f>
        <v>#REF!</v>
      </c>
      <c r="C158" t="e">
        <f>AND(#REF!,"AAAAAHb+9wI=")</f>
        <v>#REF!</v>
      </c>
      <c r="D158" t="e">
        <f>AND(#REF!,"AAAAAHb+9wM=")</f>
        <v>#REF!</v>
      </c>
      <c r="E158" t="e">
        <f>AND(#REF!,"AAAAAHb+9wQ=")</f>
        <v>#REF!</v>
      </c>
      <c r="F158" t="e">
        <f>AND(#REF!,"AAAAAHb+9wU=")</f>
        <v>#REF!</v>
      </c>
      <c r="G158" t="e">
        <f>AND(#REF!,"AAAAAHb+9wY=")</f>
        <v>#REF!</v>
      </c>
      <c r="H158" t="e">
        <f>AND(#REF!,"AAAAAHb+9wc=")</f>
        <v>#REF!</v>
      </c>
      <c r="I158" t="e">
        <f>AND(#REF!,"AAAAAHb+9wg=")</f>
        <v>#REF!</v>
      </c>
      <c r="J158" t="e">
        <f>AND(#REF!,"AAAAAHb+9wk=")</f>
        <v>#REF!</v>
      </c>
      <c r="K158" t="e">
        <f>AND(#REF!,"AAAAAHb+9wo=")</f>
        <v>#REF!</v>
      </c>
      <c r="L158" t="e">
        <f>AND(#REF!,"AAAAAHb+9ws=")</f>
        <v>#REF!</v>
      </c>
      <c r="M158" t="e">
        <f>AND(#REF!,"AAAAAHb+9ww=")</f>
        <v>#REF!</v>
      </c>
      <c r="N158" t="e">
        <f>AND(#REF!,"AAAAAHb+9w0=")</f>
        <v>#REF!</v>
      </c>
      <c r="O158" t="e">
        <f>AND(#REF!,"AAAAAHb+9w4=")</f>
        <v>#REF!</v>
      </c>
      <c r="P158" t="e">
        <f>AND(#REF!,"AAAAAHb+9w8=")</f>
        <v>#REF!</v>
      </c>
      <c r="Q158" t="e">
        <f>IF(#REF!,"AAAAAHb+9xA=",0)</f>
        <v>#REF!</v>
      </c>
      <c r="R158" t="e">
        <f>AND(#REF!,"AAAAAHb+9xE=")</f>
        <v>#REF!</v>
      </c>
      <c r="S158" t="e">
        <f>AND(#REF!,"AAAAAHb+9xI=")</f>
        <v>#REF!</v>
      </c>
      <c r="T158" t="e">
        <f>AND(#REF!,"AAAAAHb+9xM=")</f>
        <v>#REF!</v>
      </c>
      <c r="U158" t="e">
        <f>AND(#REF!,"AAAAAHb+9xQ=")</f>
        <v>#REF!</v>
      </c>
      <c r="V158" t="e">
        <f>AND(#REF!,"AAAAAHb+9xU=")</f>
        <v>#REF!</v>
      </c>
      <c r="W158" t="e">
        <f>AND(#REF!,"AAAAAHb+9xY=")</f>
        <v>#REF!</v>
      </c>
      <c r="X158" t="e">
        <f>AND(#REF!,"AAAAAHb+9xc=")</f>
        <v>#REF!</v>
      </c>
      <c r="Y158" t="e">
        <f>AND(#REF!,"AAAAAHb+9xg=")</f>
        <v>#REF!</v>
      </c>
      <c r="Z158" t="e">
        <f>AND(#REF!,"AAAAAHb+9xk=")</f>
        <v>#REF!</v>
      </c>
      <c r="AA158" t="e">
        <f>AND(#REF!,"AAAAAHb+9xo=")</f>
        <v>#REF!</v>
      </c>
      <c r="AB158" t="e">
        <f>AND(#REF!,"AAAAAHb+9xs=")</f>
        <v>#REF!</v>
      </c>
      <c r="AC158" t="e">
        <f>AND(#REF!,"AAAAAHb+9xw=")</f>
        <v>#REF!</v>
      </c>
      <c r="AD158" t="e">
        <f>AND(#REF!,"AAAAAHb+9x0=")</f>
        <v>#REF!</v>
      </c>
      <c r="AE158" t="e">
        <f>AND(#REF!,"AAAAAHb+9x4=")</f>
        <v>#REF!</v>
      </c>
      <c r="AF158" t="e">
        <f>AND(#REF!,"AAAAAHb+9x8=")</f>
        <v>#REF!</v>
      </c>
      <c r="AG158" t="e">
        <f>AND(#REF!,"AAAAAHb+9yA=")</f>
        <v>#REF!</v>
      </c>
      <c r="AH158" t="e">
        <f>AND(#REF!,"AAAAAHb+9yE=")</f>
        <v>#REF!</v>
      </c>
      <c r="AI158" t="e">
        <f>AND(#REF!,"AAAAAHb+9yI=")</f>
        <v>#REF!</v>
      </c>
      <c r="AJ158" t="e">
        <f>AND(#REF!,"AAAAAHb+9yM=")</f>
        <v>#REF!</v>
      </c>
      <c r="AK158" t="e">
        <f>AND(#REF!,"AAAAAHb+9yQ=")</f>
        <v>#REF!</v>
      </c>
      <c r="AL158" t="e">
        <f>AND(#REF!,"AAAAAHb+9yU=")</f>
        <v>#REF!</v>
      </c>
      <c r="AM158" t="e">
        <f>AND(#REF!,"AAAAAHb+9yY=")</f>
        <v>#REF!</v>
      </c>
      <c r="AN158" t="e">
        <f>AND(#REF!,"AAAAAHb+9yc=")</f>
        <v>#REF!</v>
      </c>
      <c r="AO158" t="e">
        <f>AND(#REF!,"AAAAAHb+9yg=")</f>
        <v>#REF!</v>
      </c>
      <c r="AP158" t="e">
        <f>AND(#REF!,"AAAAAHb+9yk=")</f>
        <v>#REF!</v>
      </c>
      <c r="AQ158" t="e">
        <f>AND(#REF!,"AAAAAHb+9yo=")</f>
        <v>#REF!</v>
      </c>
      <c r="AR158" t="e">
        <f>AND(#REF!,"AAAAAHb+9ys=")</f>
        <v>#REF!</v>
      </c>
      <c r="AS158" t="e">
        <f>AND(#REF!,"AAAAAHb+9yw=")</f>
        <v>#REF!</v>
      </c>
      <c r="AT158" t="e">
        <f>AND(#REF!,"AAAAAHb+9y0=")</f>
        <v>#REF!</v>
      </c>
      <c r="AU158" t="e">
        <f>AND(#REF!,"AAAAAHb+9y4=")</f>
        <v>#REF!</v>
      </c>
      <c r="AV158" t="e">
        <f>IF(#REF!,"AAAAAHb+9y8=",0)</f>
        <v>#REF!</v>
      </c>
      <c r="AW158" t="e">
        <f>AND(#REF!,"AAAAAHb+9zA=")</f>
        <v>#REF!</v>
      </c>
      <c r="AX158" t="e">
        <f>AND(#REF!,"AAAAAHb+9zE=")</f>
        <v>#REF!</v>
      </c>
      <c r="AY158" t="e">
        <f>AND(#REF!,"AAAAAHb+9zI=")</f>
        <v>#REF!</v>
      </c>
      <c r="AZ158" t="e">
        <f>AND(#REF!,"AAAAAHb+9zM=")</f>
        <v>#REF!</v>
      </c>
      <c r="BA158" t="e">
        <f>AND(#REF!,"AAAAAHb+9zQ=")</f>
        <v>#REF!</v>
      </c>
      <c r="BB158" t="e">
        <f>AND(#REF!,"AAAAAHb+9zU=")</f>
        <v>#REF!</v>
      </c>
      <c r="BC158" t="e">
        <f>AND(#REF!,"AAAAAHb+9zY=")</f>
        <v>#REF!</v>
      </c>
      <c r="BD158" t="e">
        <f>AND(#REF!,"AAAAAHb+9zc=")</f>
        <v>#REF!</v>
      </c>
      <c r="BE158" t="e">
        <f>AND(#REF!,"AAAAAHb+9zg=")</f>
        <v>#REF!</v>
      </c>
      <c r="BF158" t="e">
        <f>AND(#REF!,"AAAAAHb+9zk=")</f>
        <v>#REF!</v>
      </c>
      <c r="BG158" t="e">
        <f>AND(#REF!,"AAAAAHb+9zo=")</f>
        <v>#REF!</v>
      </c>
      <c r="BH158" t="e">
        <f>AND(#REF!,"AAAAAHb+9zs=")</f>
        <v>#REF!</v>
      </c>
      <c r="BI158" t="e">
        <f>AND(#REF!,"AAAAAHb+9zw=")</f>
        <v>#REF!</v>
      </c>
      <c r="BJ158" t="e">
        <f>AND(#REF!,"AAAAAHb+9z0=")</f>
        <v>#REF!</v>
      </c>
      <c r="BK158" t="e">
        <f>AND(#REF!,"AAAAAHb+9z4=")</f>
        <v>#REF!</v>
      </c>
      <c r="BL158" t="e">
        <f>AND(#REF!,"AAAAAHb+9z8=")</f>
        <v>#REF!</v>
      </c>
      <c r="BM158" t="e">
        <f>AND(#REF!,"AAAAAHb+90A=")</f>
        <v>#REF!</v>
      </c>
      <c r="BN158" t="e">
        <f>AND(#REF!,"AAAAAHb+90E=")</f>
        <v>#REF!</v>
      </c>
      <c r="BO158" t="e">
        <f>AND(#REF!,"AAAAAHb+90I=")</f>
        <v>#REF!</v>
      </c>
      <c r="BP158" t="e">
        <f>AND(#REF!,"AAAAAHb+90M=")</f>
        <v>#REF!</v>
      </c>
      <c r="BQ158" t="e">
        <f>AND(#REF!,"AAAAAHb+90Q=")</f>
        <v>#REF!</v>
      </c>
      <c r="BR158" t="e">
        <f>AND(#REF!,"AAAAAHb+90U=")</f>
        <v>#REF!</v>
      </c>
      <c r="BS158" t="e">
        <f>AND(#REF!,"AAAAAHb+90Y=")</f>
        <v>#REF!</v>
      </c>
      <c r="BT158" t="e">
        <f>AND(#REF!,"AAAAAHb+90c=")</f>
        <v>#REF!</v>
      </c>
      <c r="BU158" t="e">
        <f>AND(#REF!,"AAAAAHb+90g=")</f>
        <v>#REF!</v>
      </c>
      <c r="BV158" t="e">
        <f>AND(#REF!,"AAAAAHb+90k=")</f>
        <v>#REF!</v>
      </c>
      <c r="BW158" t="e">
        <f>AND(#REF!,"AAAAAHb+90o=")</f>
        <v>#REF!</v>
      </c>
      <c r="BX158" t="e">
        <f>AND(#REF!,"AAAAAHb+90s=")</f>
        <v>#REF!</v>
      </c>
      <c r="BY158" t="e">
        <f>AND(#REF!,"AAAAAHb+90w=")</f>
        <v>#REF!</v>
      </c>
      <c r="BZ158" t="e">
        <f>AND(#REF!,"AAAAAHb+900=")</f>
        <v>#REF!</v>
      </c>
      <c r="CA158" t="e">
        <f>IF(#REF!,"AAAAAHb+904=",0)</f>
        <v>#REF!</v>
      </c>
      <c r="CB158" t="e">
        <f>AND(#REF!,"AAAAAHb+908=")</f>
        <v>#REF!</v>
      </c>
      <c r="CC158" t="e">
        <f>AND(#REF!,"AAAAAHb+91A=")</f>
        <v>#REF!</v>
      </c>
      <c r="CD158" t="e">
        <f>AND(#REF!,"AAAAAHb+91E=")</f>
        <v>#REF!</v>
      </c>
      <c r="CE158" t="e">
        <f>AND(#REF!,"AAAAAHb+91I=")</f>
        <v>#REF!</v>
      </c>
      <c r="CF158" t="e">
        <f>AND(#REF!,"AAAAAHb+91M=")</f>
        <v>#REF!</v>
      </c>
      <c r="CG158" t="e">
        <f>AND(#REF!,"AAAAAHb+91Q=")</f>
        <v>#REF!</v>
      </c>
      <c r="CH158" t="e">
        <f>AND(#REF!,"AAAAAHb+91U=")</f>
        <v>#REF!</v>
      </c>
      <c r="CI158" t="e">
        <f>AND(#REF!,"AAAAAHb+91Y=")</f>
        <v>#REF!</v>
      </c>
      <c r="CJ158" t="e">
        <f>AND(#REF!,"AAAAAHb+91c=")</f>
        <v>#REF!</v>
      </c>
      <c r="CK158" t="e">
        <f>AND(#REF!,"AAAAAHb+91g=")</f>
        <v>#REF!</v>
      </c>
      <c r="CL158" t="e">
        <f>AND(#REF!,"AAAAAHb+91k=")</f>
        <v>#REF!</v>
      </c>
      <c r="CM158" t="e">
        <f>AND(#REF!,"AAAAAHb+91o=")</f>
        <v>#REF!</v>
      </c>
      <c r="CN158" t="e">
        <f>AND(#REF!,"AAAAAHb+91s=")</f>
        <v>#REF!</v>
      </c>
      <c r="CO158" t="e">
        <f>AND(#REF!,"AAAAAHb+91w=")</f>
        <v>#REF!</v>
      </c>
      <c r="CP158" t="e">
        <f>AND(#REF!,"AAAAAHb+910=")</f>
        <v>#REF!</v>
      </c>
      <c r="CQ158" t="e">
        <f>AND(#REF!,"AAAAAHb+914=")</f>
        <v>#REF!</v>
      </c>
      <c r="CR158" t="e">
        <f>AND(#REF!,"AAAAAHb+918=")</f>
        <v>#REF!</v>
      </c>
      <c r="CS158" t="e">
        <f>AND(#REF!,"AAAAAHb+92A=")</f>
        <v>#REF!</v>
      </c>
      <c r="CT158" t="e">
        <f>AND(#REF!,"AAAAAHb+92E=")</f>
        <v>#REF!</v>
      </c>
      <c r="CU158" t="e">
        <f>AND(#REF!,"AAAAAHb+92I=")</f>
        <v>#REF!</v>
      </c>
      <c r="CV158" t="e">
        <f>AND(#REF!,"AAAAAHb+92M=")</f>
        <v>#REF!</v>
      </c>
      <c r="CW158" t="e">
        <f>AND(#REF!,"AAAAAHb+92Q=")</f>
        <v>#REF!</v>
      </c>
      <c r="CX158" t="e">
        <f>AND(#REF!,"AAAAAHb+92U=")</f>
        <v>#REF!</v>
      </c>
      <c r="CY158" t="e">
        <f>AND(#REF!,"AAAAAHb+92Y=")</f>
        <v>#REF!</v>
      </c>
      <c r="CZ158" t="e">
        <f>AND(#REF!,"AAAAAHb+92c=")</f>
        <v>#REF!</v>
      </c>
      <c r="DA158" t="e">
        <f>AND(#REF!,"AAAAAHb+92g=")</f>
        <v>#REF!</v>
      </c>
      <c r="DB158" t="e">
        <f>AND(#REF!,"AAAAAHb+92k=")</f>
        <v>#REF!</v>
      </c>
      <c r="DC158" t="e">
        <f>AND(#REF!,"AAAAAHb+92o=")</f>
        <v>#REF!</v>
      </c>
      <c r="DD158" t="e">
        <f>AND(#REF!,"AAAAAHb+92s=")</f>
        <v>#REF!</v>
      </c>
      <c r="DE158" t="e">
        <f>AND(#REF!,"AAAAAHb+92w=")</f>
        <v>#REF!</v>
      </c>
      <c r="DF158" t="e">
        <f>IF(#REF!,"AAAAAHb+920=",0)</f>
        <v>#REF!</v>
      </c>
      <c r="DG158" t="e">
        <f>AND(#REF!,"AAAAAHb+924=")</f>
        <v>#REF!</v>
      </c>
      <c r="DH158" t="e">
        <f>AND(#REF!,"AAAAAHb+928=")</f>
        <v>#REF!</v>
      </c>
      <c r="DI158" t="e">
        <f>AND(#REF!,"AAAAAHb+93A=")</f>
        <v>#REF!</v>
      </c>
      <c r="DJ158" t="e">
        <f>AND(#REF!,"AAAAAHb+93E=")</f>
        <v>#REF!</v>
      </c>
      <c r="DK158" t="e">
        <f>AND(#REF!,"AAAAAHb+93I=")</f>
        <v>#REF!</v>
      </c>
      <c r="DL158" t="e">
        <f>AND(#REF!,"AAAAAHb+93M=")</f>
        <v>#REF!</v>
      </c>
      <c r="DM158" t="e">
        <f>AND(#REF!,"AAAAAHb+93Q=")</f>
        <v>#REF!</v>
      </c>
      <c r="DN158" t="e">
        <f>AND(#REF!,"AAAAAHb+93U=")</f>
        <v>#REF!</v>
      </c>
      <c r="DO158" t="e">
        <f>AND(#REF!,"AAAAAHb+93Y=")</f>
        <v>#REF!</v>
      </c>
      <c r="DP158" t="e">
        <f>AND(#REF!,"AAAAAHb+93c=")</f>
        <v>#REF!</v>
      </c>
      <c r="DQ158" t="e">
        <f>AND(#REF!,"AAAAAHb+93g=")</f>
        <v>#REF!</v>
      </c>
      <c r="DR158" t="e">
        <f>AND(#REF!,"AAAAAHb+93k=")</f>
        <v>#REF!</v>
      </c>
      <c r="DS158" t="e">
        <f>AND(#REF!,"AAAAAHb+93o=")</f>
        <v>#REF!</v>
      </c>
      <c r="DT158" t="e">
        <f>AND(#REF!,"AAAAAHb+93s=")</f>
        <v>#REF!</v>
      </c>
      <c r="DU158" t="e">
        <f>AND(#REF!,"AAAAAHb+93w=")</f>
        <v>#REF!</v>
      </c>
      <c r="DV158" t="e">
        <f>AND(#REF!,"AAAAAHb+930=")</f>
        <v>#REF!</v>
      </c>
      <c r="DW158" t="e">
        <f>AND(#REF!,"AAAAAHb+934=")</f>
        <v>#REF!</v>
      </c>
      <c r="DX158" t="e">
        <f>AND(#REF!,"AAAAAHb+938=")</f>
        <v>#REF!</v>
      </c>
      <c r="DY158" t="e">
        <f>AND(#REF!,"AAAAAHb+94A=")</f>
        <v>#REF!</v>
      </c>
      <c r="DZ158" t="e">
        <f>AND(#REF!,"AAAAAHb+94E=")</f>
        <v>#REF!</v>
      </c>
      <c r="EA158" t="e">
        <f>AND(#REF!,"AAAAAHb+94I=")</f>
        <v>#REF!</v>
      </c>
      <c r="EB158" t="e">
        <f>AND(#REF!,"AAAAAHb+94M=")</f>
        <v>#REF!</v>
      </c>
      <c r="EC158" t="e">
        <f>AND(#REF!,"AAAAAHb+94Q=")</f>
        <v>#REF!</v>
      </c>
      <c r="ED158" t="e">
        <f>AND(#REF!,"AAAAAHb+94U=")</f>
        <v>#REF!</v>
      </c>
      <c r="EE158" t="e">
        <f>AND(#REF!,"AAAAAHb+94Y=")</f>
        <v>#REF!</v>
      </c>
      <c r="EF158" t="e">
        <f>AND(#REF!,"AAAAAHb+94c=")</f>
        <v>#REF!</v>
      </c>
      <c r="EG158" t="e">
        <f>AND(#REF!,"AAAAAHb+94g=")</f>
        <v>#REF!</v>
      </c>
      <c r="EH158" t="e">
        <f>AND(#REF!,"AAAAAHb+94k=")</f>
        <v>#REF!</v>
      </c>
      <c r="EI158" t="e">
        <f>AND(#REF!,"AAAAAHb+94o=")</f>
        <v>#REF!</v>
      </c>
      <c r="EJ158" t="e">
        <f>AND(#REF!,"AAAAAHb+94s=")</f>
        <v>#REF!</v>
      </c>
      <c r="EK158" t="e">
        <f>IF(#REF!,"AAAAAHb+94w=",0)</f>
        <v>#REF!</v>
      </c>
      <c r="EL158" t="e">
        <f>AND(#REF!,"AAAAAHb+940=")</f>
        <v>#REF!</v>
      </c>
      <c r="EM158" t="e">
        <f>AND(#REF!,"AAAAAHb+944=")</f>
        <v>#REF!</v>
      </c>
      <c r="EN158" t="e">
        <f>AND(#REF!,"AAAAAHb+948=")</f>
        <v>#REF!</v>
      </c>
      <c r="EO158" t="e">
        <f>AND(#REF!,"AAAAAHb+95A=")</f>
        <v>#REF!</v>
      </c>
      <c r="EP158" t="e">
        <f>AND(#REF!,"AAAAAHb+95E=")</f>
        <v>#REF!</v>
      </c>
      <c r="EQ158" t="e">
        <f>AND(#REF!,"AAAAAHb+95I=")</f>
        <v>#REF!</v>
      </c>
      <c r="ER158" t="e">
        <f>AND(#REF!,"AAAAAHb+95M=")</f>
        <v>#REF!</v>
      </c>
      <c r="ES158" t="e">
        <f>AND(#REF!,"AAAAAHb+95Q=")</f>
        <v>#REF!</v>
      </c>
      <c r="ET158" t="e">
        <f>AND(#REF!,"AAAAAHb+95U=")</f>
        <v>#REF!</v>
      </c>
      <c r="EU158" t="e">
        <f>AND(#REF!,"AAAAAHb+95Y=")</f>
        <v>#REF!</v>
      </c>
      <c r="EV158" t="e">
        <f>AND(#REF!,"AAAAAHb+95c=")</f>
        <v>#REF!</v>
      </c>
      <c r="EW158" t="e">
        <f>AND(#REF!,"AAAAAHb+95g=")</f>
        <v>#REF!</v>
      </c>
      <c r="EX158" t="e">
        <f>AND(#REF!,"AAAAAHb+95k=")</f>
        <v>#REF!</v>
      </c>
      <c r="EY158" t="e">
        <f>AND(#REF!,"AAAAAHb+95o=")</f>
        <v>#REF!</v>
      </c>
      <c r="EZ158" t="e">
        <f>AND(#REF!,"AAAAAHb+95s=")</f>
        <v>#REF!</v>
      </c>
      <c r="FA158" t="e">
        <f>AND(#REF!,"AAAAAHb+95w=")</f>
        <v>#REF!</v>
      </c>
      <c r="FB158" t="e">
        <f>AND(#REF!,"AAAAAHb+950=")</f>
        <v>#REF!</v>
      </c>
      <c r="FC158" t="e">
        <f>AND(#REF!,"AAAAAHb+954=")</f>
        <v>#REF!</v>
      </c>
      <c r="FD158" t="e">
        <f>AND(#REF!,"AAAAAHb+958=")</f>
        <v>#REF!</v>
      </c>
      <c r="FE158" t="e">
        <f>AND(#REF!,"AAAAAHb+96A=")</f>
        <v>#REF!</v>
      </c>
      <c r="FF158" t="e">
        <f>AND(#REF!,"AAAAAHb+96E=")</f>
        <v>#REF!</v>
      </c>
      <c r="FG158" t="e">
        <f>AND(#REF!,"AAAAAHb+96I=")</f>
        <v>#REF!</v>
      </c>
      <c r="FH158" t="e">
        <f>AND(#REF!,"AAAAAHb+96M=")</f>
        <v>#REF!</v>
      </c>
      <c r="FI158" t="e">
        <f>AND(#REF!,"AAAAAHb+96Q=")</f>
        <v>#REF!</v>
      </c>
      <c r="FJ158" t="e">
        <f>AND(#REF!,"AAAAAHb+96U=")</f>
        <v>#REF!</v>
      </c>
      <c r="FK158" t="e">
        <f>AND(#REF!,"AAAAAHb+96Y=")</f>
        <v>#REF!</v>
      </c>
      <c r="FL158" t="e">
        <f>AND(#REF!,"AAAAAHb+96c=")</f>
        <v>#REF!</v>
      </c>
      <c r="FM158" t="e">
        <f>AND(#REF!,"AAAAAHb+96g=")</f>
        <v>#REF!</v>
      </c>
      <c r="FN158" t="e">
        <f>AND(#REF!,"AAAAAHb+96k=")</f>
        <v>#REF!</v>
      </c>
      <c r="FO158" t="e">
        <f>AND(#REF!,"AAAAAHb+96o=")</f>
        <v>#REF!</v>
      </c>
      <c r="FP158" t="e">
        <f>IF(#REF!,"AAAAAHb+96s=",0)</f>
        <v>#REF!</v>
      </c>
      <c r="FQ158" t="e">
        <f>AND(#REF!,"AAAAAHb+96w=")</f>
        <v>#REF!</v>
      </c>
      <c r="FR158" t="e">
        <f>AND(#REF!,"AAAAAHb+960=")</f>
        <v>#REF!</v>
      </c>
      <c r="FS158" t="e">
        <f>AND(#REF!,"AAAAAHb+964=")</f>
        <v>#REF!</v>
      </c>
      <c r="FT158" t="e">
        <f>AND(#REF!,"AAAAAHb+968=")</f>
        <v>#REF!</v>
      </c>
      <c r="FU158" t="e">
        <f>AND(#REF!,"AAAAAHb+97A=")</f>
        <v>#REF!</v>
      </c>
      <c r="FV158" t="e">
        <f>AND(#REF!,"AAAAAHb+97E=")</f>
        <v>#REF!</v>
      </c>
      <c r="FW158" t="e">
        <f>AND(#REF!,"AAAAAHb+97I=")</f>
        <v>#REF!</v>
      </c>
      <c r="FX158" t="e">
        <f>AND(#REF!,"AAAAAHb+97M=")</f>
        <v>#REF!</v>
      </c>
      <c r="FY158" t="e">
        <f>AND(#REF!,"AAAAAHb+97Q=")</f>
        <v>#REF!</v>
      </c>
      <c r="FZ158" t="e">
        <f>AND(#REF!,"AAAAAHb+97U=")</f>
        <v>#REF!</v>
      </c>
      <c r="GA158" t="e">
        <f>AND(#REF!,"AAAAAHb+97Y=")</f>
        <v>#REF!</v>
      </c>
      <c r="GB158" t="e">
        <f>AND(#REF!,"AAAAAHb+97c=")</f>
        <v>#REF!</v>
      </c>
      <c r="GC158" t="e">
        <f>AND(#REF!,"AAAAAHb+97g=")</f>
        <v>#REF!</v>
      </c>
      <c r="GD158" t="e">
        <f>AND(#REF!,"AAAAAHb+97k=")</f>
        <v>#REF!</v>
      </c>
      <c r="GE158" t="e">
        <f>AND(#REF!,"AAAAAHb+97o=")</f>
        <v>#REF!</v>
      </c>
      <c r="GF158" t="e">
        <f>AND(#REF!,"AAAAAHb+97s=")</f>
        <v>#REF!</v>
      </c>
      <c r="GG158" t="e">
        <f>AND(#REF!,"AAAAAHb+97w=")</f>
        <v>#REF!</v>
      </c>
      <c r="GH158" t="e">
        <f>AND(#REF!,"AAAAAHb+970=")</f>
        <v>#REF!</v>
      </c>
      <c r="GI158" t="e">
        <f>AND(#REF!,"AAAAAHb+974=")</f>
        <v>#REF!</v>
      </c>
      <c r="GJ158" t="e">
        <f>AND(#REF!,"AAAAAHb+978=")</f>
        <v>#REF!</v>
      </c>
      <c r="GK158" t="e">
        <f>AND(#REF!,"AAAAAHb+98A=")</f>
        <v>#REF!</v>
      </c>
      <c r="GL158" t="e">
        <f>AND(#REF!,"AAAAAHb+98E=")</f>
        <v>#REF!</v>
      </c>
      <c r="GM158" t="e">
        <f>AND(#REF!,"AAAAAHb+98I=")</f>
        <v>#REF!</v>
      </c>
      <c r="GN158" t="e">
        <f>AND(#REF!,"AAAAAHb+98M=")</f>
        <v>#REF!</v>
      </c>
      <c r="GO158" t="e">
        <f>AND(#REF!,"AAAAAHb+98Q=")</f>
        <v>#REF!</v>
      </c>
      <c r="GP158" t="e">
        <f>AND(#REF!,"AAAAAHb+98U=")</f>
        <v>#REF!</v>
      </c>
      <c r="GQ158" t="e">
        <f>AND(#REF!,"AAAAAHb+98Y=")</f>
        <v>#REF!</v>
      </c>
      <c r="GR158" t="e">
        <f>AND(#REF!,"AAAAAHb+98c=")</f>
        <v>#REF!</v>
      </c>
      <c r="GS158" t="e">
        <f>AND(#REF!,"AAAAAHb+98g=")</f>
        <v>#REF!</v>
      </c>
      <c r="GT158" t="e">
        <f>AND(#REF!,"AAAAAHb+98k=")</f>
        <v>#REF!</v>
      </c>
      <c r="GU158" t="e">
        <f>IF(#REF!,"AAAAAHb+98o=",0)</f>
        <v>#REF!</v>
      </c>
      <c r="GV158" t="e">
        <f>AND(#REF!,"AAAAAHb+98s=")</f>
        <v>#REF!</v>
      </c>
      <c r="GW158" t="e">
        <f>AND(#REF!,"AAAAAHb+98w=")</f>
        <v>#REF!</v>
      </c>
      <c r="GX158" t="e">
        <f>AND(#REF!,"AAAAAHb+980=")</f>
        <v>#REF!</v>
      </c>
      <c r="GY158" t="e">
        <f>AND(#REF!,"AAAAAHb+984=")</f>
        <v>#REF!</v>
      </c>
      <c r="GZ158" t="e">
        <f>AND(#REF!,"AAAAAHb+988=")</f>
        <v>#REF!</v>
      </c>
      <c r="HA158" t="e">
        <f>AND(#REF!,"AAAAAHb+99A=")</f>
        <v>#REF!</v>
      </c>
      <c r="HB158" t="e">
        <f>AND(#REF!,"AAAAAHb+99E=")</f>
        <v>#REF!</v>
      </c>
      <c r="HC158" t="e">
        <f>AND(#REF!,"AAAAAHb+99I=")</f>
        <v>#REF!</v>
      </c>
      <c r="HD158" t="e">
        <f>AND(#REF!,"AAAAAHb+99M=")</f>
        <v>#REF!</v>
      </c>
      <c r="HE158" t="e">
        <f>AND(#REF!,"AAAAAHb+99Q=")</f>
        <v>#REF!</v>
      </c>
      <c r="HF158" t="e">
        <f>AND(#REF!,"AAAAAHb+99U=")</f>
        <v>#REF!</v>
      </c>
      <c r="HG158" t="e">
        <f>AND(#REF!,"AAAAAHb+99Y=")</f>
        <v>#REF!</v>
      </c>
      <c r="HH158" t="e">
        <f>AND(#REF!,"AAAAAHb+99c=")</f>
        <v>#REF!</v>
      </c>
      <c r="HI158" t="e">
        <f>AND(#REF!,"AAAAAHb+99g=")</f>
        <v>#REF!</v>
      </c>
      <c r="HJ158" t="e">
        <f>AND(#REF!,"AAAAAHb+99k=")</f>
        <v>#REF!</v>
      </c>
      <c r="HK158" t="e">
        <f>AND(#REF!,"AAAAAHb+99o=")</f>
        <v>#REF!</v>
      </c>
      <c r="HL158" t="e">
        <f>AND(#REF!,"AAAAAHb+99s=")</f>
        <v>#REF!</v>
      </c>
      <c r="HM158" t="e">
        <f>AND(#REF!,"AAAAAHb+99w=")</f>
        <v>#REF!</v>
      </c>
      <c r="HN158" t="e">
        <f>AND(#REF!,"AAAAAHb+990=")</f>
        <v>#REF!</v>
      </c>
      <c r="HO158" t="e">
        <f>AND(#REF!,"AAAAAHb+994=")</f>
        <v>#REF!</v>
      </c>
      <c r="HP158" t="e">
        <f>AND(#REF!,"AAAAAHb+998=")</f>
        <v>#REF!</v>
      </c>
      <c r="HQ158" t="e">
        <f>AND(#REF!,"AAAAAHb+9+A=")</f>
        <v>#REF!</v>
      </c>
      <c r="HR158" t="e">
        <f>AND(#REF!,"AAAAAHb+9+E=")</f>
        <v>#REF!</v>
      </c>
      <c r="HS158" t="e">
        <f>AND(#REF!,"AAAAAHb+9+I=")</f>
        <v>#REF!</v>
      </c>
      <c r="HT158" t="e">
        <f>AND(#REF!,"AAAAAHb+9+M=")</f>
        <v>#REF!</v>
      </c>
      <c r="HU158" t="e">
        <f>AND(#REF!,"AAAAAHb+9+Q=")</f>
        <v>#REF!</v>
      </c>
      <c r="HV158" t="e">
        <f>AND(#REF!,"AAAAAHb+9+U=")</f>
        <v>#REF!</v>
      </c>
      <c r="HW158" t="e">
        <f>AND(#REF!,"AAAAAHb+9+Y=")</f>
        <v>#REF!</v>
      </c>
      <c r="HX158" t="e">
        <f>AND(#REF!,"AAAAAHb+9+c=")</f>
        <v>#REF!</v>
      </c>
      <c r="HY158" t="e">
        <f>AND(#REF!,"AAAAAHb+9+g=")</f>
        <v>#REF!</v>
      </c>
      <c r="HZ158" t="e">
        <f>IF(#REF!,"AAAAAHb+9+k=",0)</f>
        <v>#REF!</v>
      </c>
      <c r="IA158" t="e">
        <f>AND(#REF!,"AAAAAHb+9+o=")</f>
        <v>#REF!</v>
      </c>
      <c r="IB158" t="e">
        <f>AND(#REF!,"AAAAAHb+9+s=")</f>
        <v>#REF!</v>
      </c>
      <c r="IC158" t="e">
        <f>AND(#REF!,"AAAAAHb+9+w=")</f>
        <v>#REF!</v>
      </c>
      <c r="ID158" t="e">
        <f>AND(#REF!,"AAAAAHb+9+0=")</f>
        <v>#REF!</v>
      </c>
      <c r="IE158" t="e">
        <f>AND(#REF!,"AAAAAHb+9+4=")</f>
        <v>#REF!</v>
      </c>
      <c r="IF158" t="e">
        <f>AND(#REF!,"AAAAAHb+9+8=")</f>
        <v>#REF!</v>
      </c>
      <c r="IG158" t="e">
        <f>AND(#REF!,"AAAAAHb+9/A=")</f>
        <v>#REF!</v>
      </c>
      <c r="IH158" t="e">
        <f>AND(#REF!,"AAAAAHb+9/E=")</f>
        <v>#REF!</v>
      </c>
      <c r="II158" t="e">
        <f>AND(#REF!,"AAAAAHb+9/I=")</f>
        <v>#REF!</v>
      </c>
      <c r="IJ158" t="e">
        <f>AND(#REF!,"AAAAAHb+9/M=")</f>
        <v>#REF!</v>
      </c>
      <c r="IK158" t="e">
        <f>AND(#REF!,"AAAAAHb+9/Q=")</f>
        <v>#REF!</v>
      </c>
      <c r="IL158" t="e">
        <f>AND(#REF!,"AAAAAHb+9/U=")</f>
        <v>#REF!</v>
      </c>
      <c r="IM158" t="e">
        <f>AND(#REF!,"AAAAAHb+9/Y=")</f>
        <v>#REF!</v>
      </c>
      <c r="IN158" t="e">
        <f>AND(#REF!,"AAAAAHb+9/c=")</f>
        <v>#REF!</v>
      </c>
      <c r="IO158" t="e">
        <f>AND(#REF!,"AAAAAHb+9/g=")</f>
        <v>#REF!</v>
      </c>
      <c r="IP158" t="e">
        <f>AND(#REF!,"AAAAAHb+9/k=")</f>
        <v>#REF!</v>
      </c>
      <c r="IQ158" t="e">
        <f>AND(#REF!,"AAAAAHb+9/o=")</f>
        <v>#REF!</v>
      </c>
      <c r="IR158" t="e">
        <f>AND(#REF!,"AAAAAHb+9/s=")</f>
        <v>#REF!</v>
      </c>
      <c r="IS158" t="e">
        <f>AND(#REF!,"AAAAAHb+9/w=")</f>
        <v>#REF!</v>
      </c>
      <c r="IT158" t="e">
        <f>AND(#REF!,"AAAAAHb+9/0=")</f>
        <v>#REF!</v>
      </c>
      <c r="IU158" t="e">
        <f>AND(#REF!,"AAAAAHb+9/4=")</f>
        <v>#REF!</v>
      </c>
      <c r="IV158" t="e">
        <f>AND(#REF!,"AAAAAHb+9/8=")</f>
        <v>#REF!</v>
      </c>
    </row>
    <row r="159" spans="1:256" x14ac:dyDescent="0.2">
      <c r="A159" t="e">
        <f>AND(#REF!,"AAAAAHdngwA=")</f>
        <v>#REF!</v>
      </c>
      <c r="B159" t="e">
        <f>AND(#REF!,"AAAAAHdngwE=")</f>
        <v>#REF!</v>
      </c>
      <c r="C159" t="e">
        <f>AND(#REF!,"AAAAAHdngwI=")</f>
        <v>#REF!</v>
      </c>
      <c r="D159" t="e">
        <f>AND(#REF!,"AAAAAHdngwM=")</f>
        <v>#REF!</v>
      </c>
      <c r="E159" t="e">
        <f>AND(#REF!,"AAAAAHdngwQ=")</f>
        <v>#REF!</v>
      </c>
      <c r="F159" t="e">
        <f>AND(#REF!,"AAAAAHdngwU=")</f>
        <v>#REF!</v>
      </c>
      <c r="G159" t="e">
        <f>AND(#REF!,"AAAAAHdngwY=")</f>
        <v>#REF!</v>
      </c>
      <c r="H159" t="e">
        <f>AND(#REF!,"AAAAAHdngwc=")</f>
        <v>#REF!</v>
      </c>
      <c r="I159" t="e">
        <f>IF(#REF!,"AAAAAHdngwg=",0)</f>
        <v>#REF!</v>
      </c>
      <c r="J159" t="e">
        <f>AND(#REF!,"AAAAAHdngwk=")</f>
        <v>#REF!</v>
      </c>
      <c r="K159" t="e">
        <f>AND(#REF!,"AAAAAHdngwo=")</f>
        <v>#REF!</v>
      </c>
      <c r="L159" t="e">
        <f>AND(#REF!,"AAAAAHdngws=")</f>
        <v>#REF!</v>
      </c>
      <c r="M159" t="e">
        <f>AND(#REF!,"AAAAAHdngww=")</f>
        <v>#REF!</v>
      </c>
      <c r="N159" t="e">
        <f>AND(#REF!,"AAAAAHdngw0=")</f>
        <v>#REF!</v>
      </c>
      <c r="O159" t="e">
        <f>AND(#REF!,"AAAAAHdngw4=")</f>
        <v>#REF!</v>
      </c>
      <c r="P159" t="e">
        <f>AND(#REF!,"AAAAAHdngw8=")</f>
        <v>#REF!</v>
      </c>
      <c r="Q159" t="e">
        <f>AND(#REF!,"AAAAAHdngxA=")</f>
        <v>#REF!</v>
      </c>
      <c r="R159" t="e">
        <f>AND(#REF!,"AAAAAHdngxE=")</f>
        <v>#REF!</v>
      </c>
      <c r="S159" t="e">
        <f>AND(#REF!,"AAAAAHdngxI=")</f>
        <v>#REF!</v>
      </c>
      <c r="T159" t="e">
        <f>AND(#REF!,"AAAAAHdngxM=")</f>
        <v>#REF!</v>
      </c>
      <c r="U159" t="e">
        <f>AND(#REF!,"AAAAAHdngxQ=")</f>
        <v>#REF!</v>
      </c>
      <c r="V159" t="e">
        <f>AND(#REF!,"AAAAAHdngxU=")</f>
        <v>#REF!</v>
      </c>
      <c r="W159" t="e">
        <f>AND(#REF!,"AAAAAHdngxY=")</f>
        <v>#REF!</v>
      </c>
      <c r="X159" t="e">
        <f>AND(#REF!,"AAAAAHdngxc=")</f>
        <v>#REF!</v>
      </c>
      <c r="Y159" t="e">
        <f>AND(#REF!,"AAAAAHdngxg=")</f>
        <v>#REF!</v>
      </c>
      <c r="Z159" t="e">
        <f>AND(#REF!,"AAAAAHdngxk=")</f>
        <v>#REF!</v>
      </c>
      <c r="AA159" t="e">
        <f>AND(#REF!,"AAAAAHdngxo=")</f>
        <v>#REF!</v>
      </c>
      <c r="AB159" t="e">
        <f>AND(#REF!,"AAAAAHdngxs=")</f>
        <v>#REF!</v>
      </c>
      <c r="AC159" t="e">
        <f>AND(#REF!,"AAAAAHdngxw=")</f>
        <v>#REF!</v>
      </c>
      <c r="AD159" t="e">
        <f>AND(#REF!,"AAAAAHdngx0=")</f>
        <v>#REF!</v>
      </c>
      <c r="AE159" t="e">
        <f>AND(#REF!,"AAAAAHdngx4=")</f>
        <v>#REF!</v>
      </c>
      <c r="AF159" t="e">
        <f>AND(#REF!,"AAAAAHdngx8=")</f>
        <v>#REF!</v>
      </c>
      <c r="AG159" t="e">
        <f>AND(#REF!,"AAAAAHdngyA=")</f>
        <v>#REF!</v>
      </c>
      <c r="AH159" t="e">
        <f>AND(#REF!,"AAAAAHdngyE=")</f>
        <v>#REF!</v>
      </c>
      <c r="AI159" t="e">
        <f>AND(#REF!,"AAAAAHdngyI=")</f>
        <v>#REF!</v>
      </c>
      <c r="AJ159" t="e">
        <f>AND(#REF!,"AAAAAHdngyM=")</f>
        <v>#REF!</v>
      </c>
      <c r="AK159" t="e">
        <f>AND(#REF!,"AAAAAHdngyQ=")</f>
        <v>#REF!</v>
      </c>
      <c r="AL159" t="e">
        <f>AND(#REF!,"AAAAAHdngyU=")</f>
        <v>#REF!</v>
      </c>
      <c r="AM159" t="e">
        <f>AND(#REF!,"AAAAAHdngyY=")</f>
        <v>#REF!</v>
      </c>
      <c r="AN159" t="e">
        <f>IF(#REF!,"AAAAAHdngyc=",0)</f>
        <v>#REF!</v>
      </c>
      <c r="AO159" t="e">
        <f>AND(#REF!,"AAAAAHdngyg=")</f>
        <v>#REF!</v>
      </c>
      <c r="AP159" t="e">
        <f>AND(#REF!,"AAAAAHdngyk=")</f>
        <v>#REF!</v>
      </c>
      <c r="AQ159" t="e">
        <f>AND(#REF!,"AAAAAHdngyo=")</f>
        <v>#REF!</v>
      </c>
      <c r="AR159" t="e">
        <f>AND(#REF!,"AAAAAHdngys=")</f>
        <v>#REF!</v>
      </c>
      <c r="AS159" t="e">
        <f>AND(#REF!,"AAAAAHdngyw=")</f>
        <v>#REF!</v>
      </c>
      <c r="AT159" t="e">
        <f>AND(#REF!,"AAAAAHdngy0=")</f>
        <v>#REF!</v>
      </c>
      <c r="AU159" t="e">
        <f>AND(#REF!,"AAAAAHdngy4=")</f>
        <v>#REF!</v>
      </c>
      <c r="AV159" t="e">
        <f>AND(#REF!,"AAAAAHdngy8=")</f>
        <v>#REF!</v>
      </c>
      <c r="AW159" t="e">
        <f>AND(#REF!,"AAAAAHdngzA=")</f>
        <v>#REF!</v>
      </c>
      <c r="AX159" t="e">
        <f>AND(#REF!,"AAAAAHdngzE=")</f>
        <v>#REF!</v>
      </c>
      <c r="AY159" t="e">
        <f>AND(#REF!,"AAAAAHdngzI=")</f>
        <v>#REF!</v>
      </c>
      <c r="AZ159" t="e">
        <f>AND(#REF!,"AAAAAHdngzM=")</f>
        <v>#REF!</v>
      </c>
      <c r="BA159" t="e">
        <f>AND(#REF!,"AAAAAHdngzQ=")</f>
        <v>#REF!</v>
      </c>
      <c r="BB159" t="e">
        <f>AND(#REF!,"AAAAAHdngzU=")</f>
        <v>#REF!</v>
      </c>
      <c r="BC159" t="e">
        <f>AND(#REF!,"AAAAAHdngzY=")</f>
        <v>#REF!</v>
      </c>
      <c r="BD159" t="e">
        <f>AND(#REF!,"AAAAAHdngzc=")</f>
        <v>#REF!</v>
      </c>
      <c r="BE159" t="e">
        <f>AND(#REF!,"AAAAAHdngzg=")</f>
        <v>#REF!</v>
      </c>
      <c r="BF159" t="e">
        <f>AND(#REF!,"AAAAAHdngzk=")</f>
        <v>#REF!</v>
      </c>
      <c r="BG159" t="e">
        <f>AND(#REF!,"AAAAAHdngzo=")</f>
        <v>#REF!</v>
      </c>
      <c r="BH159" t="e">
        <f>AND(#REF!,"AAAAAHdngzs=")</f>
        <v>#REF!</v>
      </c>
      <c r="BI159" t="e">
        <f>AND(#REF!,"AAAAAHdngzw=")</f>
        <v>#REF!</v>
      </c>
      <c r="BJ159" t="e">
        <f>AND(#REF!,"AAAAAHdngz0=")</f>
        <v>#REF!</v>
      </c>
      <c r="BK159" t="e">
        <f>AND(#REF!,"AAAAAHdngz4=")</f>
        <v>#REF!</v>
      </c>
      <c r="BL159" t="e">
        <f>AND(#REF!,"AAAAAHdngz8=")</f>
        <v>#REF!</v>
      </c>
      <c r="BM159" t="e">
        <f>AND(#REF!,"AAAAAHdng0A=")</f>
        <v>#REF!</v>
      </c>
      <c r="BN159" t="e">
        <f>AND(#REF!,"AAAAAHdng0E=")</f>
        <v>#REF!</v>
      </c>
      <c r="BO159" t="e">
        <f>AND(#REF!,"AAAAAHdng0I=")</f>
        <v>#REF!</v>
      </c>
      <c r="BP159" t="e">
        <f>AND(#REF!,"AAAAAHdng0M=")</f>
        <v>#REF!</v>
      </c>
      <c r="BQ159" t="e">
        <f>AND(#REF!,"AAAAAHdng0Q=")</f>
        <v>#REF!</v>
      </c>
      <c r="BR159" t="e">
        <f>AND(#REF!,"AAAAAHdng0U=")</f>
        <v>#REF!</v>
      </c>
      <c r="BS159" t="e">
        <f>IF(#REF!,"AAAAAHdng0Y=",0)</f>
        <v>#REF!</v>
      </c>
      <c r="BT159" t="e">
        <f>AND(#REF!,"AAAAAHdng0c=")</f>
        <v>#REF!</v>
      </c>
      <c r="BU159" t="e">
        <f>AND(#REF!,"AAAAAHdng0g=")</f>
        <v>#REF!</v>
      </c>
      <c r="BV159" t="e">
        <f>AND(#REF!,"AAAAAHdng0k=")</f>
        <v>#REF!</v>
      </c>
      <c r="BW159" t="e">
        <f>AND(#REF!,"AAAAAHdng0o=")</f>
        <v>#REF!</v>
      </c>
      <c r="BX159" t="e">
        <f>AND(#REF!,"AAAAAHdng0s=")</f>
        <v>#REF!</v>
      </c>
      <c r="BY159" t="e">
        <f>AND(#REF!,"AAAAAHdng0w=")</f>
        <v>#REF!</v>
      </c>
      <c r="BZ159" t="e">
        <f>AND(#REF!,"AAAAAHdng00=")</f>
        <v>#REF!</v>
      </c>
      <c r="CA159" t="e">
        <f>AND(#REF!,"AAAAAHdng04=")</f>
        <v>#REF!</v>
      </c>
      <c r="CB159" t="e">
        <f>AND(#REF!,"AAAAAHdng08=")</f>
        <v>#REF!</v>
      </c>
      <c r="CC159" t="e">
        <f>AND(#REF!,"AAAAAHdng1A=")</f>
        <v>#REF!</v>
      </c>
      <c r="CD159" t="e">
        <f>AND(#REF!,"AAAAAHdng1E=")</f>
        <v>#REF!</v>
      </c>
      <c r="CE159" t="e">
        <f>AND(#REF!,"AAAAAHdng1I=")</f>
        <v>#REF!</v>
      </c>
      <c r="CF159" t="e">
        <f>AND(#REF!,"AAAAAHdng1M=")</f>
        <v>#REF!</v>
      </c>
      <c r="CG159" t="e">
        <f>AND(#REF!,"AAAAAHdng1Q=")</f>
        <v>#REF!</v>
      </c>
      <c r="CH159" t="e">
        <f>AND(#REF!,"AAAAAHdng1U=")</f>
        <v>#REF!</v>
      </c>
      <c r="CI159" t="e">
        <f>AND(#REF!,"AAAAAHdng1Y=")</f>
        <v>#REF!</v>
      </c>
      <c r="CJ159" t="e">
        <f>AND(#REF!,"AAAAAHdng1c=")</f>
        <v>#REF!</v>
      </c>
      <c r="CK159" t="e">
        <f>AND(#REF!,"AAAAAHdng1g=")</f>
        <v>#REF!</v>
      </c>
      <c r="CL159" t="e">
        <f>AND(#REF!,"AAAAAHdng1k=")</f>
        <v>#REF!</v>
      </c>
      <c r="CM159" t="e">
        <f>AND(#REF!,"AAAAAHdng1o=")</f>
        <v>#REF!</v>
      </c>
      <c r="CN159" t="e">
        <f>AND(#REF!,"AAAAAHdng1s=")</f>
        <v>#REF!</v>
      </c>
      <c r="CO159" t="e">
        <f>AND(#REF!,"AAAAAHdng1w=")</f>
        <v>#REF!</v>
      </c>
      <c r="CP159" t="e">
        <f>AND(#REF!,"AAAAAHdng10=")</f>
        <v>#REF!</v>
      </c>
      <c r="CQ159" t="e">
        <f>AND(#REF!,"AAAAAHdng14=")</f>
        <v>#REF!</v>
      </c>
      <c r="CR159" t="e">
        <f>AND(#REF!,"AAAAAHdng18=")</f>
        <v>#REF!</v>
      </c>
      <c r="CS159" t="e">
        <f>AND(#REF!,"AAAAAHdng2A=")</f>
        <v>#REF!</v>
      </c>
      <c r="CT159" t="e">
        <f>AND(#REF!,"AAAAAHdng2E=")</f>
        <v>#REF!</v>
      </c>
      <c r="CU159" t="e">
        <f>AND(#REF!,"AAAAAHdng2I=")</f>
        <v>#REF!</v>
      </c>
      <c r="CV159" t="e">
        <f>AND(#REF!,"AAAAAHdng2M=")</f>
        <v>#REF!</v>
      </c>
      <c r="CW159" t="e">
        <f>AND(#REF!,"AAAAAHdng2Q=")</f>
        <v>#REF!</v>
      </c>
      <c r="CX159" t="e">
        <f>IF(#REF!,"AAAAAHdng2U=",0)</f>
        <v>#REF!</v>
      </c>
      <c r="CY159" t="e">
        <f>AND(#REF!,"AAAAAHdng2Y=")</f>
        <v>#REF!</v>
      </c>
      <c r="CZ159" t="e">
        <f>AND(#REF!,"AAAAAHdng2c=")</f>
        <v>#REF!</v>
      </c>
      <c r="DA159" t="e">
        <f>AND(#REF!,"AAAAAHdng2g=")</f>
        <v>#REF!</v>
      </c>
      <c r="DB159" t="e">
        <f>AND(#REF!,"AAAAAHdng2k=")</f>
        <v>#REF!</v>
      </c>
      <c r="DC159" t="e">
        <f>AND(#REF!,"AAAAAHdng2o=")</f>
        <v>#REF!</v>
      </c>
      <c r="DD159" t="e">
        <f>AND(#REF!,"AAAAAHdng2s=")</f>
        <v>#REF!</v>
      </c>
      <c r="DE159" t="e">
        <f>AND(#REF!,"AAAAAHdng2w=")</f>
        <v>#REF!</v>
      </c>
      <c r="DF159" t="e">
        <f>AND(#REF!,"AAAAAHdng20=")</f>
        <v>#REF!</v>
      </c>
      <c r="DG159" t="e">
        <f>AND(#REF!,"AAAAAHdng24=")</f>
        <v>#REF!</v>
      </c>
      <c r="DH159" t="e">
        <f>AND(#REF!,"AAAAAHdng28=")</f>
        <v>#REF!</v>
      </c>
      <c r="DI159" t="e">
        <f>AND(#REF!,"AAAAAHdng3A=")</f>
        <v>#REF!</v>
      </c>
      <c r="DJ159" t="e">
        <f>AND(#REF!,"AAAAAHdng3E=")</f>
        <v>#REF!</v>
      </c>
      <c r="DK159" t="e">
        <f>AND(#REF!,"AAAAAHdng3I=")</f>
        <v>#REF!</v>
      </c>
      <c r="DL159" t="e">
        <f>AND(#REF!,"AAAAAHdng3M=")</f>
        <v>#REF!</v>
      </c>
      <c r="DM159" t="e">
        <f>AND(#REF!,"AAAAAHdng3Q=")</f>
        <v>#REF!</v>
      </c>
      <c r="DN159" t="e">
        <f>AND(#REF!,"AAAAAHdng3U=")</f>
        <v>#REF!</v>
      </c>
      <c r="DO159" t="e">
        <f>AND(#REF!,"AAAAAHdng3Y=")</f>
        <v>#REF!</v>
      </c>
      <c r="DP159" t="e">
        <f>AND(#REF!,"AAAAAHdng3c=")</f>
        <v>#REF!</v>
      </c>
      <c r="DQ159" t="e">
        <f>AND(#REF!,"AAAAAHdng3g=")</f>
        <v>#REF!</v>
      </c>
      <c r="DR159" t="e">
        <f>AND(#REF!,"AAAAAHdng3k=")</f>
        <v>#REF!</v>
      </c>
      <c r="DS159" t="e">
        <f>AND(#REF!,"AAAAAHdng3o=")</f>
        <v>#REF!</v>
      </c>
      <c r="DT159" t="e">
        <f>AND(#REF!,"AAAAAHdng3s=")</f>
        <v>#REF!</v>
      </c>
      <c r="DU159" t="e">
        <f>AND(#REF!,"AAAAAHdng3w=")</f>
        <v>#REF!</v>
      </c>
      <c r="DV159" t="e">
        <f>AND(#REF!,"AAAAAHdng30=")</f>
        <v>#REF!</v>
      </c>
      <c r="DW159" t="e">
        <f>AND(#REF!,"AAAAAHdng34=")</f>
        <v>#REF!</v>
      </c>
      <c r="DX159" t="e">
        <f>AND(#REF!,"AAAAAHdng38=")</f>
        <v>#REF!</v>
      </c>
      <c r="DY159" t="e">
        <f>AND(#REF!,"AAAAAHdng4A=")</f>
        <v>#REF!</v>
      </c>
      <c r="DZ159" t="e">
        <f>AND(#REF!,"AAAAAHdng4E=")</f>
        <v>#REF!</v>
      </c>
      <c r="EA159" t="e">
        <f>AND(#REF!,"AAAAAHdng4I=")</f>
        <v>#REF!</v>
      </c>
      <c r="EB159" t="e">
        <f>AND(#REF!,"AAAAAHdng4M=")</f>
        <v>#REF!</v>
      </c>
      <c r="EC159" t="e">
        <f>IF(#REF!,"AAAAAHdng4Q=",0)</f>
        <v>#REF!</v>
      </c>
      <c r="ED159" t="e">
        <f>AND(#REF!,"AAAAAHdng4U=")</f>
        <v>#REF!</v>
      </c>
      <c r="EE159" t="e">
        <f>AND(#REF!,"AAAAAHdng4Y=")</f>
        <v>#REF!</v>
      </c>
      <c r="EF159" t="e">
        <f>AND(#REF!,"AAAAAHdng4c=")</f>
        <v>#REF!</v>
      </c>
      <c r="EG159" t="e">
        <f>AND(#REF!,"AAAAAHdng4g=")</f>
        <v>#REF!</v>
      </c>
      <c r="EH159" t="e">
        <f>AND(#REF!,"AAAAAHdng4k=")</f>
        <v>#REF!</v>
      </c>
      <c r="EI159" t="e">
        <f>AND(#REF!,"AAAAAHdng4o=")</f>
        <v>#REF!</v>
      </c>
      <c r="EJ159" t="e">
        <f>AND(#REF!,"AAAAAHdng4s=")</f>
        <v>#REF!</v>
      </c>
      <c r="EK159" t="e">
        <f>AND(#REF!,"AAAAAHdng4w=")</f>
        <v>#REF!</v>
      </c>
      <c r="EL159" t="e">
        <f>AND(#REF!,"AAAAAHdng40=")</f>
        <v>#REF!</v>
      </c>
      <c r="EM159" t="e">
        <f>AND(#REF!,"AAAAAHdng44=")</f>
        <v>#REF!</v>
      </c>
      <c r="EN159" t="e">
        <f>AND(#REF!,"AAAAAHdng48=")</f>
        <v>#REF!</v>
      </c>
      <c r="EO159" t="e">
        <f>AND(#REF!,"AAAAAHdng5A=")</f>
        <v>#REF!</v>
      </c>
      <c r="EP159" t="e">
        <f>AND(#REF!,"AAAAAHdng5E=")</f>
        <v>#REF!</v>
      </c>
      <c r="EQ159" t="e">
        <f>AND(#REF!,"AAAAAHdng5I=")</f>
        <v>#REF!</v>
      </c>
      <c r="ER159" t="e">
        <f>AND(#REF!,"AAAAAHdng5M=")</f>
        <v>#REF!</v>
      </c>
      <c r="ES159" t="e">
        <f>AND(#REF!,"AAAAAHdng5Q=")</f>
        <v>#REF!</v>
      </c>
      <c r="ET159" t="e">
        <f>AND(#REF!,"AAAAAHdng5U=")</f>
        <v>#REF!</v>
      </c>
      <c r="EU159" t="e">
        <f>AND(#REF!,"AAAAAHdng5Y=")</f>
        <v>#REF!</v>
      </c>
      <c r="EV159" t="e">
        <f>AND(#REF!,"AAAAAHdng5c=")</f>
        <v>#REF!</v>
      </c>
      <c r="EW159" t="e">
        <f>AND(#REF!,"AAAAAHdng5g=")</f>
        <v>#REF!</v>
      </c>
      <c r="EX159" t="e">
        <f>AND(#REF!,"AAAAAHdng5k=")</f>
        <v>#REF!</v>
      </c>
      <c r="EY159" t="e">
        <f>AND(#REF!,"AAAAAHdng5o=")</f>
        <v>#REF!</v>
      </c>
      <c r="EZ159" t="e">
        <f>AND(#REF!,"AAAAAHdng5s=")</f>
        <v>#REF!</v>
      </c>
      <c r="FA159" t="e">
        <f>AND(#REF!,"AAAAAHdng5w=")</f>
        <v>#REF!</v>
      </c>
      <c r="FB159" t="e">
        <f>AND(#REF!,"AAAAAHdng50=")</f>
        <v>#REF!</v>
      </c>
      <c r="FC159" t="e">
        <f>AND(#REF!,"AAAAAHdng54=")</f>
        <v>#REF!</v>
      </c>
      <c r="FD159" t="e">
        <f>AND(#REF!,"AAAAAHdng58=")</f>
        <v>#REF!</v>
      </c>
      <c r="FE159" t="e">
        <f>AND(#REF!,"AAAAAHdng6A=")</f>
        <v>#REF!</v>
      </c>
      <c r="FF159" t="e">
        <f>AND(#REF!,"AAAAAHdng6E=")</f>
        <v>#REF!</v>
      </c>
      <c r="FG159" t="e">
        <f>AND(#REF!,"AAAAAHdng6I=")</f>
        <v>#REF!</v>
      </c>
      <c r="FH159" t="e">
        <f>IF(#REF!,"AAAAAHdng6M=",0)</f>
        <v>#REF!</v>
      </c>
      <c r="FI159" t="e">
        <f>AND(#REF!,"AAAAAHdng6Q=")</f>
        <v>#REF!</v>
      </c>
      <c r="FJ159" t="e">
        <f>AND(#REF!,"AAAAAHdng6U=")</f>
        <v>#REF!</v>
      </c>
      <c r="FK159" t="e">
        <f>AND(#REF!,"AAAAAHdng6Y=")</f>
        <v>#REF!</v>
      </c>
      <c r="FL159" t="e">
        <f>AND(#REF!,"AAAAAHdng6c=")</f>
        <v>#REF!</v>
      </c>
      <c r="FM159" t="e">
        <f>AND(#REF!,"AAAAAHdng6g=")</f>
        <v>#REF!</v>
      </c>
      <c r="FN159" t="e">
        <f>AND(#REF!,"AAAAAHdng6k=")</f>
        <v>#REF!</v>
      </c>
      <c r="FO159" t="e">
        <f>AND(#REF!,"AAAAAHdng6o=")</f>
        <v>#REF!</v>
      </c>
      <c r="FP159" t="e">
        <f>AND(#REF!,"AAAAAHdng6s=")</f>
        <v>#REF!</v>
      </c>
      <c r="FQ159" t="e">
        <f>AND(#REF!,"AAAAAHdng6w=")</f>
        <v>#REF!</v>
      </c>
      <c r="FR159" t="e">
        <f>AND(#REF!,"AAAAAHdng60=")</f>
        <v>#REF!</v>
      </c>
      <c r="FS159" t="e">
        <f>AND(#REF!,"AAAAAHdng64=")</f>
        <v>#REF!</v>
      </c>
      <c r="FT159" t="e">
        <f>AND(#REF!,"AAAAAHdng68=")</f>
        <v>#REF!</v>
      </c>
      <c r="FU159" t="e">
        <f>AND(#REF!,"AAAAAHdng7A=")</f>
        <v>#REF!</v>
      </c>
      <c r="FV159" t="e">
        <f>AND(#REF!,"AAAAAHdng7E=")</f>
        <v>#REF!</v>
      </c>
      <c r="FW159" t="e">
        <f>AND(#REF!,"AAAAAHdng7I=")</f>
        <v>#REF!</v>
      </c>
      <c r="FX159" t="e">
        <f>AND(#REF!,"AAAAAHdng7M=")</f>
        <v>#REF!</v>
      </c>
      <c r="FY159" t="e">
        <f>AND(#REF!,"AAAAAHdng7Q=")</f>
        <v>#REF!</v>
      </c>
      <c r="FZ159" t="e">
        <f>AND(#REF!,"AAAAAHdng7U=")</f>
        <v>#REF!</v>
      </c>
      <c r="GA159" t="e">
        <f>AND(#REF!,"AAAAAHdng7Y=")</f>
        <v>#REF!</v>
      </c>
      <c r="GB159" t="e">
        <f>AND(#REF!,"AAAAAHdng7c=")</f>
        <v>#REF!</v>
      </c>
      <c r="GC159" t="e">
        <f>AND(#REF!,"AAAAAHdng7g=")</f>
        <v>#REF!</v>
      </c>
      <c r="GD159" t="e">
        <f>AND(#REF!,"AAAAAHdng7k=")</f>
        <v>#REF!</v>
      </c>
      <c r="GE159" t="e">
        <f>AND(#REF!,"AAAAAHdng7o=")</f>
        <v>#REF!</v>
      </c>
      <c r="GF159" t="e">
        <f>AND(#REF!,"AAAAAHdng7s=")</f>
        <v>#REF!</v>
      </c>
      <c r="GG159" t="e">
        <f>AND(#REF!,"AAAAAHdng7w=")</f>
        <v>#REF!</v>
      </c>
      <c r="GH159" t="e">
        <f>AND(#REF!,"AAAAAHdng70=")</f>
        <v>#REF!</v>
      </c>
      <c r="GI159" t="e">
        <f>AND(#REF!,"AAAAAHdng74=")</f>
        <v>#REF!</v>
      </c>
      <c r="GJ159" t="e">
        <f>AND(#REF!,"AAAAAHdng78=")</f>
        <v>#REF!</v>
      </c>
      <c r="GK159" t="e">
        <f>AND(#REF!,"AAAAAHdng8A=")</f>
        <v>#REF!</v>
      </c>
      <c r="GL159" t="e">
        <f>AND(#REF!,"AAAAAHdng8E=")</f>
        <v>#REF!</v>
      </c>
      <c r="GM159" t="e">
        <f>IF(#REF!,"AAAAAHdng8I=",0)</f>
        <v>#REF!</v>
      </c>
      <c r="GN159" t="e">
        <f>AND(#REF!,"AAAAAHdng8M=")</f>
        <v>#REF!</v>
      </c>
      <c r="GO159" t="e">
        <f>AND(#REF!,"AAAAAHdng8Q=")</f>
        <v>#REF!</v>
      </c>
      <c r="GP159" t="e">
        <f>AND(#REF!,"AAAAAHdng8U=")</f>
        <v>#REF!</v>
      </c>
      <c r="GQ159" t="e">
        <f>AND(#REF!,"AAAAAHdng8Y=")</f>
        <v>#REF!</v>
      </c>
      <c r="GR159" t="e">
        <f>AND(#REF!,"AAAAAHdng8c=")</f>
        <v>#REF!</v>
      </c>
      <c r="GS159" t="e">
        <f>AND(#REF!,"AAAAAHdng8g=")</f>
        <v>#REF!</v>
      </c>
      <c r="GT159" t="e">
        <f>AND(#REF!,"AAAAAHdng8k=")</f>
        <v>#REF!</v>
      </c>
      <c r="GU159" t="e">
        <f>AND(#REF!,"AAAAAHdng8o=")</f>
        <v>#REF!</v>
      </c>
      <c r="GV159" t="e">
        <f>AND(#REF!,"AAAAAHdng8s=")</f>
        <v>#REF!</v>
      </c>
      <c r="GW159" t="e">
        <f>AND(#REF!,"AAAAAHdng8w=")</f>
        <v>#REF!</v>
      </c>
      <c r="GX159" t="e">
        <f>AND(#REF!,"AAAAAHdng80=")</f>
        <v>#REF!</v>
      </c>
      <c r="GY159" t="e">
        <f>AND(#REF!,"AAAAAHdng84=")</f>
        <v>#REF!</v>
      </c>
      <c r="GZ159" t="e">
        <f>AND(#REF!,"AAAAAHdng88=")</f>
        <v>#REF!</v>
      </c>
      <c r="HA159" t="e">
        <f>AND(#REF!,"AAAAAHdng9A=")</f>
        <v>#REF!</v>
      </c>
      <c r="HB159" t="e">
        <f>AND(#REF!,"AAAAAHdng9E=")</f>
        <v>#REF!</v>
      </c>
      <c r="HC159" t="e">
        <f>AND(#REF!,"AAAAAHdng9I=")</f>
        <v>#REF!</v>
      </c>
      <c r="HD159" t="e">
        <f>AND(#REF!,"AAAAAHdng9M=")</f>
        <v>#REF!</v>
      </c>
      <c r="HE159" t="e">
        <f>AND(#REF!,"AAAAAHdng9Q=")</f>
        <v>#REF!</v>
      </c>
      <c r="HF159" t="e">
        <f>AND(#REF!,"AAAAAHdng9U=")</f>
        <v>#REF!</v>
      </c>
      <c r="HG159" t="e">
        <f>AND(#REF!,"AAAAAHdng9Y=")</f>
        <v>#REF!</v>
      </c>
      <c r="HH159" t="e">
        <f>AND(#REF!,"AAAAAHdng9c=")</f>
        <v>#REF!</v>
      </c>
      <c r="HI159" t="e">
        <f>AND(#REF!,"AAAAAHdng9g=")</f>
        <v>#REF!</v>
      </c>
      <c r="HJ159" t="e">
        <f>AND(#REF!,"AAAAAHdng9k=")</f>
        <v>#REF!</v>
      </c>
      <c r="HK159" t="e">
        <f>AND(#REF!,"AAAAAHdng9o=")</f>
        <v>#REF!</v>
      </c>
      <c r="HL159" t="e">
        <f>AND(#REF!,"AAAAAHdng9s=")</f>
        <v>#REF!</v>
      </c>
      <c r="HM159" t="e">
        <f>AND(#REF!,"AAAAAHdng9w=")</f>
        <v>#REF!</v>
      </c>
      <c r="HN159" t="e">
        <f>AND(#REF!,"AAAAAHdng90=")</f>
        <v>#REF!</v>
      </c>
      <c r="HO159" t="e">
        <f>AND(#REF!,"AAAAAHdng94=")</f>
        <v>#REF!</v>
      </c>
      <c r="HP159" t="e">
        <f>AND(#REF!,"AAAAAHdng98=")</f>
        <v>#REF!</v>
      </c>
      <c r="HQ159" t="e">
        <f>AND(#REF!,"AAAAAHdng+A=")</f>
        <v>#REF!</v>
      </c>
      <c r="HR159" t="e">
        <f>IF(#REF!,"AAAAAHdng+E=",0)</f>
        <v>#REF!</v>
      </c>
      <c r="HS159" t="e">
        <f>AND(#REF!,"AAAAAHdng+I=")</f>
        <v>#REF!</v>
      </c>
      <c r="HT159" t="e">
        <f>AND(#REF!,"AAAAAHdng+M=")</f>
        <v>#REF!</v>
      </c>
      <c r="HU159" t="e">
        <f>AND(#REF!,"AAAAAHdng+Q=")</f>
        <v>#REF!</v>
      </c>
      <c r="HV159" t="e">
        <f>AND(#REF!,"AAAAAHdng+U=")</f>
        <v>#REF!</v>
      </c>
      <c r="HW159" t="e">
        <f>AND(#REF!,"AAAAAHdng+Y=")</f>
        <v>#REF!</v>
      </c>
      <c r="HX159" t="e">
        <f>AND(#REF!,"AAAAAHdng+c=")</f>
        <v>#REF!</v>
      </c>
      <c r="HY159" t="e">
        <f>AND(#REF!,"AAAAAHdng+g=")</f>
        <v>#REF!</v>
      </c>
      <c r="HZ159" t="e">
        <f>AND(#REF!,"AAAAAHdng+k=")</f>
        <v>#REF!</v>
      </c>
      <c r="IA159" t="e">
        <f>AND(#REF!,"AAAAAHdng+o=")</f>
        <v>#REF!</v>
      </c>
      <c r="IB159" t="e">
        <f>AND(#REF!,"AAAAAHdng+s=")</f>
        <v>#REF!</v>
      </c>
      <c r="IC159" t="e">
        <f>AND(#REF!,"AAAAAHdng+w=")</f>
        <v>#REF!</v>
      </c>
      <c r="ID159" t="e">
        <f>AND(#REF!,"AAAAAHdng+0=")</f>
        <v>#REF!</v>
      </c>
      <c r="IE159" t="e">
        <f>AND(#REF!,"AAAAAHdng+4=")</f>
        <v>#REF!</v>
      </c>
      <c r="IF159" t="e">
        <f>AND(#REF!,"AAAAAHdng+8=")</f>
        <v>#REF!</v>
      </c>
      <c r="IG159" t="e">
        <f>AND(#REF!,"AAAAAHdng/A=")</f>
        <v>#REF!</v>
      </c>
      <c r="IH159" t="e">
        <f>AND(#REF!,"AAAAAHdng/E=")</f>
        <v>#REF!</v>
      </c>
      <c r="II159" t="e">
        <f>AND(#REF!,"AAAAAHdng/I=")</f>
        <v>#REF!</v>
      </c>
      <c r="IJ159" t="e">
        <f>AND(#REF!,"AAAAAHdng/M=")</f>
        <v>#REF!</v>
      </c>
      <c r="IK159" t="e">
        <f>AND(#REF!,"AAAAAHdng/Q=")</f>
        <v>#REF!</v>
      </c>
      <c r="IL159" t="e">
        <f>AND(#REF!,"AAAAAHdng/U=")</f>
        <v>#REF!</v>
      </c>
      <c r="IM159" t="e">
        <f>AND(#REF!,"AAAAAHdng/Y=")</f>
        <v>#REF!</v>
      </c>
      <c r="IN159" t="e">
        <f>AND(#REF!,"AAAAAHdng/c=")</f>
        <v>#REF!</v>
      </c>
      <c r="IO159" t="e">
        <f>AND(#REF!,"AAAAAHdng/g=")</f>
        <v>#REF!</v>
      </c>
      <c r="IP159" t="e">
        <f>AND(#REF!,"AAAAAHdng/k=")</f>
        <v>#REF!</v>
      </c>
      <c r="IQ159" t="e">
        <f>AND(#REF!,"AAAAAHdng/o=")</f>
        <v>#REF!</v>
      </c>
      <c r="IR159" t="e">
        <f>AND(#REF!,"AAAAAHdng/s=")</f>
        <v>#REF!</v>
      </c>
      <c r="IS159" t="e">
        <f>AND(#REF!,"AAAAAHdng/w=")</f>
        <v>#REF!</v>
      </c>
      <c r="IT159" t="e">
        <f>AND(#REF!,"AAAAAHdng/0=")</f>
        <v>#REF!</v>
      </c>
      <c r="IU159" t="e">
        <f>AND(#REF!,"AAAAAHdng/4=")</f>
        <v>#REF!</v>
      </c>
      <c r="IV159" t="e">
        <f>AND(#REF!,"AAAAAHdng/8=")</f>
        <v>#REF!</v>
      </c>
    </row>
    <row r="160" spans="1:256" x14ac:dyDescent="0.2">
      <c r="A160" t="e">
        <f>IF(#REF!,"AAAAAFPvvwA=",0)</f>
        <v>#REF!</v>
      </c>
      <c r="B160" t="e">
        <f>AND(#REF!,"AAAAAFPvvwE=")</f>
        <v>#REF!</v>
      </c>
      <c r="C160" t="e">
        <f>AND(#REF!,"AAAAAFPvvwI=")</f>
        <v>#REF!</v>
      </c>
      <c r="D160" t="e">
        <f>AND(#REF!,"AAAAAFPvvwM=")</f>
        <v>#REF!</v>
      </c>
      <c r="E160" t="e">
        <f>AND(#REF!,"AAAAAFPvvwQ=")</f>
        <v>#REF!</v>
      </c>
      <c r="F160" t="e">
        <f>AND(#REF!,"AAAAAFPvvwU=")</f>
        <v>#REF!</v>
      </c>
      <c r="G160" t="e">
        <f>AND(#REF!,"AAAAAFPvvwY=")</f>
        <v>#REF!</v>
      </c>
      <c r="H160" t="e">
        <f>AND(#REF!,"AAAAAFPvvwc=")</f>
        <v>#REF!</v>
      </c>
      <c r="I160" t="e">
        <f>AND(#REF!,"AAAAAFPvvwg=")</f>
        <v>#REF!</v>
      </c>
      <c r="J160" t="e">
        <f>AND(#REF!,"AAAAAFPvvwk=")</f>
        <v>#REF!</v>
      </c>
      <c r="K160" t="e">
        <f>AND(#REF!,"AAAAAFPvvwo=")</f>
        <v>#REF!</v>
      </c>
      <c r="L160" t="e">
        <f>AND(#REF!,"AAAAAFPvvws=")</f>
        <v>#REF!</v>
      </c>
      <c r="M160" t="e">
        <f>AND(#REF!,"AAAAAFPvvww=")</f>
        <v>#REF!</v>
      </c>
      <c r="N160" t="e">
        <f>AND(#REF!,"AAAAAFPvvw0=")</f>
        <v>#REF!</v>
      </c>
      <c r="O160" t="e">
        <f>AND(#REF!,"AAAAAFPvvw4=")</f>
        <v>#REF!</v>
      </c>
      <c r="P160" t="e">
        <f>AND(#REF!,"AAAAAFPvvw8=")</f>
        <v>#REF!</v>
      </c>
      <c r="Q160" t="e">
        <f>AND(#REF!,"AAAAAFPvvxA=")</f>
        <v>#REF!</v>
      </c>
      <c r="R160" t="e">
        <f>AND(#REF!,"AAAAAFPvvxE=")</f>
        <v>#REF!</v>
      </c>
      <c r="S160" t="e">
        <f>AND(#REF!,"AAAAAFPvvxI=")</f>
        <v>#REF!</v>
      </c>
      <c r="T160" t="e">
        <f>AND(#REF!,"AAAAAFPvvxM=")</f>
        <v>#REF!</v>
      </c>
      <c r="U160" t="e">
        <f>AND(#REF!,"AAAAAFPvvxQ=")</f>
        <v>#REF!</v>
      </c>
      <c r="V160" t="e">
        <f>AND(#REF!,"AAAAAFPvvxU=")</f>
        <v>#REF!</v>
      </c>
      <c r="W160" t="e">
        <f>AND(#REF!,"AAAAAFPvvxY=")</f>
        <v>#REF!</v>
      </c>
      <c r="X160" t="e">
        <f>AND(#REF!,"AAAAAFPvvxc=")</f>
        <v>#REF!</v>
      </c>
      <c r="Y160" t="e">
        <f>AND(#REF!,"AAAAAFPvvxg=")</f>
        <v>#REF!</v>
      </c>
      <c r="Z160" t="e">
        <f>AND(#REF!,"AAAAAFPvvxk=")</f>
        <v>#REF!</v>
      </c>
      <c r="AA160" t="e">
        <f>AND(#REF!,"AAAAAFPvvxo=")</f>
        <v>#REF!</v>
      </c>
      <c r="AB160" t="e">
        <f>AND(#REF!,"AAAAAFPvvxs=")</f>
        <v>#REF!</v>
      </c>
      <c r="AC160" t="e">
        <f>AND(#REF!,"AAAAAFPvvxw=")</f>
        <v>#REF!</v>
      </c>
      <c r="AD160" t="e">
        <f>AND(#REF!,"AAAAAFPvvx0=")</f>
        <v>#REF!</v>
      </c>
      <c r="AE160" t="e">
        <f>AND(#REF!,"AAAAAFPvvx4=")</f>
        <v>#REF!</v>
      </c>
      <c r="AF160" t="e">
        <f>IF(#REF!,"AAAAAFPvvx8=",0)</f>
        <v>#REF!</v>
      </c>
      <c r="AG160" t="e">
        <f>AND(#REF!,"AAAAAFPvvyA=")</f>
        <v>#REF!</v>
      </c>
      <c r="AH160" t="e">
        <f>AND(#REF!,"AAAAAFPvvyE=")</f>
        <v>#REF!</v>
      </c>
      <c r="AI160" t="e">
        <f>AND(#REF!,"AAAAAFPvvyI=")</f>
        <v>#REF!</v>
      </c>
      <c r="AJ160" t="e">
        <f>AND(#REF!,"AAAAAFPvvyM=")</f>
        <v>#REF!</v>
      </c>
      <c r="AK160" t="e">
        <f>AND(#REF!,"AAAAAFPvvyQ=")</f>
        <v>#REF!</v>
      </c>
      <c r="AL160" t="e">
        <f>AND(#REF!,"AAAAAFPvvyU=")</f>
        <v>#REF!</v>
      </c>
      <c r="AM160" t="e">
        <f>AND(#REF!,"AAAAAFPvvyY=")</f>
        <v>#REF!</v>
      </c>
      <c r="AN160" t="e">
        <f>AND(#REF!,"AAAAAFPvvyc=")</f>
        <v>#REF!</v>
      </c>
      <c r="AO160" t="e">
        <f>AND(#REF!,"AAAAAFPvvyg=")</f>
        <v>#REF!</v>
      </c>
      <c r="AP160" t="e">
        <f>AND(#REF!,"AAAAAFPvvyk=")</f>
        <v>#REF!</v>
      </c>
      <c r="AQ160" t="e">
        <f>AND(#REF!,"AAAAAFPvvyo=")</f>
        <v>#REF!</v>
      </c>
      <c r="AR160" t="e">
        <f>AND(#REF!,"AAAAAFPvvys=")</f>
        <v>#REF!</v>
      </c>
      <c r="AS160" t="e">
        <f>AND(#REF!,"AAAAAFPvvyw=")</f>
        <v>#REF!</v>
      </c>
      <c r="AT160" t="e">
        <f>AND(#REF!,"AAAAAFPvvy0=")</f>
        <v>#REF!</v>
      </c>
      <c r="AU160" t="e">
        <f>AND(#REF!,"AAAAAFPvvy4=")</f>
        <v>#REF!</v>
      </c>
      <c r="AV160" t="e">
        <f>AND(#REF!,"AAAAAFPvvy8=")</f>
        <v>#REF!</v>
      </c>
      <c r="AW160" t="e">
        <f>AND(#REF!,"AAAAAFPvvzA=")</f>
        <v>#REF!</v>
      </c>
      <c r="AX160" t="e">
        <f>AND(#REF!,"AAAAAFPvvzE=")</f>
        <v>#REF!</v>
      </c>
      <c r="AY160" t="e">
        <f>AND(#REF!,"AAAAAFPvvzI=")</f>
        <v>#REF!</v>
      </c>
      <c r="AZ160" t="e">
        <f>AND(#REF!,"AAAAAFPvvzM=")</f>
        <v>#REF!</v>
      </c>
      <c r="BA160" t="e">
        <f>AND(#REF!,"AAAAAFPvvzQ=")</f>
        <v>#REF!</v>
      </c>
      <c r="BB160" t="e">
        <f>AND(#REF!,"AAAAAFPvvzU=")</f>
        <v>#REF!</v>
      </c>
      <c r="BC160" t="e">
        <f>AND(#REF!,"AAAAAFPvvzY=")</f>
        <v>#REF!</v>
      </c>
      <c r="BD160" t="e">
        <f>AND(#REF!,"AAAAAFPvvzc=")</f>
        <v>#REF!</v>
      </c>
      <c r="BE160" t="e">
        <f>AND(#REF!,"AAAAAFPvvzg=")</f>
        <v>#REF!</v>
      </c>
      <c r="BF160" t="e">
        <f>AND(#REF!,"AAAAAFPvvzk=")</f>
        <v>#REF!</v>
      </c>
      <c r="BG160" t="e">
        <f>AND(#REF!,"AAAAAFPvvzo=")</f>
        <v>#REF!</v>
      </c>
      <c r="BH160" t="e">
        <f>AND(#REF!,"AAAAAFPvvzs=")</f>
        <v>#REF!</v>
      </c>
      <c r="BI160" t="e">
        <f>AND(#REF!,"AAAAAFPvvzw=")</f>
        <v>#REF!</v>
      </c>
      <c r="BJ160" t="e">
        <f>AND(#REF!,"AAAAAFPvvz0=")</f>
        <v>#REF!</v>
      </c>
      <c r="BK160" t="e">
        <f>IF(#REF!,"AAAAAFPvvz4=",0)</f>
        <v>#REF!</v>
      </c>
      <c r="BL160" t="e">
        <f>AND(#REF!,"AAAAAFPvvz8=")</f>
        <v>#REF!</v>
      </c>
      <c r="BM160" t="e">
        <f>AND(#REF!,"AAAAAFPvv0A=")</f>
        <v>#REF!</v>
      </c>
      <c r="BN160" t="e">
        <f>AND(#REF!,"AAAAAFPvv0E=")</f>
        <v>#REF!</v>
      </c>
      <c r="BO160" t="e">
        <f>AND(#REF!,"AAAAAFPvv0I=")</f>
        <v>#REF!</v>
      </c>
      <c r="BP160" t="e">
        <f>AND(#REF!,"AAAAAFPvv0M=")</f>
        <v>#REF!</v>
      </c>
      <c r="BQ160" t="e">
        <f>AND(#REF!,"AAAAAFPvv0Q=")</f>
        <v>#REF!</v>
      </c>
      <c r="BR160" t="e">
        <f>AND(#REF!,"AAAAAFPvv0U=")</f>
        <v>#REF!</v>
      </c>
      <c r="BS160" t="e">
        <f>AND(#REF!,"AAAAAFPvv0Y=")</f>
        <v>#REF!</v>
      </c>
      <c r="BT160" t="e">
        <f>AND(#REF!,"AAAAAFPvv0c=")</f>
        <v>#REF!</v>
      </c>
      <c r="BU160" t="e">
        <f>AND(#REF!,"AAAAAFPvv0g=")</f>
        <v>#REF!</v>
      </c>
      <c r="BV160" t="e">
        <f>AND(#REF!,"AAAAAFPvv0k=")</f>
        <v>#REF!</v>
      </c>
      <c r="BW160" t="e">
        <f>AND(#REF!,"AAAAAFPvv0o=")</f>
        <v>#REF!</v>
      </c>
      <c r="BX160" t="e">
        <f>AND(#REF!,"AAAAAFPvv0s=")</f>
        <v>#REF!</v>
      </c>
      <c r="BY160" t="e">
        <f>AND(#REF!,"AAAAAFPvv0w=")</f>
        <v>#REF!</v>
      </c>
      <c r="BZ160" t="e">
        <f>AND(#REF!,"AAAAAFPvv00=")</f>
        <v>#REF!</v>
      </c>
      <c r="CA160" t="e">
        <f>AND(#REF!,"AAAAAFPvv04=")</f>
        <v>#REF!</v>
      </c>
      <c r="CB160" t="e">
        <f>AND(#REF!,"AAAAAFPvv08=")</f>
        <v>#REF!</v>
      </c>
      <c r="CC160" t="e">
        <f>AND(#REF!,"AAAAAFPvv1A=")</f>
        <v>#REF!</v>
      </c>
      <c r="CD160" t="e">
        <f>AND(#REF!,"AAAAAFPvv1E=")</f>
        <v>#REF!</v>
      </c>
      <c r="CE160" t="e">
        <f>AND(#REF!,"AAAAAFPvv1I=")</f>
        <v>#REF!</v>
      </c>
      <c r="CF160" t="e">
        <f>AND(#REF!,"AAAAAFPvv1M=")</f>
        <v>#REF!</v>
      </c>
      <c r="CG160" t="e">
        <f>AND(#REF!,"AAAAAFPvv1Q=")</f>
        <v>#REF!</v>
      </c>
      <c r="CH160" t="e">
        <f>AND(#REF!,"AAAAAFPvv1U=")</f>
        <v>#REF!</v>
      </c>
      <c r="CI160" t="e">
        <f>AND(#REF!,"AAAAAFPvv1Y=")</f>
        <v>#REF!</v>
      </c>
      <c r="CJ160" t="e">
        <f>AND(#REF!,"AAAAAFPvv1c=")</f>
        <v>#REF!</v>
      </c>
      <c r="CK160" t="e">
        <f>AND(#REF!,"AAAAAFPvv1g=")</f>
        <v>#REF!</v>
      </c>
      <c r="CL160" t="e">
        <f>AND(#REF!,"AAAAAFPvv1k=")</f>
        <v>#REF!</v>
      </c>
      <c r="CM160" t="e">
        <f>AND(#REF!,"AAAAAFPvv1o=")</f>
        <v>#REF!</v>
      </c>
      <c r="CN160" t="e">
        <f>AND(#REF!,"AAAAAFPvv1s=")</f>
        <v>#REF!</v>
      </c>
      <c r="CO160" t="e">
        <f>AND(#REF!,"AAAAAFPvv1w=")</f>
        <v>#REF!</v>
      </c>
      <c r="CP160" t="e">
        <f>IF(#REF!,"AAAAAFPvv10=",0)</f>
        <v>#REF!</v>
      </c>
      <c r="CQ160" t="e">
        <f>AND(#REF!,"AAAAAFPvv14=")</f>
        <v>#REF!</v>
      </c>
      <c r="CR160" t="e">
        <f>AND(#REF!,"AAAAAFPvv18=")</f>
        <v>#REF!</v>
      </c>
      <c r="CS160" t="e">
        <f>AND(#REF!,"AAAAAFPvv2A=")</f>
        <v>#REF!</v>
      </c>
      <c r="CT160" t="e">
        <f>AND(#REF!,"AAAAAFPvv2E=")</f>
        <v>#REF!</v>
      </c>
      <c r="CU160" t="e">
        <f>AND(#REF!,"AAAAAFPvv2I=")</f>
        <v>#REF!</v>
      </c>
      <c r="CV160" t="e">
        <f>AND(#REF!,"AAAAAFPvv2M=")</f>
        <v>#REF!</v>
      </c>
      <c r="CW160" t="e">
        <f>AND(#REF!,"AAAAAFPvv2Q=")</f>
        <v>#REF!</v>
      </c>
      <c r="CX160" t="e">
        <f>AND(#REF!,"AAAAAFPvv2U=")</f>
        <v>#REF!</v>
      </c>
      <c r="CY160" t="e">
        <f>AND(#REF!,"AAAAAFPvv2Y=")</f>
        <v>#REF!</v>
      </c>
      <c r="CZ160" t="e">
        <f>AND(#REF!,"AAAAAFPvv2c=")</f>
        <v>#REF!</v>
      </c>
      <c r="DA160" t="e">
        <f>AND(#REF!,"AAAAAFPvv2g=")</f>
        <v>#REF!</v>
      </c>
      <c r="DB160" t="e">
        <f>AND(#REF!,"AAAAAFPvv2k=")</f>
        <v>#REF!</v>
      </c>
      <c r="DC160" t="e">
        <f>AND(#REF!,"AAAAAFPvv2o=")</f>
        <v>#REF!</v>
      </c>
      <c r="DD160" t="e">
        <f>AND(#REF!,"AAAAAFPvv2s=")</f>
        <v>#REF!</v>
      </c>
      <c r="DE160" t="e">
        <f>AND(#REF!,"AAAAAFPvv2w=")</f>
        <v>#REF!</v>
      </c>
      <c r="DF160" t="e">
        <f>AND(#REF!,"AAAAAFPvv20=")</f>
        <v>#REF!</v>
      </c>
      <c r="DG160" t="e">
        <f>AND(#REF!,"AAAAAFPvv24=")</f>
        <v>#REF!</v>
      </c>
      <c r="DH160" t="e">
        <f>AND(#REF!,"AAAAAFPvv28=")</f>
        <v>#REF!</v>
      </c>
      <c r="DI160" t="e">
        <f>AND(#REF!,"AAAAAFPvv3A=")</f>
        <v>#REF!</v>
      </c>
      <c r="DJ160" t="e">
        <f>AND(#REF!,"AAAAAFPvv3E=")</f>
        <v>#REF!</v>
      </c>
      <c r="DK160" t="e">
        <f>AND(#REF!,"AAAAAFPvv3I=")</f>
        <v>#REF!</v>
      </c>
      <c r="DL160" t="e">
        <f>AND(#REF!,"AAAAAFPvv3M=")</f>
        <v>#REF!</v>
      </c>
      <c r="DM160" t="e">
        <f>AND(#REF!,"AAAAAFPvv3Q=")</f>
        <v>#REF!</v>
      </c>
      <c r="DN160" t="e">
        <f>AND(#REF!,"AAAAAFPvv3U=")</f>
        <v>#REF!</v>
      </c>
      <c r="DO160" t="e">
        <f>AND(#REF!,"AAAAAFPvv3Y=")</f>
        <v>#REF!</v>
      </c>
      <c r="DP160" t="e">
        <f>AND(#REF!,"AAAAAFPvv3c=")</f>
        <v>#REF!</v>
      </c>
      <c r="DQ160" t="e">
        <f>AND(#REF!,"AAAAAFPvv3g=")</f>
        <v>#REF!</v>
      </c>
      <c r="DR160" t="e">
        <f>AND(#REF!,"AAAAAFPvv3k=")</f>
        <v>#REF!</v>
      </c>
      <c r="DS160" t="e">
        <f>AND(#REF!,"AAAAAFPvv3o=")</f>
        <v>#REF!</v>
      </c>
      <c r="DT160" t="e">
        <f>AND(#REF!,"AAAAAFPvv3s=")</f>
        <v>#REF!</v>
      </c>
      <c r="DU160" t="e">
        <f>IF(#REF!,"AAAAAFPvv3w=",0)</f>
        <v>#REF!</v>
      </c>
      <c r="DV160" t="e">
        <f>AND(#REF!,"AAAAAFPvv30=")</f>
        <v>#REF!</v>
      </c>
      <c r="DW160" t="e">
        <f>AND(#REF!,"AAAAAFPvv34=")</f>
        <v>#REF!</v>
      </c>
      <c r="DX160" t="e">
        <f>AND(#REF!,"AAAAAFPvv38=")</f>
        <v>#REF!</v>
      </c>
      <c r="DY160" t="e">
        <f>AND(#REF!,"AAAAAFPvv4A=")</f>
        <v>#REF!</v>
      </c>
      <c r="DZ160" t="e">
        <f>AND(#REF!,"AAAAAFPvv4E=")</f>
        <v>#REF!</v>
      </c>
      <c r="EA160" t="e">
        <f>AND(#REF!,"AAAAAFPvv4I=")</f>
        <v>#REF!</v>
      </c>
      <c r="EB160" t="e">
        <f>AND(#REF!,"AAAAAFPvv4M=")</f>
        <v>#REF!</v>
      </c>
      <c r="EC160" t="e">
        <f>AND(#REF!,"AAAAAFPvv4Q=")</f>
        <v>#REF!</v>
      </c>
      <c r="ED160" t="e">
        <f>AND(#REF!,"AAAAAFPvv4U=")</f>
        <v>#REF!</v>
      </c>
      <c r="EE160" t="e">
        <f>AND(#REF!,"AAAAAFPvv4Y=")</f>
        <v>#REF!</v>
      </c>
      <c r="EF160" t="e">
        <f>AND(#REF!,"AAAAAFPvv4c=")</f>
        <v>#REF!</v>
      </c>
      <c r="EG160" t="e">
        <f>AND(#REF!,"AAAAAFPvv4g=")</f>
        <v>#REF!</v>
      </c>
      <c r="EH160" t="e">
        <f>AND(#REF!,"AAAAAFPvv4k=")</f>
        <v>#REF!</v>
      </c>
      <c r="EI160" t="e">
        <f>AND(#REF!,"AAAAAFPvv4o=")</f>
        <v>#REF!</v>
      </c>
      <c r="EJ160" t="e">
        <f>AND(#REF!,"AAAAAFPvv4s=")</f>
        <v>#REF!</v>
      </c>
      <c r="EK160" t="e">
        <f>AND(#REF!,"AAAAAFPvv4w=")</f>
        <v>#REF!</v>
      </c>
      <c r="EL160" t="e">
        <f>AND(#REF!,"AAAAAFPvv40=")</f>
        <v>#REF!</v>
      </c>
      <c r="EM160" t="e">
        <f>AND(#REF!,"AAAAAFPvv44=")</f>
        <v>#REF!</v>
      </c>
      <c r="EN160" t="e">
        <f>AND(#REF!,"AAAAAFPvv48=")</f>
        <v>#REF!</v>
      </c>
      <c r="EO160" t="e">
        <f>AND(#REF!,"AAAAAFPvv5A=")</f>
        <v>#REF!</v>
      </c>
      <c r="EP160" t="e">
        <f>AND(#REF!,"AAAAAFPvv5E=")</f>
        <v>#REF!</v>
      </c>
      <c r="EQ160" t="e">
        <f>AND(#REF!,"AAAAAFPvv5I=")</f>
        <v>#REF!</v>
      </c>
      <c r="ER160" t="e">
        <f>AND(#REF!,"AAAAAFPvv5M=")</f>
        <v>#REF!</v>
      </c>
      <c r="ES160" t="e">
        <f>AND(#REF!,"AAAAAFPvv5Q=")</f>
        <v>#REF!</v>
      </c>
      <c r="ET160" t="e">
        <f>AND(#REF!,"AAAAAFPvv5U=")</f>
        <v>#REF!</v>
      </c>
      <c r="EU160" t="e">
        <f>AND(#REF!,"AAAAAFPvv5Y=")</f>
        <v>#REF!</v>
      </c>
      <c r="EV160" t="e">
        <f>AND(#REF!,"AAAAAFPvv5c=")</f>
        <v>#REF!</v>
      </c>
      <c r="EW160" t="e">
        <f>AND(#REF!,"AAAAAFPvv5g=")</f>
        <v>#REF!</v>
      </c>
      <c r="EX160" t="e">
        <f>AND(#REF!,"AAAAAFPvv5k=")</f>
        <v>#REF!</v>
      </c>
      <c r="EY160" t="e">
        <f>AND(#REF!,"AAAAAFPvv5o=")</f>
        <v>#REF!</v>
      </c>
      <c r="EZ160" t="e">
        <f>IF(#REF!,"AAAAAFPvv5s=",0)</f>
        <v>#REF!</v>
      </c>
      <c r="FA160" t="e">
        <f>AND(#REF!,"AAAAAFPvv5w=")</f>
        <v>#REF!</v>
      </c>
      <c r="FB160" t="e">
        <f>AND(#REF!,"AAAAAFPvv50=")</f>
        <v>#REF!</v>
      </c>
      <c r="FC160" t="e">
        <f>AND(#REF!,"AAAAAFPvv54=")</f>
        <v>#REF!</v>
      </c>
      <c r="FD160" t="e">
        <f>AND(#REF!,"AAAAAFPvv58=")</f>
        <v>#REF!</v>
      </c>
      <c r="FE160" t="e">
        <f>AND(#REF!,"AAAAAFPvv6A=")</f>
        <v>#REF!</v>
      </c>
      <c r="FF160" t="e">
        <f>AND(#REF!,"AAAAAFPvv6E=")</f>
        <v>#REF!</v>
      </c>
      <c r="FG160" t="e">
        <f>AND(#REF!,"AAAAAFPvv6I=")</f>
        <v>#REF!</v>
      </c>
      <c r="FH160" t="e">
        <f>AND(#REF!,"AAAAAFPvv6M=")</f>
        <v>#REF!</v>
      </c>
      <c r="FI160" t="e">
        <f>AND(#REF!,"AAAAAFPvv6Q=")</f>
        <v>#REF!</v>
      </c>
      <c r="FJ160" t="e">
        <f>AND(#REF!,"AAAAAFPvv6U=")</f>
        <v>#REF!</v>
      </c>
      <c r="FK160" t="e">
        <f>AND(#REF!,"AAAAAFPvv6Y=")</f>
        <v>#REF!</v>
      </c>
      <c r="FL160" t="e">
        <f>AND(#REF!,"AAAAAFPvv6c=")</f>
        <v>#REF!</v>
      </c>
      <c r="FM160" t="e">
        <f>AND(#REF!,"AAAAAFPvv6g=")</f>
        <v>#REF!</v>
      </c>
      <c r="FN160" t="e">
        <f>AND(#REF!,"AAAAAFPvv6k=")</f>
        <v>#REF!</v>
      </c>
      <c r="FO160" t="e">
        <f>AND(#REF!,"AAAAAFPvv6o=")</f>
        <v>#REF!</v>
      </c>
      <c r="FP160" t="e">
        <f>AND(#REF!,"AAAAAFPvv6s=")</f>
        <v>#REF!</v>
      </c>
      <c r="FQ160" t="e">
        <f>AND(#REF!,"AAAAAFPvv6w=")</f>
        <v>#REF!</v>
      </c>
      <c r="FR160" t="e">
        <f>AND(#REF!,"AAAAAFPvv60=")</f>
        <v>#REF!</v>
      </c>
      <c r="FS160" t="e">
        <f>AND(#REF!,"AAAAAFPvv64=")</f>
        <v>#REF!</v>
      </c>
      <c r="FT160" t="e">
        <f>AND(#REF!,"AAAAAFPvv68=")</f>
        <v>#REF!</v>
      </c>
      <c r="FU160" t="e">
        <f>AND(#REF!,"AAAAAFPvv7A=")</f>
        <v>#REF!</v>
      </c>
      <c r="FV160" t="e">
        <f>AND(#REF!,"AAAAAFPvv7E=")</f>
        <v>#REF!</v>
      </c>
      <c r="FW160" t="e">
        <f>AND(#REF!,"AAAAAFPvv7I=")</f>
        <v>#REF!</v>
      </c>
      <c r="FX160" t="e">
        <f>AND(#REF!,"AAAAAFPvv7M=")</f>
        <v>#REF!</v>
      </c>
      <c r="FY160" t="e">
        <f>AND(#REF!,"AAAAAFPvv7Q=")</f>
        <v>#REF!</v>
      </c>
      <c r="FZ160" t="e">
        <f>AND(#REF!,"AAAAAFPvv7U=")</f>
        <v>#REF!</v>
      </c>
      <c r="GA160" t="e">
        <f>AND(#REF!,"AAAAAFPvv7Y=")</f>
        <v>#REF!</v>
      </c>
      <c r="GB160" t="e">
        <f>AND(#REF!,"AAAAAFPvv7c=")</f>
        <v>#REF!</v>
      </c>
      <c r="GC160" t="e">
        <f>AND(#REF!,"AAAAAFPvv7g=")</f>
        <v>#REF!</v>
      </c>
      <c r="GD160" t="e">
        <f>AND(#REF!,"AAAAAFPvv7k=")</f>
        <v>#REF!</v>
      </c>
      <c r="GE160" t="e">
        <f>IF(#REF!,"AAAAAFPvv7o=",0)</f>
        <v>#REF!</v>
      </c>
      <c r="GF160" t="e">
        <f>AND(#REF!,"AAAAAFPvv7s=")</f>
        <v>#REF!</v>
      </c>
      <c r="GG160" t="e">
        <f>AND(#REF!,"AAAAAFPvv7w=")</f>
        <v>#REF!</v>
      </c>
      <c r="GH160" t="e">
        <f>AND(#REF!,"AAAAAFPvv70=")</f>
        <v>#REF!</v>
      </c>
      <c r="GI160" t="e">
        <f>AND(#REF!,"AAAAAFPvv74=")</f>
        <v>#REF!</v>
      </c>
      <c r="GJ160" t="e">
        <f>AND(#REF!,"AAAAAFPvv78=")</f>
        <v>#REF!</v>
      </c>
      <c r="GK160" t="e">
        <f>AND(#REF!,"AAAAAFPvv8A=")</f>
        <v>#REF!</v>
      </c>
      <c r="GL160" t="e">
        <f>AND(#REF!,"AAAAAFPvv8E=")</f>
        <v>#REF!</v>
      </c>
      <c r="GM160" t="e">
        <f>AND(#REF!,"AAAAAFPvv8I=")</f>
        <v>#REF!</v>
      </c>
      <c r="GN160" t="e">
        <f>AND(#REF!,"AAAAAFPvv8M=")</f>
        <v>#REF!</v>
      </c>
      <c r="GO160" t="e">
        <f>AND(#REF!,"AAAAAFPvv8Q=")</f>
        <v>#REF!</v>
      </c>
      <c r="GP160" t="e">
        <f>AND(#REF!,"AAAAAFPvv8U=")</f>
        <v>#REF!</v>
      </c>
      <c r="GQ160" t="e">
        <f>AND(#REF!,"AAAAAFPvv8Y=")</f>
        <v>#REF!</v>
      </c>
      <c r="GR160" t="e">
        <f>AND(#REF!,"AAAAAFPvv8c=")</f>
        <v>#REF!</v>
      </c>
      <c r="GS160" t="e">
        <f>AND(#REF!,"AAAAAFPvv8g=")</f>
        <v>#REF!</v>
      </c>
      <c r="GT160" t="e">
        <f>AND(#REF!,"AAAAAFPvv8k=")</f>
        <v>#REF!</v>
      </c>
      <c r="GU160" t="e">
        <f>AND(#REF!,"AAAAAFPvv8o=")</f>
        <v>#REF!</v>
      </c>
      <c r="GV160" t="e">
        <f>AND(#REF!,"AAAAAFPvv8s=")</f>
        <v>#REF!</v>
      </c>
      <c r="GW160" t="e">
        <f>AND(#REF!,"AAAAAFPvv8w=")</f>
        <v>#REF!</v>
      </c>
      <c r="GX160" t="e">
        <f>AND(#REF!,"AAAAAFPvv80=")</f>
        <v>#REF!</v>
      </c>
      <c r="GY160" t="e">
        <f>AND(#REF!,"AAAAAFPvv84=")</f>
        <v>#REF!</v>
      </c>
      <c r="GZ160" t="e">
        <f>AND(#REF!,"AAAAAFPvv88=")</f>
        <v>#REF!</v>
      </c>
      <c r="HA160" t="e">
        <f>AND(#REF!,"AAAAAFPvv9A=")</f>
        <v>#REF!</v>
      </c>
      <c r="HB160" t="e">
        <f>AND(#REF!,"AAAAAFPvv9E=")</f>
        <v>#REF!</v>
      </c>
      <c r="HC160" t="e">
        <f>AND(#REF!,"AAAAAFPvv9I=")</f>
        <v>#REF!</v>
      </c>
      <c r="HD160" t="e">
        <f>AND(#REF!,"AAAAAFPvv9M=")</f>
        <v>#REF!</v>
      </c>
      <c r="HE160" t="e">
        <f>AND(#REF!,"AAAAAFPvv9Q=")</f>
        <v>#REF!</v>
      </c>
      <c r="HF160" t="e">
        <f>AND(#REF!,"AAAAAFPvv9U=")</f>
        <v>#REF!</v>
      </c>
      <c r="HG160" t="e">
        <f>AND(#REF!,"AAAAAFPvv9Y=")</f>
        <v>#REF!</v>
      </c>
      <c r="HH160" t="e">
        <f>AND(#REF!,"AAAAAFPvv9c=")</f>
        <v>#REF!</v>
      </c>
      <c r="HI160" t="e">
        <f>AND(#REF!,"AAAAAFPvv9g=")</f>
        <v>#REF!</v>
      </c>
      <c r="HJ160" t="e">
        <f>IF(#REF!,"AAAAAFPvv9k=",0)</f>
        <v>#REF!</v>
      </c>
      <c r="HK160" t="e">
        <f>AND(#REF!,"AAAAAFPvv9o=")</f>
        <v>#REF!</v>
      </c>
      <c r="HL160" t="e">
        <f>AND(#REF!,"AAAAAFPvv9s=")</f>
        <v>#REF!</v>
      </c>
      <c r="HM160" t="e">
        <f>AND(#REF!,"AAAAAFPvv9w=")</f>
        <v>#REF!</v>
      </c>
      <c r="HN160" t="e">
        <f>AND(#REF!,"AAAAAFPvv90=")</f>
        <v>#REF!</v>
      </c>
      <c r="HO160" t="e">
        <f>AND(#REF!,"AAAAAFPvv94=")</f>
        <v>#REF!</v>
      </c>
      <c r="HP160" t="e">
        <f>AND(#REF!,"AAAAAFPvv98=")</f>
        <v>#REF!</v>
      </c>
      <c r="HQ160" t="e">
        <f>AND(#REF!,"AAAAAFPvv+A=")</f>
        <v>#REF!</v>
      </c>
      <c r="HR160" t="e">
        <f>AND(#REF!,"AAAAAFPvv+E=")</f>
        <v>#REF!</v>
      </c>
      <c r="HS160" t="e">
        <f>AND(#REF!,"AAAAAFPvv+I=")</f>
        <v>#REF!</v>
      </c>
      <c r="HT160" t="e">
        <f>AND(#REF!,"AAAAAFPvv+M=")</f>
        <v>#REF!</v>
      </c>
      <c r="HU160" t="e">
        <f>AND(#REF!,"AAAAAFPvv+Q=")</f>
        <v>#REF!</v>
      </c>
      <c r="HV160" t="e">
        <f>AND(#REF!,"AAAAAFPvv+U=")</f>
        <v>#REF!</v>
      </c>
      <c r="HW160" t="e">
        <f>AND(#REF!,"AAAAAFPvv+Y=")</f>
        <v>#REF!</v>
      </c>
      <c r="HX160" t="e">
        <f>AND(#REF!,"AAAAAFPvv+c=")</f>
        <v>#REF!</v>
      </c>
      <c r="HY160" t="e">
        <f>AND(#REF!,"AAAAAFPvv+g=")</f>
        <v>#REF!</v>
      </c>
      <c r="HZ160" t="e">
        <f>AND(#REF!,"AAAAAFPvv+k=")</f>
        <v>#REF!</v>
      </c>
      <c r="IA160" t="e">
        <f>AND(#REF!,"AAAAAFPvv+o=")</f>
        <v>#REF!</v>
      </c>
      <c r="IB160" t="e">
        <f>AND(#REF!,"AAAAAFPvv+s=")</f>
        <v>#REF!</v>
      </c>
      <c r="IC160" t="e">
        <f>AND(#REF!,"AAAAAFPvv+w=")</f>
        <v>#REF!</v>
      </c>
      <c r="ID160" t="e">
        <f>AND(#REF!,"AAAAAFPvv+0=")</f>
        <v>#REF!</v>
      </c>
      <c r="IE160" t="e">
        <f>AND(#REF!,"AAAAAFPvv+4=")</f>
        <v>#REF!</v>
      </c>
      <c r="IF160" t="e">
        <f>AND(#REF!,"AAAAAFPvv+8=")</f>
        <v>#REF!</v>
      </c>
      <c r="IG160" t="e">
        <f>AND(#REF!,"AAAAAFPvv/A=")</f>
        <v>#REF!</v>
      </c>
      <c r="IH160" t="e">
        <f>AND(#REF!,"AAAAAFPvv/E=")</f>
        <v>#REF!</v>
      </c>
      <c r="II160" t="e">
        <f>AND(#REF!,"AAAAAFPvv/I=")</f>
        <v>#REF!</v>
      </c>
      <c r="IJ160" t="e">
        <f>AND(#REF!,"AAAAAFPvv/M=")</f>
        <v>#REF!</v>
      </c>
      <c r="IK160" t="e">
        <f>AND(#REF!,"AAAAAFPvv/Q=")</f>
        <v>#REF!</v>
      </c>
      <c r="IL160" t="e">
        <f>AND(#REF!,"AAAAAFPvv/U=")</f>
        <v>#REF!</v>
      </c>
      <c r="IM160" t="e">
        <f>AND(#REF!,"AAAAAFPvv/Y=")</f>
        <v>#REF!</v>
      </c>
      <c r="IN160" t="e">
        <f>AND(#REF!,"AAAAAFPvv/c=")</f>
        <v>#REF!</v>
      </c>
      <c r="IO160" t="e">
        <f>IF(#REF!,"AAAAAFPvv/g=",0)</f>
        <v>#REF!</v>
      </c>
      <c r="IP160" t="e">
        <f>AND(#REF!,"AAAAAFPvv/k=")</f>
        <v>#REF!</v>
      </c>
      <c r="IQ160" t="e">
        <f>AND(#REF!,"AAAAAFPvv/o=")</f>
        <v>#REF!</v>
      </c>
      <c r="IR160" t="e">
        <f>AND(#REF!,"AAAAAFPvv/s=")</f>
        <v>#REF!</v>
      </c>
      <c r="IS160" t="e">
        <f>AND(#REF!,"AAAAAFPvv/w=")</f>
        <v>#REF!</v>
      </c>
      <c r="IT160" t="e">
        <f>AND(#REF!,"AAAAAFPvv/0=")</f>
        <v>#REF!</v>
      </c>
      <c r="IU160" t="e">
        <f>AND(#REF!,"AAAAAFPvv/4=")</f>
        <v>#REF!</v>
      </c>
      <c r="IV160" t="e">
        <f>AND(#REF!,"AAAAAFPvv/8=")</f>
        <v>#REF!</v>
      </c>
    </row>
    <row r="161" spans="1:256" x14ac:dyDescent="0.2">
      <c r="A161" t="e">
        <f>AND(#REF!,"AAAAAHu+7wA=")</f>
        <v>#REF!</v>
      </c>
      <c r="B161" t="e">
        <f>AND(#REF!,"AAAAAHu+7wE=")</f>
        <v>#REF!</v>
      </c>
      <c r="C161" t="e">
        <f>AND(#REF!,"AAAAAHu+7wI=")</f>
        <v>#REF!</v>
      </c>
      <c r="D161" t="e">
        <f>AND(#REF!,"AAAAAHu+7wM=")</f>
        <v>#REF!</v>
      </c>
      <c r="E161" t="e">
        <f>AND(#REF!,"AAAAAHu+7wQ=")</f>
        <v>#REF!</v>
      </c>
      <c r="F161" t="e">
        <f>AND(#REF!,"AAAAAHu+7wU=")</f>
        <v>#REF!</v>
      </c>
      <c r="G161" t="e">
        <f>AND(#REF!,"AAAAAHu+7wY=")</f>
        <v>#REF!</v>
      </c>
      <c r="H161" t="e">
        <f>AND(#REF!,"AAAAAHu+7wc=")</f>
        <v>#REF!</v>
      </c>
      <c r="I161" t="e">
        <f>AND(#REF!,"AAAAAHu+7wg=")</f>
        <v>#REF!</v>
      </c>
      <c r="J161" t="e">
        <f>AND(#REF!,"AAAAAHu+7wk=")</f>
        <v>#REF!</v>
      </c>
      <c r="K161" t="e">
        <f>AND(#REF!,"AAAAAHu+7wo=")</f>
        <v>#REF!</v>
      </c>
      <c r="L161" t="e">
        <f>AND(#REF!,"AAAAAHu+7ws=")</f>
        <v>#REF!</v>
      </c>
      <c r="M161" t="e">
        <f>AND(#REF!,"AAAAAHu+7ww=")</f>
        <v>#REF!</v>
      </c>
      <c r="N161" t="e">
        <f>AND(#REF!,"AAAAAHu+7w0=")</f>
        <v>#REF!</v>
      </c>
      <c r="O161" t="e">
        <f>AND(#REF!,"AAAAAHu+7w4=")</f>
        <v>#REF!</v>
      </c>
      <c r="P161" t="e">
        <f>AND(#REF!,"AAAAAHu+7w8=")</f>
        <v>#REF!</v>
      </c>
      <c r="Q161" t="e">
        <f>AND(#REF!,"AAAAAHu+7xA=")</f>
        <v>#REF!</v>
      </c>
      <c r="R161" t="e">
        <f>AND(#REF!,"AAAAAHu+7xE=")</f>
        <v>#REF!</v>
      </c>
      <c r="S161" t="e">
        <f>AND(#REF!,"AAAAAHu+7xI=")</f>
        <v>#REF!</v>
      </c>
      <c r="T161" t="e">
        <f>AND(#REF!,"AAAAAHu+7xM=")</f>
        <v>#REF!</v>
      </c>
      <c r="U161" t="e">
        <f>AND(#REF!,"AAAAAHu+7xQ=")</f>
        <v>#REF!</v>
      </c>
      <c r="V161" t="e">
        <f>AND(#REF!,"AAAAAHu+7xU=")</f>
        <v>#REF!</v>
      </c>
      <c r="W161" t="e">
        <f>AND(#REF!,"AAAAAHu+7xY=")</f>
        <v>#REF!</v>
      </c>
      <c r="X161" t="e">
        <f>IF(#REF!,"AAAAAHu+7xc=",0)</f>
        <v>#REF!</v>
      </c>
      <c r="Y161" t="e">
        <f>AND(#REF!,"AAAAAHu+7xg=")</f>
        <v>#REF!</v>
      </c>
      <c r="Z161" t="e">
        <f>AND(#REF!,"AAAAAHu+7xk=")</f>
        <v>#REF!</v>
      </c>
      <c r="AA161" t="e">
        <f>AND(#REF!,"AAAAAHu+7xo=")</f>
        <v>#REF!</v>
      </c>
      <c r="AB161" t="e">
        <f>AND(#REF!,"AAAAAHu+7xs=")</f>
        <v>#REF!</v>
      </c>
      <c r="AC161" t="e">
        <f>AND(#REF!,"AAAAAHu+7xw=")</f>
        <v>#REF!</v>
      </c>
      <c r="AD161" t="e">
        <f>AND(#REF!,"AAAAAHu+7x0=")</f>
        <v>#REF!</v>
      </c>
      <c r="AE161" t="e">
        <f>AND(#REF!,"AAAAAHu+7x4=")</f>
        <v>#REF!</v>
      </c>
      <c r="AF161" t="e">
        <f>AND(#REF!,"AAAAAHu+7x8=")</f>
        <v>#REF!</v>
      </c>
      <c r="AG161" t="e">
        <f>AND(#REF!,"AAAAAHu+7yA=")</f>
        <v>#REF!</v>
      </c>
      <c r="AH161" t="e">
        <f>AND(#REF!,"AAAAAHu+7yE=")</f>
        <v>#REF!</v>
      </c>
      <c r="AI161" t="e">
        <f>AND(#REF!,"AAAAAHu+7yI=")</f>
        <v>#REF!</v>
      </c>
      <c r="AJ161" t="e">
        <f>AND(#REF!,"AAAAAHu+7yM=")</f>
        <v>#REF!</v>
      </c>
      <c r="AK161" t="e">
        <f>AND(#REF!,"AAAAAHu+7yQ=")</f>
        <v>#REF!</v>
      </c>
      <c r="AL161" t="e">
        <f>AND(#REF!,"AAAAAHu+7yU=")</f>
        <v>#REF!</v>
      </c>
      <c r="AM161" t="e">
        <f>AND(#REF!,"AAAAAHu+7yY=")</f>
        <v>#REF!</v>
      </c>
      <c r="AN161" t="e">
        <f>AND(#REF!,"AAAAAHu+7yc=")</f>
        <v>#REF!</v>
      </c>
      <c r="AO161" t="e">
        <f>AND(#REF!,"AAAAAHu+7yg=")</f>
        <v>#REF!</v>
      </c>
      <c r="AP161" t="e">
        <f>AND(#REF!,"AAAAAHu+7yk=")</f>
        <v>#REF!</v>
      </c>
      <c r="AQ161" t="e">
        <f>AND(#REF!,"AAAAAHu+7yo=")</f>
        <v>#REF!</v>
      </c>
      <c r="AR161" t="e">
        <f>AND(#REF!,"AAAAAHu+7ys=")</f>
        <v>#REF!</v>
      </c>
      <c r="AS161" t="e">
        <f>AND(#REF!,"AAAAAHu+7yw=")</f>
        <v>#REF!</v>
      </c>
      <c r="AT161" t="e">
        <f>AND(#REF!,"AAAAAHu+7y0=")</f>
        <v>#REF!</v>
      </c>
      <c r="AU161" t="e">
        <f>AND(#REF!,"AAAAAHu+7y4=")</f>
        <v>#REF!</v>
      </c>
      <c r="AV161" t="e">
        <f>AND(#REF!,"AAAAAHu+7y8=")</f>
        <v>#REF!</v>
      </c>
      <c r="AW161" t="e">
        <f>AND(#REF!,"AAAAAHu+7zA=")</f>
        <v>#REF!</v>
      </c>
      <c r="AX161" t="e">
        <f>AND(#REF!,"AAAAAHu+7zE=")</f>
        <v>#REF!</v>
      </c>
      <c r="AY161" t="e">
        <f>AND(#REF!,"AAAAAHu+7zI=")</f>
        <v>#REF!</v>
      </c>
      <c r="AZ161" t="e">
        <f>AND(#REF!,"AAAAAHu+7zM=")</f>
        <v>#REF!</v>
      </c>
      <c r="BA161" t="e">
        <f>AND(#REF!,"AAAAAHu+7zQ=")</f>
        <v>#REF!</v>
      </c>
      <c r="BB161" t="e">
        <f>AND(#REF!,"AAAAAHu+7zU=")</f>
        <v>#REF!</v>
      </c>
      <c r="BC161" t="e">
        <f>IF(#REF!,"AAAAAHu+7zY=",0)</f>
        <v>#REF!</v>
      </c>
      <c r="BD161" t="e">
        <f>AND(#REF!,"AAAAAHu+7zc=")</f>
        <v>#REF!</v>
      </c>
      <c r="BE161" t="e">
        <f>AND(#REF!,"AAAAAHu+7zg=")</f>
        <v>#REF!</v>
      </c>
      <c r="BF161" t="e">
        <f>AND(#REF!,"AAAAAHu+7zk=")</f>
        <v>#REF!</v>
      </c>
      <c r="BG161" t="e">
        <f>AND(#REF!,"AAAAAHu+7zo=")</f>
        <v>#REF!</v>
      </c>
      <c r="BH161" t="e">
        <f>AND(#REF!,"AAAAAHu+7zs=")</f>
        <v>#REF!</v>
      </c>
      <c r="BI161" t="e">
        <f>AND(#REF!,"AAAAAHu+7zw=")</f>
        <v>#REF!</v>
      </c>
      <c r="BJ161" t="e">
        <f>AND(#REF!,"AAAAAHu+7z0=")</f>
        <v>#REF!</v>
      </c>
      <c r="BK161" t="e">
        <f>AND(#REF!,"AAAAAHu+7z4=")</f>
        <v>#REF!</v>
      </c>
      <c r="BL161" t="e">
        <f>AND(#REF!,"AAAAAHu+7z8=")</f>
        <v>#REF!</v>
      </c>
      <c r="BM161" t="e">
        <f>AND(#REF!,"AAAAAHu+70A=")</f>
        <v>#REF!</v>
      </c>
      <c r="BN161" t="e">
        <f>AND(#REF!,"AAAAAHu+70E=")</f>
        <v>#REF!</v>
      </c>
      <c r="BO161" t="e">
        <f>AND(#REF!,"AAAAAHu+70I=")</f>
        <v>#REF!</v>
      </c>
      <c r="BP161" t="e">
        <f>AND(#REF!,"AAAAAHu+70M=")</f>
        <v>#REF!</v>
      </c>
      <c r="BQ161" t="e">
        <f>AND(#REF!,"AAAAAHu+70Q=")</f>
        <v>#REF!</v>
      </c>
      <c r="BR161" t="e">
        <f>AND(#REF!,"AAAAAHu+70U=")</f>
        <v>#REF!</v>
      </c>
      <c r="BS161" t="e">
        <f>AND(#REF!,"AAAAAHu+70Y=")</f>
        <v>#REF!</v>
      </c>
      <c r="BT161" t="e">
        <f>AND(#REF!,"AAAAAHu+70c=")</f>
        <v>#REF!</v>
      </c>
      <c r="BU161" t="e">
        <f>AND(#REF!,"AAAAAHu+70g=")</f>
        <v>#REF!</v>
      </c>
      <c r="BV161" t="e">
        <f>AND(#REF!,"AAAAAHu+70k=")</f>
        <v>#REF!</v>
      </c>
      <c r="BW161" t="e">
        <f>AND(#REF!,"AAAAAHu+70o=")</f>
        <v>#REF!</v>
      </c>
      <c r="BX161" t="e">
        <f>AND(#REF!,"AAAAAHu+70s=")</f>
        <v>#REF!</v>
      </c>
      <c r="BY161" t="e">
        <f>AND(#REF!,"AAAAAHu+70w=")</f>
        <v>#REF!</v>
      </c>
      <c r="BZ161" t="e">
        <f>AND(#REF!,"AAAAAHu+700=")</f>
        <v>#REF!</v>
      </c>
      <c r="CA161" t="e">
        <f>AND(#REF!,"AAAAAHu+704=")</f>
        <v>#REF!</v>
      </c>
      <c r="CB161" t="e">
        <f>AND(#REF!,"AAAAAHu+708=")</f>
        <v>#REF!</v>
      </c>
      <c r="CC161" t="e">
        <f>AND(#REF!,"AAAAAHu+71A=")</f>
        <v>#REF!</v>
      </c>
      <c r="CD161" t="e">
        <f>AND(#REF!,"AAAAAHu+71E=")</f>
        <v>#REF!</v>
      </c>
      <c r="CE161" t="e">
        <f>AND(#REF!,"AAAAAHu+71I=")</f>
        <v>#REF!</v>
      </c>
      <c r="CF161" t="e">
        <f>AND(#REF!,"AAAAAHu+71M=")</f>
        <v>#REF!</v>
      </c>
      <c r="CG161" t="e">
        <f>AND(#REF!,"AAAAAHu+71Q=")</f>
        <v>#REF!</v>
      </c>
      <c r="CH161" t="e">
        <f>IF(#REF!,"AAAAAHu+71U=",0)</f>
        <v>#REF!</v>
      </c>
      <c r="CI161" t="e">
        <f>AND(#REF!,"AAAAAHu+71Y=")</f>
        <v>#REF!</v>
      </c>
      <c r="CJ161" t="e">
        <f>AND(#REF!,"AAAAAHu+71c=")</f>
        <v>#REF!</v>
      </c>
      <c r="CK161" t="e">
        <f>AND(#REF!,"AAAAAHu+71g=")</f>
        <v>#REF!</v>
      </c>
      <c r="CL161" t="e">
        <f>AND(#REF!,"AAAAAHu+71k=")</f>
        <v>#REF!</v>
      </c>
      <c r="CM161" t="e">
        <f>AND(#REF!,"AAAAAHu+71o=")</f>
        <v>#REF!</v>
      </c>
      <c r="CN161" t="e">
        <f>AND(#REF!,"AAAAAHu+71s=")</f>
        <v>#REF!</v>
      </c>
      <c r="CO161" t="e">
        <f>AND(#REF!,"AAAAAHu+71w=")</f>
        <v>#REF!</v>
      </c>
      <c r="CP161" t="e">
        <f>AND(#REF!,"AAAAAHu+710=")</f>
        <v>#REF!</v>
      </c>
      <c r="CQ161" t="e">
        <f>AND(#REF!,"AAAAAHu+714=")</f>
        <v>#REF!</v>
      </c>
      <c r="CR161" t="e">
        <f>AND(#REF!,"AAAAAHu+718=")</f>
        <v>#REF!</v>
      </c>
      <c r="CS161" t="e">
        <f>AND(#REF!,"AAAAAHu+72A=")</f>
        <v>#REF!</v>
      </c>
      <c r="CT161" t="e">
        <f>AND(#REF!,"AAAAAHu+72E=")</f>
        <v>#REF!</v>
      </c>
      <c r="CU161" t="e">
        <f>AND(#REF!,"AAAAAHu+72I=")</f>
        <v>#REF!</v>
      </c>
      <c r="CV161" t="e">
        <f>AND(#REF!,"AAAAAHu+72M=")</f>
        <v>#REF!</v>
      </c>
      <c r="CW161" t="e">
        <f>AND(#REF!,"AAAAAHu+72Q=")</f>
        <v>#REF!</v>
      </c>
      <c r="CX161" t="e">
        <f>AND(#REF!,"AAAAAHu+72U=")</f>
        <v>#REF!</v>
      </c>
      <c r="CY161" t="e">
        <f>AND(#REF!,"AAAAAHu+72Y=")</f>
        <v>#REF!</v>
      </c>
      <c r="CZ161" t="e">
        <f>AND(#REF!,"AAAAAHu+72c=")</f>
        <v>#REF!</v>
      </c>
      <c r="DA161" t="e">
        <f>AND(#REF!,"AAAAAHu+72g=")</f>
        <v>#REF!</v>
      </c>
      <c r="DB161" t="e">
        <f>AND(#REF!,"AAAAAHu+72k=")</f>
        <v>#REF!</v>
      </c>
      <c r="DC161" t="e">
        <f>AND(#REF!,"AAAAAHu+72o=")</f>
        <v>#REF!</v>
      </c>
      <c r="DD161" t="e">
        <f>AND(#REF!,"AAAAAHu+72s=")</f>
        <v>#REF!</v>
      </c>
      <c r="DE161" t="e">
        <f>AND(#REF!,"AAAAAHu+72w=")</f>
        <v>#REF!</v>
      </c>
      <c r="DF161" t="e">
        <f>AND(#REF!,"AAAAAHu+720=")</f>
        <v>#REF!</v>
      </c>
      <c r="DG161" t="e">
        <f>AND(#REF!,"AAAAAHu+724=")</f>
        <v>#REF!</v>
      </c>
      <c r="DH161" t="e">
        <f>AND(#REF!,"AAAAAHu+728=")</f>
        <v>#REF!</v>
      </c>
      <c r="DI161" t="e">
        <f>AND(#REF!,"AAAAAHu+73A=")</f>
        <v>#REF!</v>
      </c>
      <c r="DJ161" t="e">
        <f>AND(#REF!,"AAAAAHu+73E=")</f>
        <v>#REF!</v>
      </c>
      <c r="DK161" t="e">
        <f>AND(#REF!,"AAAAAHu+73I=")</f>
        <v>#REF!</v>
      </c>
      <c r="DL161" t="e">
        <f>AND(#REF!,"AAAAAHu+73M=")</f>
        <v>#REF!</v>
      </c>
      <c r="DM161" t="e">
        <f>IF(#REF!,"AAAAAHu+73Q=",0)</f>
        <v>#REF!</v>
      </c>
      <c r="DN161" t="e">
        <f>AND(#REF!,"AAAAAHu+73U=")</f>
        <v>#REF!</v>
      </c>
      <c r="DO161" t="e">
        <f>AND(#REF!,"AAAAAHu+73Y=")</f>
        <v>#REF!</v>
      </c>
      <c r="DP161" t="e">
        <f>AND(#REF!,"AAAAAHu+73c=")</f>
        <v>#REF!</v>
      </c>
      <c r="DQ161" t="e">
        <f>AND(#REF!,"AAAAAHu+73g=")</f>
        <v>#REF!</v>
      </c>
      <c r="DR161" t="e">
        <f>AND(#REF!,"AAAAAHu+73k=")</f>
        <v>#REF!</v>
      </c>
      <c r="DS161" t="e">
        <f>AND(#REF!,"AAAAAHu+73o=")</f>
        <v>#REF!</v>
      </c>
      <c r="DT161" t="e">
        <f>AND(#REF!,"AAAAAHu+73s=")</f>
        <v>#REF!</v>
      </c>
      <c r="DU161" t="e">
        <f>AND(#REF!,"AAAAAHu+73w=")</f>
        <v>#REF!</v>
      </c>
      <c r="DV161" t="e">
        <f>AND(#REF!,"AAAAAHu+730=")</f>
        <v>#REF!</v>
      </c>
      <c r="DW161" t="e">
        <f>AND(#REF!,"AAAAAHu+734=")</f>
        <v>#REF!</v>
      </c>
      <c r="DX161" t="e">
        <f>AND(#REF!,"AAAAAHu+738=")</f>
        <v>#REF!</v>
      </c>
      <c r="DY161" t="e">
        <f>AND(#REF!,"AAAAAHu+74A=")</f>
        <v>#REF!</v>
      </c>
      <c r="DZ161" t="e">
        <f>AND(#REF!,"AAAAAHu+74E=")</f>
        <v>#REF!</v>
      </c>
      <c r="EA161" t="e">
        <f>AND(#REF!,"AAAAAHu+74I=")</f>
        <v>#REF!</v>
      </c>
      <c r="EB161" t="e">
        <f>AND(#REF!,"AAAAAHu+74M=")</f>
        <v>#REF!</v>
      </c>
      <c r="EC161" t="e">
        <f>AND(#REF!,"AAAAAHu+74Q=")</f>
        <v>#REF!</v>
      </c>
      <c r="ED161" t="e">
        <f>AND(#REF!,"AAAAAHu+74U=")</f>
        <v>#REF!</v>
      </c>
      <c r="EE161" t="e">
        <f>AND(#REF!,"AAAAAHu+74Y=")</f>
        <v>#REF!</v>
      </c>
      <c r="EF161" t="e">
        <f>AND(#REF!,"AAAAAHu+74c=")</f>
        <v>#REF!</v>
      </c>
      <c r="EG161" t="e">
        <f>AND(#REF!,"AAAAAHu+74g=")</f>
        <v>#REF!</v>
      </c>
      <c r="EH161" t="e">
        <f>AND(#REF!,"AAAAAHu+74k=")</f>
        <v>#REF!</v>
      </c>
      <c r="EI161" t="e">
        <f>AND(#REF!,"AAAAAHu+74o=")</f>
        <v>#REF!</v>
      </c>
      <c r="EJ161" t="e">
        <f>AND(#REF!,"AAAAAHu+74s=")</f>
        <v>#REF!</v>
      </c>
      <c r="EK161" t="e">
        <f>AND(#REF!,"AAAAAHu+74w=")</f>
        <v>#REF!</v>
      </c>
      <c r="EL161" t="e">
        <f>AND(#REF!,"AAAAAHu+740=")</f>
        <v>#REF!</v>
      </c>
      <c r="EM161" t="e">
        <f>AND(#REF!,"AAAAAHu+744=")</f>
        <v>#REF!</v>
      </c>
      <c r="EN161" t="e">
        <f>AND(#REF!,"AAAAAHu+748=")</f>
        <v>#REF!</v>
      </c>
      <c r="EO161" t="e">
        <f>AND(#REF!,"AAAAAHu+75A=")</f>
        <v>#REF!</v>
      </c>
      <c r="EP161" t="e">
        <f>AND(#REF!,"AAAAAHu+75E=")</f>
        <v>#REF!</v>
      </c>
      <c r="EQ161" t="e">
        <f>AND(#REF!,"AAAAAHu+75I=")</f>
        <v>#REF!</v>
      </c>
      <c r="ER161" t="e">
        <f>IF(#REF!,"AAAAAHu+75M=",0)</f>
        <v>#REF!</v>
      </c>
      <c r="ES161" t="e">
        <f>AND(#REF!,"AAAAAHu+75Q=")</f>
        <v>#REF!</v>
      </c>
      <c r="ET161" t="e">
        <f>AND(#REF!,"AAAAAHu+75U=")</f>
        <v>#REF!</v>
      </c>
      <c r="EU161" t="e">
        <f>AND(#REF!,"AAAAAHu+75Y=")</f>
        <v>#REF!</v>
      </c>
      <c r="EV161" t="e">
        <f>AND(#REF!,"AAAAAHu+75c=")</f>
        <v>#REF!</v>
      </c>
      <c r="EW161" t="e">
        <f>AND(#REF!,"AAAAAHu+75g=")</f>
        <v>#REF!</v>
      </c>
      <c r="EX161" t="e">
        <f>AND(#REF!,"AAAAAHu+75k=")</f>
        <v>#REF!</v>
      </c>
      <c r="EY161" t="e">
        <f>AND(#REF!,"AAAAAHu+75o=")</f>
        <v>#REF!</v>
      </c>
      <c r="EZ161" t="e">
        <f>AND(#REF!,"AAAAAHu+75s=")</f>
        <v>#REF!</v>
      </c>
      <c r="FA161" t="e">
        <f>AND(#REF!,"AAAAAHu+75w=")</f>
        <v>#REF!</v>
      </c>
      <c r="FB161" t="e">
        <f>AND(#REF!,"AAAAAHu+750=")</f>
        <v>#REF!</v>
      </c>
      <c r="FC161" t="e">
        <f>AND(#REF!,"AAAAAHu+754=")</f>
        <v>#REF!</v>
      </c>
      <c r="FD161" t="e">
        <f>AND(#REF!,"AAAAAHu+758=")</f>
        <v>#REF!</v>
      </c>
      <c r="FE161" t="e">
        <f>AND(#REF!,"AAAAAHu+76A=")</f>
        <v>#REF!</v>
      </c>
      <c r="FF161" t="e">
        <f>AND(#REF!,"AAAAAHu+76E=")</f>
        <v>#REF!</v>
      </c>
      <c r="FG161" t="e">
        <f>AND(#REF!,"AAAAAHu+76I=")</f>
        <v>#REF!</v>
      </c>
      <c r="FH161" t="e">
        <f>AND(#REF!,"AAAAAHu+76M=")</f>
        <v>#REF!</v>
      </c>
      <c r="FI161" t="e">
        <f>AND(#REF!,"AAAAAHu+76Q=")</f>
        <v>#REF!</v>
      </c>
      <c r="FJ161" t="e">
        <f>AND(#REF!,"AAAAAHu+76U=")</f>
        <v>#REF!</v>
      </c>
      <c r="FK161" t="e">
        <f>AND(#REF!,"AAAAAHu+76Y=")</f>
        <v>#REF!</v>
      </c>
      <c r="FL161" t="e">
        <f>AND(#REF!,"AAAAAHu+76c=")</f>
        <v>#REF!</v>
      </c>
      <c r="FM161" t="e">
        <f>AND(#REF!,"AAAAAHu+76g=")</f>
        <v>#REF!</v>
      </c>
      <c r="FN161" t="e">
        <f>AND(#REF!,"AAAAAHu+76k=")</f>
        <v>#REF!</v>
      </c>
      <c r="FO161" t="e">
        <f>AND(#REF!,"AAAAAHu+76o=")</f>
        <v>#REF!</v>
      </c>
      <c r="FP161" t="e">
        <f>AND(#REF!,"AAAAAHu+76s=")</f>
        <v>#REF!</v>
      </c>
      <c r="FQ161" t="e">
        <f>AND(#REF!,"AAAAAHu+76w=")</f>
        <v>#REF!</v>
      </c>
      <c r="FR161" t="e">
        <f>AND(#REF!,"AAAAAHu+760=")</f>
        <v>#REF!</v>
      </c>
      <c r="FS161" t="e">
        <f>AND(#REF!,"AAAAAHu+764=")</f>
        <v>#REF!</v>
      </c>
      <c r="FT161" t="e">
        <f>AND(#REF!,"AAAAAHu+768=")</f>
        <v>#REF!</v>
      </c>
      <c r="FU161" t="e">
        <f>AND(#REF!,"AAAAAHu+77A=")</f>
        <v>#REF!</v>
      </c>
      <c r="FV161" t="e">
        <f>AND(#REF!,"AAAAAHu+77E=")</f>
        <v>#REF!</v>
      </c>
      <c r="FW161" t="e">
        <f>IF(#REF!,"AAAAAHu+77I=",0)</f>
        <v>#REF!</v>
      </c>
      <c r="FX161" t="e">
        <f>AND(#REF!,"AAAAAHu+77M=")</f>
        <v>#REF!</v>
      </c>
      <c r="FY161" t="e">
        <f>AND(#REF!,"AAAAAHu+77Q=")</f>
        <v>#REF!</v>
      </c>
      <c r="FZ161" t="e">
        <f>AND(#REF!,"AAAAAHu+77U=")</f>
        <v>#REF!</v>
      </c>
      <c r="GA161" t="e">
        <f>AND(#REF!,"AAAAAHu+77Y=")</f>
        <v>#REF!</v>
      </c>
      <c r="GB161" t="e">
        <f>AND(#REF!,"AAAAAHu+77c=")</f>
        <v>#REF!</v>
      </c>
      <c r="GC161" t="e">
        <f>AND(#REF!,"AAAAAHu+77g=")</f>
        <v>#REF!</v>
      </c>
      <c r="GD161" t="e">
        <f>AND(#REF!,"AAAAAHu+77k=")</f>
        <v>#REF!</v>
      </c>
      <c r="GE161" t="e">
        <f>AND(#REF!,"AAAAAHu+77o=")</f>
        <v>#REF!</v>
      </c>
      <c r="GF161" t="e">
        <f>AND(#REF!,"AAAAAHu+77s=")</f>
        <v>#REF!</v>
      </c>
      <c r="GG161" t="e">
        <f>AND(#REF!,"AAAAAHu+77w=")</f>
        <v>#REF!</v>
      </c>
      <c r="GH161" t="e">
        <f>AND(#REF!,"AAAAAHu+770=")</f>
        <v>#REF!</v>
      </c>
      <c r="GI161" t="e">
        <f>AND(#REF!,"AAAAAHu+774=")</f>
        <v>#REF!</v>
      </c>
      <c r="GJ161" t="e">
        <f>AND(#REF!,"AAAAAHu+778=")</f>
        <v>#REF!</v>
      </c>
      <c r="GK161" t="e">
        <f>AND(#REF!,"AAAAAHu+78A=")</f>
        <v>#REF!</v>
      </c>
      <c r="GL161" t="e">
        <f>AND(#REF!,"AAAAAHu+78E=")</f>
        <v>#REF!</v>
      </c>
      <c r="GM161" t="e">
        <f>AND(#REF!,"AAAAAHu+78I=")</f>
        <v>#REF!</v>
      </c>
      <c r="GN161" t="e">
        <f>AND(#REF!,"AAAAAHu+78M=")</f>
        <v>#REF!</v>
      </c>
      <c r="GO161" t="e">
        <f>AND(#REF!,"AAAAAHu+78Q=")</f>
        <v>#REF!</v>
      </c>
      <c r="GP161" t="e">
        <f>AND(#REF!,"AAAAAHu+78U=")</f>
        <v>#REF!</v>
      </c>
      <c r="GQ161" t="e">
        <f>AND(#REF!,"AAAAAHu+78Y=")</f>
        <v>#REF!</v>
      </c>
      <c r="GR161" t="e">
        <f>AND(#REF!,"AAAAAHu+78c=")</f>
        <v>#REF!</v>
      </c>
      <c r="GS161" t="e">
        <f>AND(#REF!,"AAAAAHu+78g=")</f>
        <v>#REF!</v>
      </c>
      <c r="GT161" t="e">
        <f>AND(#REF!,"AAAAAHu+78k=")</f>
        <v>#REF!</v>
      </c>
      <c r="GU161" t="e">
        <f>AND(#REF!,"AAAAAHu+78o=")</f>
        <v>#REF!</v>
      </c>
      <c r="GV161" t="e">
        <f>AND(#REF!,"AAAAAHu+78s=")</f>
        <v>#REF!</v>
      </c>
      <c r="GW161" t="e">
        <f>AND(#REF!,"AAAAAHu+78w=")</f>
        <v>#REF!</v>
      </c>
      <c r="GX161" t="e">
        <f>AND(#REF!,"AAAAAHu+780=")</f>
        <v>#REF!</v>
      </c>
      <c r="GY161" t="e">
        <f>AND(#REF!,"AAAAAHu+784=")</f>
        <v>#REF!</v>
      </c>
      <c r="GZ161" t="e">
        <f>AND(#REF!,"AAAAAHu+788=")</f>
        <v>#REF!</v>
      </c>
      <c r="HA161" t="e">
        <f>AND(#REF!,"AAAAAHu+79A=")</f>
        <v>#REF!</v>
      </c>
      <c r="HB161" t="e">
        <f>IF(#REF!,"AAAAAHu+79E=",0)</f>
        <v>#REF!</v>
      </c>
      <c r="HC161" t="e">
        <f>AND(#REF!,"AAAAAHu+79I=")</f>
        <v>#REF!</v>
      </c>
      <c r="HD161" t="e">
        <f>AND(#REF!,"AAAAAHu+79M=")</f>
        <v>#REF!</v>
      </c>
      <c r="HE161" t="e">
        <f>AND(#REF!,"AAAAAHu+79Q=")</f>
        <v>#REF!</v>
      </c>
      <c r="HF161" t="e">
        <f>AND(#REF!,"AAAAAHu+79U=")</f>
        <v>#REF!</v>
      </c>
      <c r="HG161" t="e">
        <f>AND(#REF!,"AAAAAHu+79Y=")</f>
        <v>#REF!</v>
      </c>
      <c r="HH161" t="e">
        <f>AND(#REF!,"AAAAAHu+79c=")</f>
        <v>#REF!</v>
      </c>
      <c r="HI161" t="e">
        <f>AND(#REF!,"AAAAAHu+79g=")</f>
        <v>#REF!</v>
      </c>
      <c r="HJ161" t="e">
        <f>AND(#REF!,"AAAAAHu+79k=")</f>
        <v>#REF!</v>
      </c>
      <c r="HK161" t="e">
        <f>AND(#REF!,"AAAAAHu+79o=")</f>
        <v>#REF!</v>
      </c>
      <c r="HL161" t="e">
        <f>AND(#REF!,"AAAAAHu+79s=")</f>
        <v>#REF!</v>
      </c>
      <c r="HM161" t="e">
        <f>AND(#REF!,"AAAAAHu+79w=")</f>
        <v>#REF!</v>
      </c>
      <c r="HN161" t="e">
        <f>AND(#REF!,"AAAAAHu+790=")</f>
        <v>#REF!</v>
      </c>
      <c r="HO161" t="e">
        <f>AND(#REF!,"AAAAAHu+794=")</f>
        <v>#REF!</v>
      </c>
      <c r="HP161" t="e">
        <f>AND(#REF!,"AAAAAHu+798=")</f>
        <v>#REF!</v>
      </c>
      <c r="HQ161" t="e">
        <f>AND(#REF!,"AAAAAHu+7+A=")</f>
        <v>#REF!</v>
      </c>
      <c r="HR161" t="e">
        <f>AND(#REF!,"AAAAAHu+7+E=")</f>
        <v>#REF!</v>
      </c>
      <c r="HS161" t="e">
        <f>AND(#REF!,"AAAAAHu+7+I=")</f>
        <v>#REF!</v>
      </c>
      <c r="HT161" t="e">
        <f>AND(#REF!,"AAAAAHu+7+M=")</f>
        <v>#REF!</v>
      </c>
      <c r="HU161" t="e">
        <f>AND(#REF!,"AAAAAHu+7+Q=")</f>
        <v>#REF!</v>
      </c>
      <c r="HV161" t="e">
        <f>AND(#REF!,"AAAAAHu+7+U=")</f>
        <v>#REF!</v>
      </c>
      <c r="HW161" t="e">
        <f>AND(#REF!,"AAAAAHu+7+Y=")</f>
        <v>#REF!</v>
      </c>
      <c r="HX161" t="e">
        <f>AND(#REF!,"AAAAAHu+7+c=")</f>
        <v>#REF!</v>
      </c>
      <c r="HY161" t="e">
        <f>AND(#REF!,"AAAAAHu+7+g=")</f>
        <v>#REF!</v>
      </c>
      <c r="HZ161" t="e">
        <f>AND(#REF!,"AAAAAHu+7+k=")</f>
        <v>#REF!</v>
      </c>
      <c r="IA161" t="e">
        <f>AND(#REF!,"AAAAAHu+7+o=")</f>
        <v>#REF!</v>
      </c>
      <c r="IB161" t="e">
        <f>AND(#REF!,"AAAAAHu+7+s=")</f>
        <v>#REF!</v>
      </c>
      <c r="IC161" t="e">
        <f>AND(#REF!,"AAAAAHu+7+w=")</f>
        <v>#REF!</v>
      </c>
      <c r="ID161" t="e">
        <f>AND(#REF!,"AAAAAHu+7+0=")</f>
        <v>#REF!</v>
      </c>
      <c r="IE161" t="e">
        <f>AND(#REF!,"AAAAAHu+7+4=")</f>
        <v>#REF!</v>
      </c>
      <c r="IF161" t="e">
        <f>AND(#REF!,"AAAAAHu+7+8=")</f>
        <v>#REF!</v>
      </c>
      <c r="IG161" t="e">
        <f>IF(#REF!,"AAAAAHu+7/A=",0)</f>
        <v>#REF!</v>
      </c>
      <c r="IH161" t="e">
        <f>AND(#REF!,"AAAAAHu+7/E=")</f>
        <v>#REF!</v>
      </c>
      <c r="II161" t="e">
        <f>AND(#REF!,"AAAAAHu+7/I=")</f>
        <v>#REF!</v>
      </c>
      <c r="IJ161" t="e">
        <f>AND(#REF!,"AAAAAHu+7/M=")</f>
        <v>#REF!</v>
      </c>
      <c r="IK161" t="e">
        <f>AND(#REF!,"AAAAAHu+7/Q=")</f>
        <v>#REF!</v>
      </c>
      <c r="IL161" t="e">
        <f>AND(#REF!,"AAAAAHu+7/U=")</f>
        <v>#REF!</v>
      </c>
      <c r="IM161" t="e">
        <f>AND(#REF!,"AAAAAHu+7/Y=")</f>
        <v>#REF!</v>
      </c>
      <c r="IN161" t="e">
        <f>AND(#REF!,"AAAAAHu+7/c=")</f>
        <v>#REF!</v>
      </c>
      <c r="IO161" t="e">
        <f>AND(#REF!,"AAAAAHu+7/g=")</f>
        <v>#REF!</v>
      </c>
      <c r="IP161" t="e">
        <f>AND(#REF!,"AAAAAHu+7/k=")</f>
        <v>#REF!</v>
      </c>
      <c r="IQ161" t="e">
        <f>AND(#REF!,"AAAAAHu+7/o=")</f>
        <v>#REF!</v>
      </c>
      <c r="IR161" t="e">
        <f>AND(#REF!,"AAAAAHu+7/s=")</f>
        <v>#REF!</v>
      </c>
      <c r="IS161" t="e">
        <f>AND(#REF!,"AAAAAHu+7/w=")</f>
        <v>#REF!</v>
      </c>
      <c r="IT161" t="e">
        <f>AND(#REF!,"AAAAAHu+7/0=")</f>
        <v>#REF!</v>
      </c>
      <c r="IU161" t="e">
        <f>AND(#REF!,"AAAAAHu+7/4=")</f>
        <v>#REF!</v>
      </c>
      <c r="IV161" t="e">
        <f>AND(#REF!,"AAAAAHu+7/8=")</f>
        <v>#REF!</v>
      </c>
    </row>
    <row r="162" spans="1:256" x14ac:dyDescent="0.2">
      <c r="A162" t="e">
        <f>AND(#REF!,"AAAAAGvvfgA=")</f>
        <v>#REF!</v>
      </c>
      <c r="B162" t="e">
        <f>AND(#REF!,"AAAAAGvvfgE=")</f>
        <v>#REF!</v>
      </c>
      <c r="C162" t="e">
        <f>AND(#REF!,"AAAAAGvvfgI=")</f>
        <v>#REF!</v>
      </c>
      <c r="D162" t="e">
        <f>AND(#REF!,"AAAAAGvvfgM=")</f>
        <v>#REF!</v>
      </c>
      <c r="E162" t="e">
        <f>AND(#REF!,"AAAAAGvvfgQ=")</f>
        <v>#REF!</v>
      </c>
      <c r="F162" t="e">
        <f>AND(#REF!,"AAAAAGvvfgU=")</f>
        <v>#REF!</v>
      </c>
      <c r="G162" t="e">
        <f>AND(#REF!,"AAAAAGvvfgY=")</f>
        <v>#REF!</v>
      </c>
      <c r="H162" t="e">
        <f>AND(#REF!,"AAAAAGvvfgc=")</f>
        <v>#REF!</v>
      </c>
      <c r="I162" t="e">
        <f>AND(#REF!,"AAAAAGvvfgg=")</f>
        <v>#REF!</v>
      </c>
      <c r="J162" t="e">
        <f>AND(#REF!,"AAAAAGvvfgk=")</f>
        <v>#REF!</v>
      </c>
      <c r="K162" t="e">
        <f>AND(#REF!,"AAAAAGvvfgo=")</f>
        <v>#REF!</v>
      </c>
      <c r="L162" t="e">
        <f>AND(#REF!,"AAAAAGvvfgs=")</f>
        <v>#REF!</v>
      </c>
      <c r="M162" t="e">
        <f>AND(#REF!,"AAAAAGvvfgw=")</f>
        <v>#REF!</v>
      </c>
      <c r="N162" t="e">
        <f>AND(#REF!,"AAAAAGvvfg0=")</f>
        <v>#REF!</v>
      </c>
      <c r="O162" t="e">
        <f>AND(#REF!,"AAAAAGvvfg4=")</f>
        <v>#REF!</v>
      </c>
      <c r="P162" t="e">
        <f>IF(#REF!,"AAAAAGvvfg8=",0)</f>
        <v>#REF!</v>
      </c>
      <c r="Q162" t="e">
        <f>AND(#REF!,"AAAAAGvvfhA=")</f>
        <v>#REF!</v>
      </c>
      <c r="R162" t="e">
        <f>AND(#REF!,"AAAAAGvvfhE=")</f>
        <v>#REF!</v>
      </c>
      <c r="S162" t="e">
        <f>AND(#REF!,"AAAAAGvvfhI=")</f>
        <v>#REF!</v>
      </c>
      <c r="T162" t="e">
        <f>AND(#REF!,"AAAAAGvvfhM=")</f>
        <v>#REF!</v>
      </c>
      <c r="U162" t="e">
        <f>AND(#REF!,"AAAAAGvvfhQ=")</f>
        <v>#REF!</v>
      </c>
      <c r="V162" t="e">
        <f>AND(#REF!,"AAAAAGvvfhU=")</f>
        <v>#REF!</v>
      </c>
      <c r="W162" t="e">
        <f>AND(#REF!,"AAAAAGvvfhY=")</f>
        <v>#REF!</v>
      </c>
      <c r="X162" t="e">
        <f>AND(#REF!,"AAAAAGvvfhc=")</f>
        <v>#REF!</v>
      </c>
      <c r="Y162" t="e">
        <f>AND(#REF!,"AAAAAGvvfhg=")</f>
        <v>#REF!</v>
      </c>
      <c r="Z162" t="e">
        <f>AND(#REF!,"AAAAAGvvfhk=")</f>
        <v>#REF!</v>
      </c>
      <c r="AA162" t="e">
        <f>AND(#REF!,"AAAAAGvvfho=")</f>
        <v>#REF!</v>
      </c>
      <c r="AB162" t="e">
        <f>AND(#REF!,"AAAAAGvvfhs=")</f>
        <v>#REF!</v>
      </c>
      <c r="AC162" t="e">
        <f>AND(#REF!,"AAAAAGvvfhw=")</f>
        <v>#REF!</v>
      </c>
      <c r="AD162" t="e">
        <f>AND(#REF!,"AAAAAGvvfh0=")</f>
        <v>#REF!</v>
      </c>
      <c r="AE162" t="e">
        <f>AND(#REF!,"AAAAAGvvfh4=")</f>
        <v>#REF!</v>
      </c>
      <c r="AF162" t="e">
        <f>AND(#REF!,"AAAAAGvvfh8=")</f>
        <v>#REF!</v>
      </c>
      <c r="AG162" t="e">
        <f>AND(#REF!,"AAAAAGvvfiA=")</f>
        <v>#REF!</v>
      </c>
      <c r="AH162" t="e">
        <f>AND(#REF!,"AAAAAGvvfiE=")</f>
        <v>#REF!</v>
      </c>
      <c r="AI162" t="e">
        <f>AND(#REF!,"AAAAAGvvfiI=")</f>
        <v>#REF!</v>
      </c>
      <c r="AJ162" t="e">
        <f>AND(#REF!,"AAAAAGvvfiM=")</f>
        <v>#REF!</v>
      </c>
      <c r="AK162" t="e">
        <f>AND(#REF!,"AAAAAGvvfiQ=")</f>
        <v>#REF!</v>
      </c>
      <c r="AL162" t="e">
        <f>AND(#REF!,"AAAAAGvvfiU=")</f>
        <v>#REF!</v>
      </c>
      <c r="AM162" t="e">
        <f>AND(#REF!,"AAAAAGvvfiY=")</f>
        <v>#REF!</v>
      </c>
      <c r="AN162" t="e">
        <f>AND(#REF!,"AAAAAGvvfic=")</f>
        <v>#REF!</v>
      </c>
      <c r="AO162" t="e">
        <f>AND(#REF!,"AAAAAGvvfig=")</f>
        <v>#REF!</v>
      </c>
      <c r="AP162" t="e">
        <f>AND(#REF!,"AAAAAGvvfik=")</f>
        <v>#REF!</v>
      </c>
      <c r="AQ162" t="e">
        <f>AND(#REF!,"AAAAAGvvfio=")</f>
        <v>#REF!</v>
      </c>
      <c r="AR162" t="e">
        <f>AND(#REF!,"AAAAAGvvfis=")</f>
        <v>#REF!</v>
      </c>
      <c r="AS162" t="e">
        <f>AND(#REF!,"AAAAAGvvfiw=")</f>
        <v>#REF!</v>
      </c>
      <c r="AT162" t="e">
        <f>AND(#REF!,"AAAAAGvvfi0=")</f>
        <v>#REF!</v>
      </c>
      <c r="AU162" t="e">
        <f>IF(#REF!,"AAAAAGvvfi4=",0)</f>
        <v>#REF!</v>
      </c>
      <c r="AV162" t="e">
        <f>AND(#REF!,"AAAAAGvvfi8=")</f>
        <v>#REF!</v>
      </c>
      <c r="AW162" t="e">
        <f>AND(#REF!,"AAAAAGvvfjA=")</f>
        <v>#REF!</v>
      </c>
      <c r="AX162" t="e">
        <f>AND(#REF!,"AAAAAGvvfjE=")</f>
        <v>#REF!</v>
      </c>
      <c r="AY162" t="e">
        <f>AND(#REF!,"AAAAAGvvfjI=")</f>
        <v>#REF!</v>
      </c>
      <c r="AZ162" t="e">
        <f>AND(#REF!,"AAAAAGvvfjM=")</f>
        <v>#REF!</v>
      </c>
      <c r="BA162" t="e">
        <f>AND(#REF!,"AAAAAGvvfjQ=")</f>
        <v>#REF!</v>
      </c>
      <c r="BB162" t="e">
        <f>AND(#REF!,"AAAAAGvvfjU=")</f>
        <v>#REF!</v>
      </c>
      <c r="BC162" t="e">
        <f>AND(#REF!,"AAAAAGvvfjY=")</f>
        <v>#REF!</v>
      </c>
      <c r="BD162" t="e">
        <f>AND(#REF!,"AAAAAGvvfjc=")</f>
        <v>#REF!</v>
      </c>
      <c r="BE162" t="e">
        <f>AND(#REF!,"AAAAAGvvfjg=")</f>
        <v>#REF!</v>
      </c>
      <c r="BF162" t="e">
        <f>AND(#REF!,"AAAAAGvvfjk=")</f>
        <v>#REF!</v>
      </c>
      <c r="BG162" t="e">
        <f>AND(#REF!,"AAAAAGvvfjo=")</f>
        <v>#REF!</v>
      </c>
      <c r="BH162" t="e">
        <f>AND(#REF!,"AAAAAGvvfjs=")</f>
        <v>#REF!</v>
      </c>
      <c r="BI162" t="e">
        <f>AND(#REF!,"AAAAAGvvfjw=")</f>
        <v>#REF!</v>
      </c>
      <c r="BJ162" t="e">
        <f>AND(#REF!,"AAAAAGvvfj0=")</f>
        <v>#REF!</v>
      </c>
      <c r="BK162" t="e">
        <f>AND(#REF!,"AAAAAGvvfj4=")</f>
        <v>#REF!</v>
      </c>
      <c r="BL162" t="e">
        <f>AND(#REF!,"AAAAAGvvfj8=")</f>
        <v>#REF!</v>
      </c>
      <c r="BM162" t="e">
        <f>AND(#REF!,"AAAAAGvvfkA=")</f>
        <v>#REF!</v>
      </c>
      <c r="BN162" t="e">
        <f>AND(#REF!,"AAAAAGvvfkE=")</f>
        <v>#REF!</v>
      </c>
      <c r="BO162" t="e">
        <f>AND(#REF!,"AAAAAGvvfkI=")</f>
        <v>#REF!</v>
      </c>
      <c r="BP162" t="e">
        <f>AND(#REF!,"AAAAAGvvfkM=")</f>
        <v>#REF!</v>
      </c>
      <c r="BQ162" t="e">
        <f>AND(#REF!,"AAAAAGvvfkQ=")</f>
        <v>#REF!</v>
      </c>
      <c r="BR162" t="e">
        <f>AND(#REF!,"AAAAAGvvfkU=")</f>
        <v>#REF!</v>
      </c>
      <c r="BS162" t="e">
        <f>AND(#REF!,"AAAAAGvvfkY=")</f>
        <v>#REF!</v>
      </c>
      <c r="BT162" t="e">
        <f>AND(#REF!,"AAAAAGvvfkc=")</f>
        <v>#REF!</v>
      </c>
      <c r="BU162" t="e">
        <f>AND(#REF!,"AAAAAGvvfkg=")</f>
        <v>#REF!</v>
      </c>
      <c r="BV162" t="e">
        <f>AND(#REF!,"AAAAAGvvfkk=")</f>
        <v>#REF!</v>
      </c>
      <c r="BW162" t="e">
        <f>AND(#REF!,"AAAAAGvvfko=")</f>
        <v>#REF!</v>
      </c>
      <c r="BX162" t="e">
        <f>AND(#REF!,"AAAAAGvvfks=")</f>
        <v>#REF!</v>
      </c>
      <c r="BY162" t="e">
        <f>AND(#REF!,"AAAAAGvvfkw=")</f>
        <v>#REF!</v>
      </c>
      <c r="BZ162" t="e">
        <f>IF(#REF!,"AAAAAGvvfk0=",0)</f>
        <v>#REF!</v>
      </c>
      <c r="CA162" t="e">
        <f>AND(#REF!,"AAAAAGvvfk4=")</f>
        <v>#REF!</v>
      </c>
      <c r="CB162" t="e">
        <f>AND(#REF!,"AAAAAGvvfk8=")</f>
        <v>#REF!</v>
      </c>
      <c r="CC162" t="e">
        <f>AND(#REF!,"AAAAAGvvflA=")</f>
        <v>#REF!</v>
      </c>
      <c r="CD162" t="e">
        <f>AND(#REF!,"AAAAAGvvflE=")</f>
        <v>#REF!</v>
      </c>
      <c r="CE162" t="e">
        <f>AND(#REF!,"AAAAAGvvflI=")</f>
        <v>#REF!</v>
      </c>
      <c r="CF162" t="e">
        <f>AND(#REF!,"AAAAAGvvflM=")</f>
        <v>#REF!</v>
      </c>
      <c r="CG162" t="e">
        <f>AND(#REF!,"AAAAAGvvflQ=")</f>
        <v>#REF!</v>
      </c>
      <c r="CH162" t="e">
        <f>AND(#REF!,"AAAAAGvvflU=")</f>
        <v>#REF!</v>
      </c>
      <c r="CI162" t="e">
        <f>AND(#REF!,"AAAAAGvvflY=")</f>
        <v>#REF!</v>
      </c>
      <c r="CJ162" t="e">
        <f>AND(#REF!,"AAAAAGvvflc=")</f>
        <v>#REF!</v>
      </c>
      <c r="CK162" t="e">
        <f>AND(#REF!,"AAAAAGvvflg=")</f>
        <v>#REF!</v>
      </c>
      <c r="CL162" t="e">
        <f>AND(#REF!,"AAAAAGvvflk=")</f>
        <v>#REF!</v>
      </c>
      <c r="CM162" t="e">
        <f>AND(#REF!,"AAAAAGvvflo=")</f>
        <v>#REF!</v>
      </c>
      <c r="CN162" t="e">
        <f>AND(#REF!,"AAAAAGvvfls=")</f>
        <v>#REF!</v>
      </c>
      <c r="CO162" t="e">
        <f>AND(#REF!,"AAAAAGvvflw=")</f>
        <v>#REF!</v>
      </c>
      <c r="CP162" t="e">
        <f>AND(#REF!,"AAAAAGvvfl0=")</f>
        <v>#REF!</v>
      </c>
      <c r="CQ162" t="e">
        <f>AND(#REF!,"AAAAAGvvfl4=")</f>
        <v>#REF!</v>
      </c>
      <c r="CR162" t="e">
        <f>AND(#REF!,"AAAAAGvvfl8=")</f>
        <v>#REF!</v>
      </c>
      <c r="CS162" t="e">
        <f>AND(#REF!,"AAAAAGvvfmA=")</f>
        <v>#REF!</v>
      </c>
      <c r="CT162" t="e">
        <f>AND(#REF!,"AAAAAGvvfmE=")</f>
        <v>#REF!</v>
      </c>
      <c r="CU162" t="e">
        <f>AND(#REF!,"AAAAAGvvfmI=")</f>
        <v>#REF!</v>
      </c>
      <c r="CV162" t="e">
        <f>AND(#REF!,"AAAAAGvvfmM=")</f>
        <v>#REF!</v>
      </c>
      <c r="CW162" t="e">
        <f>AND(#REF!,"AAAAAGvvfmQ=")</f>
        <v>#REF!</v>
      </c>
      <c r="CX162" t="e">
        <f>AND(#REF!,"AAAAAGvvfmU=")</f>
        <v>#REF!</v>
      </c>
      <c r="CY162" t="e">
        <f>AND(#REF!,"AAAAAGvvfmY=")</f>
        <v>#REF!</v>
      </c>
      <c r="CZ162" t="e">
        <f>AND(#REF!,"AAAAAGvvfmc=")</f>
        <v>#REF!</v>
      </c>
      <c r="DA162" t="e">
        <f>AND(#REF!,"AAAAAGvvfmg=")</f>
        <v>#REF!</v>
      </c>
      <c r="DB162" t="e">
        <f>AND(#REF!,"AAAAAGvvfmk=")</f>
        <v>#REF!</v>
      </c>
      <c r="DC162" t="e">
        <f>AND(#REF!,"AAAAAGvvfmo=")</f>
        <v>#REF!</v>
      </c>
      <c r="DD162" t="e">
        <f>AND(#REF!,"AAAAAGvvfms=")</f>
        <v>#REF!</v>
      </c>
      <c r="DE162" t="e">
        <f>IF(#REF!,"AAAAAGvvfmw=",0)</f>
        <v>#REF!</v>
      </c>
      <c r="DF162" t="e">
        <f>AND(#REF!,"AAAAAGvvfm0=")</f>
        <v>#REF!</v>
      </c>
      <c r="DG162" t="e">
        <f>AND(#REF!,"AAAAAGvvfm4=")</f>
        <v>#REF!</v>
      </c>
      <c r="DH162" t="e">
        <f>AND(#REF!,"AAAAAGvvfm8=")</f>
        <v>#REF!</v>
      </c>
      <c r="DI162" t="e">
        <f>AND(#REF!,"AAAAAGvvfnA=")</f>
        <v>#REF!</v>
      </c>
      <c r="DJ162" t="e">
        <f>AND(#REF!,"AAAAAGvvfnE=")</f>
        <v>#REF!</v>
      </c>
      <c r="DK162" t="e">
        <f>AND(#REF!,"AAAAAGvvfnI=")</f>
        <v>#REF!</v>
      </c>
      <c r="DL162" t="e">
        <f>AND(#REF!,"AAAAAGvvfnM=")</f>
        <v>#REF!</v>
      </c>
      <c r="DM162" t="e">
        <f>AND(#REF!,"AAAAAGvvfnQ=")</f>
        <v>#REF!</v>
      </c>
      <c r="DN162" t="e">
        <f>AND(#REF!,"AAAAAGvvfnU=")</f>
        <v>#REF!</v>
      </c>
      <c r="DO162" t="e">
        <f>AND(#REF!,"AAAAAGvvfnY=")</f>
        <v>#REF!</v>
      </c>
      <c r="DP162" t="e">
        <f>AND(#REF!,"AAAAAGvvfnc=")</f>
        <v>#REF!</v>
      </c>
      <c r="DQ162" t="e">
        <f>AND(#REF!,"AAAAAGvvfng=")</f>
        <v>#REF!</v>
      </c>
      <c r="DR162" t="e">
        <f>AND(#REF!,"AAAAAGvvfnk=")</f>
        <v>#REF!</v>
      </c>
      <c r="DS162" t="e">
        <f>AND(#REF!,"AAAAAGvvfno=")</f>
        <v>#REF!</v>
      </c>
      <c r="DT162" t="e">
        <f>AND(#REF!,"AAAAAGvvfns=")</f>
        <v>#REF!</v>
      </c>
      <c r="DU162" t="e">
        <f>AND(#REF!,"AAAAAGvvfnw=")</f>
        <v>#REF!</v>
      </c>
      <c r="DV162" t="e">
        <f>AND(#REF!,"AAAAAGvvfn0=")</f>
        <v>#REF!</v>
      </c>
      <c r="DW162" t="e">
        <f>AND(#REF!,"AAAAAGvvfn4=")</f>
        <v>#REF!</v>
      </c>
      <c r="DX162" t="e">
        <f>AND(#REF!,"AAAAAGvvfn8=")</f>
        <v>#REF!</v>
      </c>
      <c r="DY162" t="e">
        <f>AND(#REF!,"AAAAAGvvfoA=")</f>
        <v>#REF!</v>
      </c>
      <c r="DZ162" t="e">
        <f>AND(#REF!,"AAAAAGvvfoE=")</f>
        <v>#REF!</v>
      </c>
      <c r="EA162" t="e">
        <f>AND(#REF!,"AAAAAGvvfoI=")</f>
        <v>#REF!</v>
      </c>
      <c r="EB162" t="e">
        <f>AND(#REF!,"AAAAAGvvfoM=")</f>
        <v>#REF!</v>
      </c>
      <c r="EC162" t="e">
        <f>AND(#REF!,"AAAAAGvvfoQ=")</f>
        <v>#REF!</v>
      </c>
      <c r="ED162" t="e">
        <f>AND(#REF!,"AAAAAGvvfoU=")</f>
        <v>#REF!</v>
      </c>
      <c r="EE162" t="e">
        <f>AND(#REF!,"AAAAAGvvfoY=")</f>
        <v>#REF!</v>
      </c>
      <c r="EF162" t="e">
        <f>AND(#REF!,"AAAAAGvvfoc=")</f>
        <v>#REF!</v>
      </c>
      <c r="EG162" t="e">
        <f>AND(#REF!,"AAAAAGvvfog=")</f>
        <v>#REF!</v>
      </c>
      <c r="EH162" t="e">
        <f>AND(#REF!,"AAAAAGvvfok=")</f>
        <v>#REF!</v>
      </c>
      <c r="EI162" t="e">
        <f>AND(#REF!,"AAAAAGvvfoo=")</f>
        <v>#REF!</v>
      </c>
      <c r="EJ162" t="e">
        <f>IF(#REF!,"AAAAAGvvfos=",0)</f>
        <v>#REF!</v>
      </c>
      <c r="EK162" t="e">
        <f>AND(#REF!,"AAAAAGvvfow=")</f>
        <v>#REF!</v>
      </c>
      <c r="EL162" t="e">
        <f>AND(#REF!,"AAAAAGvvfo0=")</f>
        <v>#REF!</v>
      </c>
      <c r="EM162" t="e">
        <f>AND(#REF!,"AAAAAGvvfo4=")</f>
        <v>#REF!</v>
      </c>
      <c r="EN162" t="e">
        <f>AND(#REF!,"AAAAAGvvfo8=")</f>
        <v>#REF!</v>
      </c>
      <c r="EO162" t="e">
        <f>AND(#REF!,"AAAAAGvvfpA=")</f>
        <v>#REF!</v>
      </c>
      <c r="EP162" t="e">
        <f>AND(#REF!,"AAAAAGvvfpE=")</f>
        <v>#REF!</v>
      </c>
      <c r="EQ162" t="e">
        <f>AND(#REF!,"AAAAAGvvfpI=")</f>
        <v>#REF!</v>
      </c>
      <c r="ER162" t="e">
        <f>AND(#REF!,"AAAAAGvvfpM=")</f>
        <v>#REF!</v>
      </c>
      <c r="ES162" t="e">
        <f>AND(#REF!,"AAAAAGvvfpQ=")</f>
        <v>#REF!</v>
      </c>
      <c r="ET162" t="e">
        <f>AND(#REF!,"AAAAAGvvfpU=")</f>
        <v>#REF!</v>
      </c>
      <c r="EU162" t="e">
        <f>AND(#REF!,"AAAAAGvvfpY=")</f>
        <v>#REF!</v>
      </c>
      <c r="EV162" t="e">
        <f>AND(#REF!,"AAAAAGvvfpc=")</f>
        <v>#REF!</v>
      </c>
      <c r="EW162" t="e">
        <f>AND(#REF!,"AAAAAGvvfpg=")</f>
        <v>#REF!</v>
      </c>
      <c r="EX162" t="e">
        <f>AND(#REF!,"AAAAAGvvfpk=")</f>
        <v>#REF!</v>
      </c>
      <c r="EY162" t="e">
        <f>AND(#REF!,"AAAAAGvvfpo=")</f>
        <v>#REF!</v>
      </c>
      <c r="EZ162" t="e">
        <f>AND(#REF!,"AAAAAGvvfps=")</f>
        <v>#REF!</v>
      </c>
      <c r="FA162" t="e">
        <f>AND(#REF!,"AAAAAGvvfpw=")</f>
        <v>#REF!</v>
      </c>
      <c r="FB162" t="e">
        <f>AND(#REF!,"AAAAAGvvfp0=")</f>
        <v>#REF!</v>
      </c>
      <c r="FC162" t="e">
        <f>AND(#REF!,"AAAAAGvvfp4=")</f>
        <v>#REF!</v>
      </c>
      <c r="FD162" t="e">
        <f>AND(#REF!,"AAAAAGvvfp8=")</f>
        <v>#REF!</v>
      </c>
      <c r="FE162" t="e">
        <f>AND(#REF!,"AAAAAGvvfqA=")</f>
        <v>#REF!</v>
      </c>
      <c r="FF162" t="e">
        <f>AND(#REF!,"AAAAAGvvfqE=")</f>
        <v>#REF!</v>
      </c>
      <c r="FG162" t="e">
        <f>AND(#REF!,"AAAAAGvvfqI=")</f>
        <v>#REF!</v>
      </c>
      <c r="FH162" t="e">
        <f>AND(#REF!,"AAAAAGvvfqM=")</f>
        <v>#REF!</v>
      </c>
      <c r="FI162" t="e">
        <f>AND(#REF!,"AAAAAGvvfqQ=")</f>
        <v>#REF!</v>
      </c>
      <c r="FJ162" t="e">
        <f>AND(#REF!,"AAAAAGvvfqU=")</f>
        <v>#REF!</v>
      </c>
      <c r="FK162" t="e">
        <f>AND(#REF!,"AAAAAGvvfqY=")</f>
        <v>#REF!</v>
      </c>
      <c r="FL162" t="e">
        <f>AND(#REF!,"AAAAAGvvfqc=")</f>
        <v>#REF!</v>
      </c>
      <c r="FM162" t="e">
        <f>AND(#REF!,"AAAAAGvvfqg=")</f>
        <v>#REF!</v>
      </c>
      <c r="FN162" t="e">
        <f>AND(#REF!,"AAAAAGvvfqk=")</f>
        <v>#REF!</v>
      </c>
      <c r="FO162" t="e">
        <f>IF(#REF!,"AAAAAGvvfqo=",0)</f>
        <v>#REF!</v>
      </c>
      <c r="FP162" t="e">
        <f>AND(#REF!,"AAAAAGvvfqs=")</f>
        <v>#REF!</v>
      </c>
      <c r="FQ162" t="e">
        <f>AND(#REF!,"AAAAAGvvfqw=")</f>
        <v>#REF!</v>
      </c>
      <c r="FR162" t="e">
        <f>AND(#REF!,"AAAAAGvvfq0=")</f>
        <v>#REF!</v>
      </c>
      <c r="FS162" t="e">
        <f>AND(#REF!,"AAAAAGvvfq4=")</f>
        <v>#REF!</v>
      </c>
      <c r="FT162" t="e">
        <f>AND(#REF!,"AAAAAGvvfq8=")</f>
        <v>#REF!</v>
      </c>
      <c r="FU162" t="e">
        <f>AND(#REF!,"AAAAAGvvfrA=")</f>
        <v>#REF!</v>
      </c>
      <c r="FV162" t="e">
        <f>AND(#REF!,"AAAAAGvvfrE=")</f>
        <v>#REF!</v>
      </c>
      <c r="FW162" t="e">
        <f>AND(#REF!,"AAAAAGvvfrI=")</f>
        <v>#REF!</v>
      </c>
      <c r="FX162" t="e">
        <f>AND(#REF!,"AAAAAGvvfrM=")</f>
        <v>#REF!</v>
      </c>
      <c r="FY162" t="e">
        <f>AND(#REF!,"AAAAAGvvfrQ=")</f>
        <v>#REF!</v>
      </c>
      <c r="FZ162" t="e">
        <f>AND(#REF!,"AAAAAGvvfrU=")</f>
        <v>#REF!</v>
      </c>
      <c r="GA162" t="e">
        <f>AND(#REF!,"AAAAAGvvfrY=")</f>
        <v>#REF!</v>
      </c>
      <c r="GB162" t="e">
        <f>AND(#REF!,"AAAAAGvvfrc=")</f>
        <v>#REF!</v>
      </c>
      <c r="GC162" t="e">
        <f>AND(#REF!,"AAAAAGvvfrg=")</f>
        <v>#REF!</v>
      </c>
      <c r="GD162" t="e">
        <f>AND(#REF!,"AAAAAGvvfrk=")</f>
        <v>#REF!</v>
      </c>
      <c r="GE162" t="e">
        <f>AND(#REF!,"AAAAAGvvfro=")</f>
        <v>#REF!</v>
      </c>
      <c r="GF162" t="e">
        <f>AND(#REF!,"AAAAAGvvfrs=")</f>
        <v>#REF!</v>
      </c>
      <c r="GG162" t="e">
        <f>AND(#REF!,"AAAAAGvvfrw=")</f>
        <v>#REF!</v>
      </c>
      <c r="GH162" t="e">
        <f>AND(#REF!,"AAAAAGvvfr0=")</f>
        <v>#REF!</v>
      </c>
      <c r="GI162" t="e">
        <f>AND(#REF!,"AAAAAGvvfr4=")</f>
        <v>#REF!</v>
      </c>
      <c r="GJ162" t="e">
        <f>AND(#REF!,"AAAAAGvvfr8=")</f>
        <v>#REF!</v>
      </c>
      <c r="GK162" t="e">
        <f>AND(#REF!,"AAAAAGvvfsA=")</f>
        <v>#REF!</v>
      </c>
      <c r="GL162" t="e">
        <f>AND(#REF!,"AAAAAGvvfsE=")</f>
        <v>#REF!</v>
      </c>
      <c r="GM162" t="e">
        <f>AND(#REF!,"AAAAAGvvfsI=")</f>
        <v>#REF!</v>
      </c>
      <c r="GN162" t="e">
        <f>AND(#REF!,"AAAAAGvvfsM=")</f>
        <v>#REF!</v>
      </c>
      <c r="GO162" t="e">
        <f>AND(#REF!,"AAAAAGvvfsQ=")</f>
        <v>#REF!</v>
      </c>
      <c r="GP162" t="e">
        <f>AND(#REF!,"AAAAAGvvfsU=")</f>
        <v>#REF!</v>
      </c>
      <c r="GQ162" t="e">
        <f>AND(#REF!,"AAAAAGvvfsY=")</f>
        <v>#REF!</v>
      </c>
      <c r="GR162" t="e">
        <f>AND(#REF!,"AAAAAGvvfsc=")</f>
        <v>#REF!</v>
      </c>
      <c r="GS162" t="e">
        <f>AND(#REF!,"AAAAAGvvfsg=")</f>
        <v>#REF!</v>
      </c>
      <c r="GT162" t="e">
        <f>IF(#REF!,"AAAAAGvvfsk=",0)</f>
        <v>#REF!</v>
      </c>
      <c r="GU162" t="e">
        <f>AND(#REF!,"AAAAAGvvfso=")</f>
        <v>#REF!</v>
      </c>
      <c r="GV162" t="e">
        <f>AND(#REF!,"AAAAAGvvfss=")</f>
        <v>#REF!</v>
      </c>
      <c r="GW162" t="e">
        <f>AND(#REF!,"AAAAAGvvfsw=")</f>
        <v>#REF!</v>
      </c>
      <c r="GX162" t="e">
        <f>AND(#REF!,"AAAAAGvvfs0=")</f>
        <v>#REF!</v>
      </c>
      <c r="GY162" t="e">
        <f>AND(#REF!,"AAAAAGvvfs4=")</f>
        <v>#REF!</v>
      </c>
      <c r="GZ162" t="e">
        <f>AND(#REF!,"AAAAAGvvfs8=")</f>
        <v>#REF!</v>
      </c>
      <c r="HA162" t="e">
        <f>AND(#REF!,"AAAAAGvvftA=")</f>
        <v>#REF!</v>
      </c>
      <c r="HB162" t="e">
        <f>AND(#REF!,"AAAAAGvvftE=")</f>
        <v>#REF!</v>
      </c>
      <c r="HC162" t="e">
        <f>AND(#REF!,"AAAAAGvvftI=")</f>
        <v>#REF!</v>
      </c>
      <c r="HD162" t="e">
        <f>AND(#REF!,"AAAAAGvvftM=")</f>
        <v>#REF!</v>
      </c>
      <c r="HE162" t="e">
        <f>AND(#REF!,"AAAAAGvvftQ=")</f>
        <v>#REF!</v>
      </c>
      <c r="HF162" t="e">
        <f>AND(#REF!,"AAAAAGvvftU=")</f>
        <v>#REF!</v>
      </c>
      <c r="HG162" t="e">
        <f>AND(#REF!,"AAAAAGvvftY=")</f>
        <v>#REF!</v>
      </c>
      <c r="HH162" t="e">
        <f>AND(#REF!,"AAAAAGvvftc=")</f>
        <v>#REF!</v>
      </c>
      <c r="HI162" t="e">
        <f>AND(#REF!,"AAAAAGvvftg=")</f>
        <v>#REF!</v>
      </c>
      <c r="HJ162" t="e">
        <f>AND(#REF!,"AAAAAGvvftk=")</f>
        <v>#REF!</v>
      </c>
      <c r="HK162" t="e">
        <f>AND(#REF!,"AAAAAGvvfto=")</f>
        <v>#REF!</v>
      </c>
      <c r="HL162" t="e">
        <f>AND(#REF!,"AAAAAGvvfts=")</f>
        <v>#REF!</v>
      </c>
      <c r="HM162" t="e">
        <f>AND(#REF!,"AAAAAGvvftw=")</f>
        <v>#REF!</v>
      </c>
      <c r="HN162" t="e">
        <f>AND(#REF!,"AAAAAGvvft0=")</f>
        <v>#REF!</v>
      </c>
      <c r="HO162" t="e">
        <f>AND(#REF!,"AAAAAGvvft4=")</f>
        <v>#REF!</v>
      </c>
      <c r="HP162" t="e">
        <f>AND(#REF!,"AAAAAGvvft8=")</f>
        <v>#REF!</v>
      </c>
      <c r="HQ162" t="e">
        <f>AND(#REF!,"AAAAAGvvfuA=")</f>
        <v>#REF!</v>
      </c>
      <c r="HR162" t="e">
        <f>AND(#REF!,"AAAAAGvvfuE=")</f>
        <v>#REF!</v>
      </c>
      <c r="HS162" t="e">
        <f>AND(#REF!,"AAAAAGvvfuI=")</f>
        <v>#REF!</v>
      </c>
      <c r="HT162" t="e">
        <f>AND(#REF!,"AAAAAGvvfuM=")</f>
        <v>#REF!</v>
      </c>
      <c r="HU162" t="e">
        <f>AND(#REF!,"AAAAAGvvfuQ=")</f>
        <v>#REF!</v>
      </c>
      <c r="HV162" t="e">
        <f>AND(#REF!,"AAAAAGvvfuU=")</f>
        <v>#REF!</v>
      </c>
      <c r="HW162" t="e">
        <f>AND(#REF!,"AAAAAGvvfuY=")</f>
        <v>#REF!</v>
      </c>
      <c r="HX162" t="e">
        <f>AND(#REF!,"AAAAAGvvfuc=")</f>
        <v>#REF!</v>
      </c>
      <c r="HY162" t="e">
        <f>IF(#REF!,"AAAAAGvvfug=",0)</f>
        <v>#REF!</v>
      </c>
      <c r="HZ162" t="e">
        <f>AND(#REF!,"AAAAAGvvfuk=")</f>
        <v>#REF!</v>
      </c>
      <c r="IA162" t="e">
        <f>AND(#REF!,"AAAAAGvvfuo=")</f>
        <v>#REF!</v>
      </c>
      <c r="IB162" t="e">
        <f>AND(#REF!,"AAAAAGvvfus=")</f>
        <v>#REF!</v>
      </c>
      <c r="IC162" t="e">
        <f>AND(#REF!,"AAAAAGvvfuw=")</f>
        <v>#REF!</v>
      </c>
      <c r="ID162" t="e">
        <f>AND(#REF!,"AAAAAGvvfu0=")</f>
        <v>#REF!</v>
      </c>
      <c r="IE162" t="e">
        <f>AND(#REF!,"AAAAAGvvfu4=")</f>
        <v>#REF!</v>
      </c>
      <c r="IF162" t="e">
        <f>AND(#REF!,"AAAAAGvvfu8=")</f>
        <v>#REF!</v>
      </c>
      <c r="IG162" t="e">
        <f>AND(#REF!,"AAAAAGvvfvA=")</f>
        <v>#REF!</v>
      </c>
      <c r="IH162" t="e">
        <f>AND(#REF!,"AAAAAGvvfvE=")</f>
        <v>#REF!</v>
      </c>
      <c r="II162" t="e">
        <f>AND(#REF!,"AAAAAGvvfvI=")</f>
        <v>#REF!</v>
      </c>
      <c r="IJ162" t="e">
        <f>AND(#REF!,"AAAAAGvvfvM=")</f>
        <v>#REF!</v>
      </c>
      <c r="IK162" t="e">
        <f>AND(#REF!,"AAAAAGvvfvQ=")</f>
        <v>#REF!</v>
      </c>
      <c r="IL162" t="e">
        <f>AND(#REF!,"AAAAAGvvfvU=")</f>
        <v>#REF!</v>
      </c>
      <c r="IM162" t="e">
        <f>AND(#REF!,"AAAAAGvvfvY=")</f>
        <v>#REF!</v>
      </c>
      <c r="IN162" t="e">
        <f>AND(#REF!,"AAAAAGvvfvc=")</f>
        <v>#REF!</v>
      </c>
      <c r="IO162" t="e">
        <f>AND(#REF!,"AAAAAGvvfvg=")</f>
        <v>#REF!</v>
      </c>
      <c r="IP162" t="e">
        <f>AND(#REF!,"AAAAAGvvfvk=")</f>
        <v>#REF!</v>
      </c>
      <c r="IQ162" t="e">
        <f>AND(#REF!,"AAAAAGvvfvo=")</f>
        <v>#REF!</v>
      </c>
      <c r="IR162" t="e">
        <f>AND(#REF!,"AAAAAGvvfvs=")</f>
        <v>#REF!</v>
      </c>
      <c r="IS162" t="e">
        <f>AND(#REF!,"AAAAAGvvfvw=")</f>
        <v>#REF!</v>
      </c>
      <c r="IT162" t="e">
        <f>AND(#REF!,"AAAAAGvvfv0=")</f>
        <v>#REF!</v>
      </c>
      <c r="IU162" t="e">
        <f>AND(#REF!,"AAAAAGvvfv4=")</f>
        <v>#REF!</v>
      </c>
      <c r="IV162" t="e">
        <f>AND(#REF!,"AAAAAGvvfv8=")</f>
        <v>#REF!</v>
      </c>
    </row>
    <row r="163" spans="1:256" x14ac:dyDescent="0.2">
      <c r="A163" t="e">
        <f>AND(#REF!,"AAAAAFnvzQA=")</f>
        <v>#REF!</v>
      </c>
      <c r="B163" t="e">
        <f>AND(#REF!,"AAAAAFnvzQE=")</f>
        <v>#REF!</v>
      </c>
      <c r="C163" t="e">
        <f>AND(#REF!,"AAAAAFnvzQI=")</f>
        <v>#REF!</v>
      </c>
      <c r="D163" t="e">
        <f>AND(#REF!,"AAAAAFnvzQM=")</f>
        <v>#REF!</v>
      </c>
      <c r="E163" t="e">
        <f>AND(#REF!,"AAAAAFnvzQQ=")</f>
        <v>#REF!</v>
      </c>
      <c r="F163" t="e">
        <f>AND(#REF!,"AAAAAFnvzQU=")</f>
        <v>#REF!</v>
      </c>
      <c r="G163" t="e">
        <f>AND(#REF!,"AAAAAFnvzQY=")</f>
        <v>#REF!</v>
      </c>
      <c r="H163" t="e">
        <f>IF(#REF!,"AAAAAFnvzQc=",0)</f>
        <v>#REF!</v>
      </c>
      <c r="I163" t="e">
        <f>AND(#REF!,"AAAAAFnvzQg=")</f>
        <v>#REF!</v>
      </c>
      <c r="J163" t="e">
        <f>AND(#REF!,"AAAAAFnvzQk=")</f>
        <v>#REF!</v>
      </c>
      <c r="K163" t="e">
        <f>AND(#REF!,"AAAAAFnvzQo=")</f>
        <v>#REF!</v>
      </c>
      <c r="L163" t="e">
        <f>AND(#REF!,"AAAAAFnvzQs=")</f>
        <v>#REF!</v>
      </c>
      <c r="M163" t="e">
        <f>AND(#REF!,"AAAAAFnvzQw=")</f>
        <v>#REF!</v>
      </c>
      <c r="N163" t="e">
        <f>AND(#REF!,"AAAAAFnvzQ0=")</f>
        <v>#REF!</v>
      </c>
      <c r="O163" t="e">
        <f>AND(#REF!,"AAAAAFnvzQ4=")</f>
        <v>#REF!</v>
      </c>
      <c r="P163" t="e">
        <f>AND(#REF!,"AAAAAFnvzQ8=")</f>
        <v>#REF!</v>
      </c>
      <c r="Q163" t="e">
        <f>AND(#REF!,"AAAAAFnvzRA=")</f>
        <v>#REF!</v>
      </c>
      <c r="R163" t="e">
        <f>AND(#REF!,"AAAAAFnvzRE=")</f>
        <v>#REF!</v>
      </c>
      <c r="S163" t="e">
        <f>AND(#REF!,"AAAAAFnvzRI=")</f>
        <v>#REF!</v>
      </c>
      <c r="T163" t="e">
        <f>AND(#REF!,"AAAAAFnvzRM=")</f>
        <v>#REF!</v>
      </c>
      <c r="U163" t="e">
        <f>AND(#REF!,"AAAAAFnvzRQ=")</f>
        <v>#REF!</v>
      </c>
      <c r="V163" t="e">
        <f>AND(#REF!,"AAAAAFnvzRU=")</f>
        <v>#REF!</v>
      </c>
      <c r="W163" t="e">
        <f>AND(#REF!,"AAAAAFnvzRY=")</f>
        <v>#REF!</v>
      </c>
      <c r="X163" t="e">
        <f>AND(#REF!,"AAAAAFnvzRc=")</f>
        <v>#REF!</v>
      </c>
      <c r="Y163" t="e">
        <f>AND(#REF!,"AAAAAFnvzRg=")</f>
        <v>#REF!</v>
      </c>
      <c r="Z163" t="e">
        <f>AND(#REF!,"AAAAAFnvzRk=")</f>
        <v>#REF!</v>
      </c>
      <c r="AA163" t="e">
        <f>AND(#REF!,"AAAAAFnvzRo=")</f>
        <v>#REF!</v>
      </c>
      <c r="AB163" t="e">
        <f>AND(#REF!,"AAAAAFnvzRs=")</f>
        <v>#REF!</v>
      </c>
      <c r="AC163" t="e">
        <f>AND(#REF!,"AAAAAFnvzRw=")</f>
        <v>#REF!</v>
      </c>
      <c r="AD163" t="e">
        <f>AND(#REF!,"AAAAAFnvzR0=")</f>
        <v>#REF!</v>
      </c>
      <c r="AE163" t="e">
        <f>AND(#REF!,"AAAAAFnvzR4=")</f>
        <v>#REF!</v>
      </c>
      <c r="AF163" t="e">
        <f>AND(#REF!,"AAAAAFnvzR8=")</f>
        <v>#REF!</v>
      </c>
      <c r="AG163" t="e">
        <f>AND(#REF!,"AAAAAFnvzSA=")</f>
        <v>#REF!</v>
      </c>
      <c r="AH163" t="e">
        <f>AND(#REF!,"AAAAAFnvzSE=")</f>
        <v>#REF!</v>
      </c>
      <c r="AI163" t="e">
        <f>AND(#REF!,"AAAAAFnvzSI=")</f>
        <v>#REF!</v>
      </c>
      <c r="AJ163" t="e">
        <f>AND(#REF!,"AAAAAFnvzSM=")</f>
        <v>#REF!</v>
      </c>
      <c r="AK163" t="e">
        <f>AND(#REF!,"AAAAAFnvzSQ=")</f>
        <v>#REF!</v>
      </c>
      <c r="AL163" t="e">
        <f>AND(#REF!,"AAAAAFnvzSU=")</f>
        <v>#REF!</v>
      </c>
      <c r="AM163" t="e">
        <f>IF(#REF!,"AAAAAFnvzSY=",0)</f>
        <v>#REF!</v>
      </c>
      <c r="AN163" t="e">
        <f>AND(#REF!,"AAAAAFnvzSc=")</f>
        <v>#REF!</v>
      </c>
      <c r="AO163" t="e">
        <f>AND(#REF!,"AAAAAFnvzSg=")</f>
        <v>#REF!</v>
      </c>
      <c r="AP163" t="e">
        <f>AND(#REF!,"AAAAAFnvzSk=")</f>
        <v>#REF!</v>
      </c>
      <c r="AQ163" t="e">
        <f>AND(#REF!,"AAAAAFnvzSo=")</f>
        <v>#REF!</v>
      </c>
      <c r="AR163" t="e">
        <f>AND(#REF!,"AAAAAFnvzSs=")</f>
        <v>#REF!</v>
      </c>
      <c r="AS163" t="e">
        <f>AND(#REF!,"AAAAAFnvzSw=")</f>
        <v>#REF!</v>
      </c>
      <c r="AT163" t="e">
        <f>AND(#REF!,"AAAAAFnvzS0=")</f>
        <v>#REF!</v>
      </c>
      <c r="AU163" t="e">
        <f>AND(#REF!,"AAAAAFnvzS4=")</f>
        <v>#REF!</v>
      </c>
      <c r="AV163" t="e">
        <f>AND(#REF!,"AAAAAFnvzS8=")</f>
        <v>#REF!</v>
      </c>
      <c r="AW163" t="e">
        <f>AND(#REF!,"AAAAAFnvzTA=")</f>
        <v>#REF!</v>
      </c>
      <c r="AX163" t="e">
        <f>AND(#REF!,"AAAAAFnvzTE=")</f>
        <v>#REF!</v>
      </c>
      <c r="AY163" t="e">
        <f>AND(#REF!,"AAAAAFnvzTI=")</f>
        <v>#REF!</v>
      </c>
      <c r="AZ163" t="e">
        <f>AND(#REF!,"AAAAAFnvzTM=")</f>
        <v>#REF!</v>
      </c>
      <c r="BA163" t="e">
        <f>AND(#REF!,"AAAAAFnvzTQ=")</f>
        <v>#REF!</v>
      </c>
      <c r="BB163" t="e">
        <f>AND(#REF!,"AAAAAFnvzTU=")</f>
        <v>#REF!</v>
      </c>
      <c r="BC163" t="e">
        <f>AND(#REF!,"AAAAAFnvzTY=")</f>
        <v>#REF!</v>
      </c>
      <c r="BD163" t="e">
        <f>AND(#REF!,"AAAAAFnvzTc=")</f>
        <v>#REF!</v>
      </c>
      <c r="BE163" t="e">
        <f>AND(#REF!,"AAAAAFnvzTg=")</f>
        <v>#REF!</v>
      </c>
      <c r="BF163" t="e">
        <f>AND(#REF!,"AAAAAFnvzTk=")</f>
        <v>#REF!</v>
      </c>
      <c r="BG163" t="e">
        <f>AND(#REF!,"AAAAAFnvzTo=")</f>
        <v>#REF!</v>
      </c>
      <c r="BH163" t="e">
        <f>AND(#REF!,"AAAAAFnvzTs=")</f>
        <v>#REF!</v>
      </c>
      <c r="BI163" t="e">
        <f>AND(#REF!,"AAAAAFnvzTw=")</f>
        <v>#REF!</v>
      </c>
      <c r="BJ163" t="e">
        <f>AND(#REF!,"AAAAAFnvzT0=")</f>
        <v>#REF!</v>
      </c>
      <c r="BK163" t="e">
        <f>AND(#REF!,"AAAAAFnvzT4=")</f>
        <v>#REF!</v>
      </c>
      <c r="BL163" t="e">
        <f>AND(#REF!,"AAAAAFnvzT8=")</f>
        <v>#REF!</v>
      </c>
      <c r="BM163" t="e">
        <f>AND(#REF!,"AAAAAFnvzUA=")</f>
        <v>#REF!</v>
      </c>
      <c r="BN163" t="e">
        <f>AND(#REF!,"AAAAAFnvzUE=")</f>
        <v>#REF!</v>
      </c>
      <c r="BO163" t="e">
        <f>AND(#REF!,"AAAAAFnvzUI=")</f>
        <v>#REF!</v>
      </c>
      <c r="BP163" t="e">
        <f>AND(#REF!,"AAAAAFnvzUM=")</f>
        <v>#REF!</v>
      </c>
      <c r="BQ163" t="e">
        <f>AND(#REF!,"AAAAAFnvzUQ=")</f>
        <v>#REF!</v>
      </c>
      <c r="BR163" t="e">
        <f>IF(#REF!,"AAAAAFnvzUU=",0)</f>
        <v>#REF!</v>
      </c>
      <c r="BS163" t="e">
        <f>AND(#REF!,"AAAAAFnvzUY=")</f>
        <v>#REF!</v>
      </c>
      <c r="BT163" t="e">
        <f>AND(#REF!,"AAAAAFnvzUc=")</f>
        <v>#REF!</v>
      </c>
      <c r="BU163" t="e">
        <f>AND(#REF!,"AAAAAFnvzUg=")</f>
        <v>#REF!</v>
      </c>
      <c r="BV163" t="e">
        <f>AND(#REF!,"AAAAAFnvzUk=")</f>
        <v>#REF!</v>
      </c>
      <c r="BW163" t="e">
        <f>AND(#REF!,"AAAAAFnvzUo=")</f>
        <v>#REF!</v>
      </c>
      <c r="BX163" t="e">
        <f>AND(#REF!,"AAAAAFnvzUs=")</f>
        <v>#REF!</v>
      </c>
      <c r="BY163" t="e">
        <f>AND(#REF!,"AAAAAFnvzUw=")</f>
        <v>#REF!</v>
      </c>
      <c r="BZ163" t="e">
        <f>AND(#REF!,"AAAAAFnvzU0=")</f>
        <v>#REF!</v>
      </c>
      <c r="CA163" t="e">
        <f>AND(#REF!,"AAAAAFnvzU4=")</f>
        <v>#REF!</v>
      </c>
      <c r="CB163" t="e">
        <f>AND(#REF!,"AAAAAFnvzU8=")</f>
        <v>#REF!</v>
      </c>
      <c r="CC163" t="e">
        <f>AND(#REF!,"AAAAAFnvzVA=")</f>
        <v>#REF!</v>
      </c>
      <c r="CD163" t="e">
        <f>AND(#REF!,"AAAAAFnvzVE=")</f>
        <v>#REF!</v>
      </c>
      <c r="CE163" t="e">
        <f>AND(#REF!,"AAAAAFnvzVI=")</f>
        <v>#REF!</v>
      </c>
      <c r="CF163" t="e">
        <f>AND(#REF!,"AAAAAFnvzVM=")</f>
        <v>#REF!</v>
      </c>
      <c r="CG163" t="e">
        <f>AND(#REF!,"AAAAAFnvzVQ=")</f>
        <v>#REF!</v>
      </c>
      <c r="CH163" t="e">
        <f>AND(#REF!,"AAAAAFnvzVU=")</f>
        <v>#REF!</v>
      </c>
      <c r="CI163" t="e">
        <f>AND(#REF!,"AAAAAFnvzVY=")</f>
        <v>#REF!</v>
      </c>
      <c r="CJ163" t="e">
        <f>AND(#REF!,"AAAAAFnvzVc=")</f>
        <v>#REF!</v>
      </c>
      <c r="CK163" t="e">
        <f>AND(#REF!,"AAAAAFnvzVg=")</f>
        <v>#REF!</v>
      </c>
      <c r="CL163" t="e">
        <f>AND(#REF!,"AAAAAFnvzVk=")</f>
        <v>#REF!</v>
      </c>
      <c r="CM163" t="e">
        <f>AND(#REF!,"AAAAAFnvzVo=")</f>
        <v>#REF!</v>
      </c>
      <c r="CN163" t="e">
        <f>AND(#REF!,"AAAAAFnvzVs=")</f>
        <v>#REF!</v>
      </c>
      <c r="CO163" t="e">
        <f>AND(#REF!,"AAAAAFnvzVw=")</f>
        <v>#REF!</v>
      </c>
      <c r="CP163" t="e">
        <f>AND(#REF!,"AAAAAFnvzV0=")</f>
        <v>#REF!</v>
      </c>
      <c r="CQ163" t="e">
        <f>AND(#REF!,"AAAAAFnvzV4=")</f>
        <v>#REF!</v>
      </c>
      <c r="CR163" t="e">
        <f>AND(#REF!,"AAAAAFnvzV8=")</f>
        <v>#REF!</v>
      </c>
      <c r="CS163" t="e">
        <f>AND(#REF!,"AAAAAFnvzWA=")</f>
        <v>#REF!</v>
      </c>
      <c r="CT163" t="e">
        <f>AND(#REF!,"AAAAAFnvzWE=")</f>
        <v>#REF!</v>
      </c>
      <c r="CU163" t="e">
        <f>AND(#REF!,"AAAAAFnvzWI=")</f>
        <v>#REF!</v>
      </c>
      <c r="CV163" t="e">
        <f>AND(#REF!,"AAAAAFnvzWM=")</f>
        <v>#REF!</v>
      </c>
      <c r="CW163" t="e">
        <f>IF(#REF!,"AAAAAFnvzWQ=",0)</f>
        <v>#REF!</v>
      </c>
      <c r="CX163" t="e">
        <f>AND(#REF!,"AAAAAFnvzWU=")</f>
        <v>#REF!</v>
      </c>
      <c r="CY163" t="e">
        <f>AND(#REF!,"AAAAAFnvzWY=")</f>
        <v>#REF!</v>
      </c>
      <c r="CZ163" t="e">
        <f>AND(#REF!,"AAAAAFnvzWc=")</f>
        <v>#REF!</v>
      </c>
      <c r="DA163" t="e">
        <f>AND(#REF!,"AAAAAFnvzWg=")</f>
        <v>#REF!</v>
      </c>
      <c r="DB163" t="e">
        <f>AND(#REF!,"AAAAAFnvzWk=")</f>
        <v>#REF!</v>
      </c>
      <c r="DC163" t="e">
        <f>AND(#REF!,"AAAAAFnvzWo=")</f>
        <v>#REF!</v>
      </c>
      <c r="DD163" t="e">
        <f>AND(#REF!,"AAAAAFnvzWs=")</f>
        <v>#REF!</v>
      </c>
      <c r="DE163" t="e">
        <f>AND(#REF!,"AAAAAFnvzWw=")</f>
        <v>#REF!</v>
      </c>
      <c r="DF163" t="e">
        <f>AND(#REF!,"AAAAAFnvzW0=")</f>
        <v>#REF!</v>
      </c>
      <c r="DG163" t="e">
        <f>AND(#REF!,"AAAAAFnvzW4=")</f>
        <v>#REF!</v>
      </c>
      <c r="DH163" t="e">
        <f>AND(#REF!,"AAAAAFnvzW8=")</f>
        <v>#REF!</v>
      </c>
      <c r="DI163" t="e">
        <f>AND(#REF!,"AAAAAFnvzXA=")</f>
        <v>#REF!</v>
      </c>
      <c r="DJ163" t="e">
        <f>AND(#REF!,"AAAAAFnvzXE=")</f>
        <v>#REF!</v>
      </c>
      <c r="DK163" t="e">
        <f>AND(#REF!,"AAAAAFnvzXI=")</f>
        <v>#REF!</v>
      </c>
      <c r="DL163" t="e">
        <f>AND(#REF!,"AAAAAFnvzXM=")</f>
        <v>#REF!</v>
      </c>
      <c r="DM163" t="e">
        <f>AND(#REF!,"AAAAAFnvzXQ=")</f>
        <v>#REF!</v>
      </c>
      <c r="DN163" t="e">
        <f>AND(#REF!,"AAAAAFnvzXU=")</f>
        <v>#REF!</v>
      </c>
      <c r="DO163" t="e">
        <f>AND(#REF!,"AAAAAFnvzXY=")</f>
        <v>#REF!</v>
      </c>
      <c r="DP163" t="e">
        <f>AND(#REF!,"AAAAAFnvzXc=")</f>
        <v>#REF!</v>
      </c>
      <c r="DQ163" t="e">
        <f>AND(#REF!,"AAAAAFnvzXg=")</f>
        <v>#REF!</v>
      </c>
      <c r="DR163" t="e">
        <f>AND(#REF!,"AAAAAFnvzXk=")</f>
        <v>#REF!</v>
      </c>
      <c r="DS163" t="e">
        <f>AND(#REF!,"AAAAAFnvzXo=")</f>
        <v>#REF!</v>
      </c>
      <c r="DT163" t="e">
        <f>AND(#REF!,"AAAAAFnvzXs=")</f>
        <v>#REF!</v>
      </c>
      <c r="DU163" t="e">
        <f>AND(#REF!,"AAAAAFnvzXw=")</f>
        <v>#REF!</v>
      </c>
      <c r="DV163" t="e">
        <f>AND(#REF!,"AAAAAFnvzX0=")</f>
        <v>#REF!</v>
      </c>
      <c r="DW163" t="e">
        <f>AND(#REF!,"AAAAAFnvzX4=")</f>
        <v>#REF!</v>
      </c>
      <c r="DX163" t="e">
        <f>AND(#REF!,"AAAAAFnvzX8=")</f>
        <v>#REF!</v>
      </c>
      <c r="DY163" t="e">
        <f>AND(#REF!,"AAAAAFnvzYA=")</f>
        <v>#REF!</v>
      </c>
      <c r="DZ163" t="e">
        <f>AND(#REF!,"AAAAAFnvzYE=")</f>
        <v>#REF!</v>
      </c>
      <c r="EA163" t="e">
        <f>AND(#REF!,"AAAAAFnvzYI=")</f>
        <v>#REF!</v>
      </c>
      <c r="EB163" t="e">
        <f>IF(#REF!,"AAAAAFnvzYM=",0)</f>
        <v>#REF!</v>
      </c>
      <c r="EC163" t="e">
        <f>AND(#REF!,"AAAAAFnvzYQ=")</f>
        <v>#REF!</v>
      </c>
      <c r="ED163" t="e">
        <f>AND(#REF!,"AAAAAFnvzYU=")</f>
        <v>#REF!</v>
      </c>
      <c r="EE163" t="e">
        <f>AND(#REF!,"AAAAAFnvzYY=")</f>
        <v>#REF!</v>
      </c>
      <c r="EF163" t="e">
        <f>AND(#REF!,"AAAAAFnvzYc=")</f>
        <v>#REF!</v>
      </c>
      <c r="EG163" t="e">
        <f>AND(#REF!,"AAAAAFnvzYg=")</f>
        <v>#REF!</v>
      </c>
      <c r="EH163" t="e">
        <f>AND(#REF!,"AAAAAFnvzYk=")</f>
        <v>#REF!</v>
      </c>
      <c r="EI163" t="e">
        <f>AND(#REF!,"AAAAAFnvzYo=")</f>
        <v>#REF!</v>
      </c>
      <c r="EJ163" t="e">
        <f>AND(#REF!,"AAAAAFnvzYs=")</f>
        <v>#REF!</v>
      </c>
      <c r="EK163" t="e">
        <f>AND(#REF!,"AAAAAFnvzYw=")</f>
        <v>#REF!</v>
      </c>
      <c r="EL163" t="e">
        <f>AND(#REF!,"AAAAAFnvzY0=")</f>
        <v>#REF!</v>
      </c>
      <c r="EM163" t="e">
        <f>AND(#REF!,"AAAAAFnvzY4=")</f>
        <v>#REF!</v>
      </c>
      <c r="EN163" t="e">
        <f>AND(#REF!,"AAAAAFnvzY8=")</f>
        <v>#REF!</v>
      </c>
      <c r="EO163" t="e">
        <f>AND(#REF!,"AAAAAFnvzZA=")</f>
        <v>#REF!</v>
      </c>
      <c r="EP163" t="e">
        <f>AND(#REF!,"AAAAAFnvzZE=")</f>
        <v>#REF!</v>
      </c>
      <c r="EQ163" t="e">
        <f>AND(#REF!,"AAAAAFnvzZI=")</f>
        <v>#REF!</v>
      </c>
      <c r="ER163" t="e">
        <f>AND(#REF!,"AAAAAFnvzZM=")</f>
        <v>#REF!</v>
      </c>
      <c r="ES163" t="e">
        <f>AND(#REF!,"AAAAAFnvzZQ=")</f>
        <v>#REF!</v>
      </c>
      <c r="ET163" t="e">
        <f>AND(#REF!,"AAAAAFnvzZU=")</f>
        <v>#REF!</v>
      </c>
      <c r="EU163" t="e">
        <f>AND(#REF!,"AAAAAFnvzZY=")</f>
        <v>#REF!</v>
      </c>
      <c r="EV163" t="e">
        <f>AND(#REF!,"AAAAAFnvzZc=")</f>
        <v>#REF!</v>
      </c>
      <c r="EW163" t="e">
        <f>AND(#REF!,"AAAAAFnvzZg=")</f>
        <v>#REF!</v>
      </c>
      <c r="EX163" t="e">
        <f>AND(#REF!,"AAAAAFnvzZk=")</f>
        <v>#REF!</v>
      </c>
      <c r="EY163" t="e">
        <f>AND(#REF!,"AAAAAFnvzZo=")</f>
        <v>#REF!</v>
      </c>
      <c r="EZ163" t="e">
        <f>AND(#REF!,"AAAAAFnvzZs=")</f>
        <v>#REF!</v>
      </c>
      <c r="FA163" t="e">
        <f>AND(#REF!,"AAAAAFnvzZw=")</f>
        <v>#REF!</v>
      </c>
      <c r="FB163" t="e">
        <f>AND(#REF!,"AAAAAFnvzZ0=")</f>
        <v>#REF!</v>
      </c>
      <c r="FC163" t="e">
        <f>AND(#REF!,"AAAAAFnvzZ4=")</f>
        <v>#REF!</v>
      </c>
      <c r="FD163" t="e">
        <f>AND(#REF!,"AAAAAFnvzZ8=")</f>
        <v>#REF!</v>
      </c>
      <c r="FE163" t="e">
        <f>AND(#REF!,"AAAAAFnvzaA=")</f>
        <v>#REF!</v>
      </c>
      <c r="FF163" t="e">
        <f>AND(#REF!,"AAAAAFnvzaE=")</f>
        <v>#REF!</v>
      </c>
      <c r="FG163" t="e">
        <f>IF(#REF!,"AAAAAFnvzaI=",0)</f>
        <v>#REF!</v>
      </c>
      <c r="FH163" t="e">
        <f>AND(#REF!,"AAAAAFnvzaM=")</f>
        <v>#REF!</v>
      </c>
      <c r="FI163" t="e">
        <f>AND(#REF!,"AAAAAFnvzaQ=")</f>
        <v>#REF!</v>
      </c>
      <c r="FJ163" t="e">
        <f>AND(#REF!,"AAAAAFnvzaU=")</f>
        <v>#REF!</v>
      </c>
      <c r="FK163" t="e">
        <f>AND(#REF!,"AAAAAFnvzaY=")</f>
        <v>#REF!</v>
      </c>
      <c r="FL163" t="e">
        <f>AND(#REF!,"AAAAAFnvzac=")</f>
        <v>#REF!</v>
      </c>
      <c r="FM163" t="e">
        <f>AND(#REF!,"AAAAAFnvzag=")</f>
        <v>#REF!</v>
      </c>
      <c r="FN163" t="e">
        <f>AND(#REF!,"AAAAAFnvzak=")</f>
        <v>#REF!</v>
      </c>
      <c r="FO163" t="e">
        <f>AND(#REF!,"AAAAAFnvzao=")</f>
        <v>#REF!</v>
      </c>
      <c r="FP163" t="e">
        <f>AND(#REF!,"AAAAAFnvzas=")</f>
        <v>#REF!</v>
      </c>
      <c r="FQ163" t="e">
        <f>AND(#REF!,"AAAAAFnvzaw=")</f>
        <v>#REF!</v>
      </c>
      <c r="FR163" t="e">
        <f>AND(#REF!,"AAAAAFnvza0=")</f>
        <v>#REF!</v>
      </c>
      <c r="FS163" t="e">
        <f>AND(#REF!,"AAAAAFnvza4=")</f>
        <v>#REF!</v>
      </c>
      <c r="FT163" t="e">
        <f>AND(#REF!,"AAAAAFnvza8=")</f>
        <v>#REF!</v>
      </c>
      <c r="FU163" t="e">
        <f>AND(#REF!,"AAAAAFnvzbA=")</f>
        <v>#REF!</v>
      </c>
      <c r="FV163" t="e">
        <f>AND(#REF!,"AAAAAFnvzbE=")</f>
        <v>#REF!</v>
      </c>
      <c r="FW163" t="e">
        <f>AND(#REF!,"AAAAAFnvzbI=")</f>
        <v>#REF!</v>
      </c>
      <c r="FX163" t="e">
        <f>AND(#REF!,"AAAAAFnvzbM=")</f>
        <v>#REF!</v>
      </c>
      <c r="FY163" t="e">
        <f>AND(#REF!,"AAAAAFnvzbQ=")</f>
        <v>#REF!</v>
      </c>
      <c r="FZ163" t="e">
        <f>AND(#REF!,"AAAAAFnvzbU=")</f>
        <v>#REF!</v>
      </c>
      <c r="GA163" t="e">
        <f>AND(#REF!,"AAAAAFnvzbY=")</f>
        <v>#REF!</v>
      </c>
      <c r="GB163" t="e">
        <f>AND(#REF!,"AAAAAFnvzbc=")</f>
        <v>#REF!</v>
      </c>
      <c r="GC163" t="e">
        <f>AND(#REF!,"AAAAAFnvzbg=")</f>
        <v>#REF!</v>
      </c>
      <c r="GD163" t="e">
        <f>AND(#REF!,"AAAAAFnvzbk=")</f>
        <v>#REF!</v>
      </c>
      <c r="GE163" t="e">
        <f>AND(#REF!,"AAAAAFnvzbo=")</f>
        <v>#REF!</v>
      </c>
      <c r="GF163" t="e">
        <f>AND(#REF!,"AAAAAFnvzbs=")</f>
        <v>#REF!</v>
      </c>
      <c r="GG163" t="e">
        <f>AND(#REF!,"AAAAAFnvzbw=")</f>
        <v>#REF!</v>
      </c>
      <c r="GH163" t="e">
        <f>AND(#REF!,"AAAAAFnvzb0=")</f>
        <v>#REF!</v>
      </c>
      <c r="GI163" t="e">
        <f>AND(#REF!,"AAAAAFnvzb4=")</f>
        <v>#REF!</v>
      </c>
      <c r="GJ163" t="e">
        <f>AND(#REF!,"AAAAAFnvzb8=")</f>
        <v>#REF!</v>
      </c>
      <c r="GK163" t="e">
        <f>AND(#REF!,"AAAAAFnvzcA=")</f>
        <v>#REF!</v>
      </c>
      <c r="GL163" t="e">
        <f>IF(#REF!,"AAAAAFnvzcE=",0)</f>
        <v>#REF!</v>
      </c>
      <c r="GM163" t="e">
        <f>AND(#REF!,"AAAAAFnvzcI=")</f>
        <v>#REF!</v>
      </c>
      <c r="GN163" t="e">
        <f>AND(#REF!,"AAAAAFnvzcM=")</f>
        <v>#REF!</v>
      </c>
      <c r="GO163" t="e">
        <f>AND(#REF!,"AAAAAFnvzcQ=")</f>
        <v>#REF!</v>
      </c>
      <c r="GP163" t="e">
        <f>AND(#REF!,"AAAAAFnvzcU=")</f>
        <v>#REF!</v>
      </c>
      <c r="GQ163" t="e">
        <f>AND(#REF!,"AAAAAFnvzcY=")</f>
        <v>#REF!</v>
      </c>
      <c r="GR163" t="e">
        <f>AND(#REF!,"AAAAAFnvzcc=")</f>
        <v>#REF!</v>
      </c>
      <c r="GS163" t="e">
        <f>AND(#REF!,"AAAAAFnvzcg=")</f>
        <v>#REF!</v>
      </c>
      <c r="GT163" t="e">
        <f>AND(#REF!,"AAAAAFnvzck=")</f>
        <v>#REF!</v>
      </c>
      <c r="GU163" t="e">
        <f>AND(#REF!,"AAAAAFnvzco=")</f>
        <v>#REF!</v>
      </c>
      <c r="GV163" t="e">
        <f>AND(#REF!,"AAAAAFnvzcs=")</f>
        <v>#REF!</v>
      </c>
      <c r="GW163" t="e">
        <f>AND(#REF!,"AAAAAFnvzcw=")</f>
        <v>#REF!</v>
      </c>
      <c r="GX163" t="e">
        <f>AND(#REF!,"AAAAAFnvzc0=")</f>
        <v>#REF!</v>
      </c>
      <c r="GY163" t="e">
        <f>AND(#REF!,"AAAAAFnvzc4=")</f>
        <v>#REF!</v>
      </c>
      <c r="GZ163" t="e">
        <f>AND(#REF!,"AAAAAFnvzc8=")</f>
        <v>#REF!</v>
      </c>
      <c r="HA163" t="e">
        <f>AND(#REF!,"AAAAAFnvzdA=")</f>
        <v>#REF!</v>
      </c>
      <c r="HB163" t="e">
        <f>AND(#REF!,"AAAAAFnvzdE=")</f>
        <v>#REF!</v>
      </c>
      <c r="HC163" t="e">
        <f>AND(#REF!,"AAAAAFnvzdI=")</f>
        <v>#REF!</v>
      </c>
      <c r="HD163" t="e">
        <f>AND(#REF!,"AAAAAFnvzdM=")</f>
        <v>#REF!</v>
      </c>
      <c r="HE163" t="e">
        <f>AND(#REF!,"AAAAAFnvzdQ=")</f>
        <v>#REF!</v>
      </c>
      <c r="HF163" t="e">
        <f>AND(#REF!,"AAAAAFnvzdU=")</f>
        <v>#REF!</v>
      </c>
      <c r="HG163" t="e">
        <f>AND(#REF!,"AAAAAFnvzdY=")</f>
        <v>#REF!</v>
      </c>
      <c r="HH163" t="e">
        <f>AND(#REF!,"AAAAAFnvzdc=")</f>
        <v>#REF!</v>
      </c>
      <c r="HI163" t="e">
        <f>AND(#REF!,"AAAAAFnvzdg=")</f>
        <v>#REF!</v>
      </c>
      <c r="HJ163" t="e">
        <f>AND(#REF!,"AAAAAFnvzdk=")</f>
        <v>#REF!</v>
      </c>
      <c r="HK163" t="e">
        <f>AND(#REF!,"AAAAAFnvzdo=")</f>
        <v>#REF!</v>
      </c>
      <c r="HL163" t="e">
        <f>AND(#REF!,"AAAAAFnvzds=")</f>
        <v>#REF!</v>
      </c>
      <c r="HM163" t="e">
        <f>AND(#REF!,"AAAAAFnvzdw=")</f>
        <v>#REF!</v>
      </c>
      <c r="HN163" t="e">
        <f>AND(#REF!,"AAAAAFnvzd0=")</f>
        <v>#REF!</v>
      </c>
      <c r="HO163" t="e">
        <f>AND(#REF!,"AAAAAFnvzd4=")</f>
        <v>#REF!</v>
      </c>
      <c r="HP163" t="e">
        <f>AND(#REF!,"AAAAAFnvzd8=")</f>
        <v>#REF!</v>
      </c>
      <c r="HQ163" t="e">
        <f>IF(#REF!,"AAAAAFnvzeA=",0)</f>
        <v>#REF!</v>
      </c>
      <c r="HR163" t="e">
        <f>AND(#REF!,"AAAAAFnvzeE=")</f>
        <v>#REF!</v>
      </c>
      <c r="HS163" t="e">
        <f>AND(#REF!,"AAAAAFnvzeI=")</f>
        <v>#REF!</v>
      </c>
      <c r="HT163" t="e">
        <f>AND(#REF!,"AAAAAFnvzeM=")</f>
        <v>#REF!</v>
      </c>
      <c r="HU163" t="e">
        <f>AND(#REF!,"AAAAAFnvzeQ=")</f>
        <v>#REF!</v>
      </c>
      <c r="HV163" t="e">
        <f>AND(#REF!,"AAAAAFnvzeU=")</f>
        <v>#REF!</v>
      </c>
      <c r="HW163" t="e">
        <f>AND(#REF!,"AAAAAFnvzeY=")</f>
        <v>#REF!</v>
      </c>
      <c r="HX163" t="e">
        <f>AND(#REF!,"AAAAAFnvzec=")</f>
        <v>#REF!</v>
      </c>
      <c r="HY163" t="e">
        <f>AND(#REF!,"AAAAAFnvzeg=")</f>
        <v>#REF!</v>
      </c>
      <c r="HZ163" t="e">
        <f>AND(#REF!,"AAAAAFnvzek=")</f>
        <v>#REF!</v>
      </c>
      <c r="IA163" t="e">
        <f>AND(#REF!,"AAAAAFnvzeo=")</f>
        <v>#REF!</v>
      </c>
      <c r="IB163" t="e">
        <f>AND(#REF!,"AAAAAFnvzes=")</f>
        <v>#REF!</v>
      </c>
      <c r="IC163" t="e">
        <f>AND(#REF!,"AAAAAFnvzew=")</f>
        <v>#REF!</v>
      </c>
      <c r="ID163" t="e">
        <f>AND(#REF!,"AAAAAFnvze0=")</f>
        <v>#REF!</v>
      </c>
      <c r="IE163" t="e">
        <f>AND(#REF!,"AAAAAFnvze4=")</f>
        <v>#REF!</v>
      </c>
      <c r="IF163" t="e">
        <f>AND(#REF!,"AAAAAFnvze8=")</f>
        <v>#REF!</v>
      </c>
      <c r="IG163" t="e">
        <f>AND(#REF!,"AAAAAFnvzfA=")</f>
        <v>#REF!</v>
      </c>
      <c r="IH163" t="e">
        <f>AND(#REF!,"AAAAAFnvzfE=")</f>
        <v>#REF!</v>
      </c>
      <c r="II163" t="e">
        <f>AND(#REF!,"AAAAAFnvzfI=")</f>
        <v>#REF!</v>
      </c>
      <c r="IJ163" t="e">
        <f>AND(#REF!,"AAAAAFnvzfM=")</f>
        <v>#REF!</v>
      </c>
      <c r="IK163" t="e">
        <f>AND(#REF!,"AAAAAFnvzfQ=")</f>
        <v>#REF!</v>
      </c>
      <c r="IL163" t="e">
        <f>AND(#REF!,"AAAAAFnvzfU=")</f>
        <v>#REF!</v>
      </c>
      <c r="IM163" t="e">
        <f>AND(#REF!,"AAAAAFnvzfY=")</f>
        <v>#REF!</v>
      </c>
      <c r="IN163" t="e">
        <f>AND(#REF!,"AAAAAFnvzfc=")</f>
        <v>#REF!</v>
      </c>
      <c r="IO163" t="e">
        <f>AND(#REF!,"AAAAAFnvzfg=")</f>
        <v>#REF!</v>
      </c>
      <c r="IP163" t="e">
        <f>AND(#REF!,"AAAAAFnvzfk=")</f>
        <v>#REF!</v>
      </c>
      <c r="IQ163" t="e">
        <f>AND(#REF!,"AAAAAFnvzfo=")</f>
        <v>#REF!</v>
      </c>
      <c r="IR163" t="e">
        <f>AND(#REF!,"AAAAAFnvzfs=")</f>
        <v>#REF!</v>
      </c>
      <c r="IS163" t="e">
        <f>AND(#REF!,"AAAAAFnvzfw=")</f>
        <v>#REF!</v>
      </c>
      <c r="IT163" t="e">
        <f>AND(#REF!,"AAAAAFnvzf0=")</f>
        <v>#REF!</v>
      </c>
      <c r="IU163" t="e">
        <f>AND(#REF!,"AAAAAFnvzf4=")</f>
        <v>#REF!</v>
      </c>
      <c r="IV163" t="e">
        <f>IF(#REF!,"AAAAAFnvzf8=",0)</f>
        <v>#REF!</v>
      </c>
    </row>
    <row r="164" spans="1:256" x14ac:dyDescent="0.2">
      <c r="A164" t="e">
        <f>AND(#REF!,"AAAAADPuqwA=")</f>
        <v>#REF!</v>
      </c>
      <c r="B164" t="e">
        <f>AND(#REF!,"AAAAADPuqwE=")</f>
        <v>#REF!</v>
      </c>
      <c r="C164" t="e">
        <f>AND(#REF!,"AAAAADPuqwI=")</f>
        <v>#REF!</v>
      </c>
      <c r="D164" t="e">
        <f>AND(#REF!,"AAAAADPuqwM=")</f>
        <v>#REF!</v>
      </c>
      <c r="E164" t="e">
        <f>AND(#REF!,"AAAAADPuqwQ=")</f>
        <v>#REF!</v>
      </c>
      <c r="F164" t="e">
        <f>AND(#REF!,"AAAAADPuqwU=")</f>
        <v>#REF!</v>
      </c>
      <c r="G164" t="e">
        <f>AND(#REF!,"AAAAADPuqwY=")</f>
        <v>#REF!</v>
      </c>
      <c r="H164" t="e">
        <f>AND(#REF!,"AAAAADPuqwc=")</f>
        <v>#REF!</v>
      </c>
      <c r="I164" t="e">
        <f>AND(#REF!,"AAAAADPuqwg=")</f>
        <v>#REF!</v>
      </c>
      <c r="J164" t="e">
        <f>AND(#REF!,"AAAAADPuqwk=")</f>
        <v>#REF!</v>
      </c>
      <c r="K164" t="e">
        <f>AND(#REF!,"AAAAADPuqwo=")</f>
        <v>#REF!</v>
      </c>
      <c r="L164" t="e">
        <f>AND(#REF!,"AAAAADPuqws=")</f>
        <v>#REF!</v>
      </c>
      <c r="M164" t="e">
        <f>AND(#REF!,"AAAAADPuqww=")</f>
        <v>#REF!</v>
      </c>
      <c r="N164" t="e">
        <f>AND(#REF!,"AAAAADPuqw0=")</f>
        <v>#REF!</v>
      </c>
      <c r="O164" t="e">
        <f>AND(#REF!,"AAAAADPuqw4=")</f>
        <v>#REF!</v>
      </c>
      <c r="P164" t="e">
        <f>AND(#REF!,"AAAAADPuqw8=")</f>
        <v>#REF!</v>
      </c>
      <c r="Q164" t="e">
        <f>AND(#REF!,"AAAAADPuqxA=")</f>
        <v>#REF!</v>
      </c>
      <c r="R164" t="e">
        <f>AND(#REF!,"AAAAADPuqxE=")</f>
        <v>#REF!</v>
      </c>
      <c r="S164" t="e">
        <f>AND(#REF!,"AAAAADPuqxI=")</f>
        <v>#REF!</v>
      </c>
      <c r="T164" t="e">
        <f>AND(#REF!,"AAAAADPuqxM=")</f>
        <v>#REF!</v>
      </c>
      <c r="U164" t="e">
        <f>AND(#REF!,"AAAAADPuqxQ=")</f>
        <v>#REF!</v>
      </c>
      <c r="V164" t="e">
        <f>AND(#REF!,"AAAAADPuqxU=")</f>
        <v>#REF!</v>
      </c>
      <c r="W164" t="e">
        <f>AND(#REF!,"AAAAADPuqxY=")</f>
        <v>#REF!</v>
      </c>
      <c r="X164" t="e">
        <f>AND(#REF!,"AAAAADPuqxc=")</f>
        <v>#REF!</v>
      </c>
      <c r="Y164" t="e">
        <f>AND(#REF!,"AAAAADPuqxg=")</f>
        <v>#REF!</v>
      </c>
      <c r="Z164" t="e">
        <f>AND(#REF!,"AAAAADPuqxk=")</f>
        <v>#REF!</v>
      </c>
      <c r="AA164" t="e">
        <f>AND(#REF!,"AAAAADPuqxo=")</f>
        <v>#REF!</v>
      </c>
      <c r="AB164" t="e">
        <f>AND(#REF!,"AAAAADPuqxs=")</f>
        <v>#REF!</v>
      </c>
      <c r="AC164" t="e">
        <f>AND(#REF!,"AAAAADPuqxw=")</f>
        <v>#REF!</v>
      </c>
      <c r="AD164" t="e">
        <f>AND(#REF!,"AAAAADPuqx0=")</f>
        <v>#REF!</v>
      </c>
      <c r="AE164" t="e">
        <f>IF(#REF!,"AAAAADPuqx4=",0)</f>
        <v>#REF!</v>
      </c>
      <c r="AF164" t="e">
        <f>AND(#REF!,"AAAAADPuqx8=")</f>
        <v>#REF!</v>
      </c>
      <c r="AG164" t="e">
        <f>AND(#REF!,"AAAAADPuqyA=")</f>
        <v>#REF!</v>
      </c>
      <c r="AH164" t="e">
        <f>AND(#REF!,"AAAAADPuqyE=")</f>
        <v>#REF!</v>
      </c>
      <c r="AI164" t="e">
        <f>AND(#REF!,"AAAAADPuqyI=")</f>
        <v>#REF!</v>
      </c>
      <c r="AJ164" t="e">
        <f>AND(#REF!,"AAAAADPuqyM=")</f>
        <v>#REF!</v>
      </c>
      <c r="AK164" t="e">
        <f>AND(#REF!,"AAAAADPuqyQ=")</f>
        <v>#REF!</v>
      </c>
      <c r="AL164" t="e">
        <f>AND(#REF!,"AAAAADPuqyU=")</f>
        <v>#REF!</v>
      </c>
      <c r="AM164" t="e">
        <f>AND(#REF!,"AAAAADPuqyY=")</f>
        <v>#REF!</v>
      </c>
      <c r="AN164" t="e">
        <f>AND(#REF!,"AAAAADPuqyc=")</f>
        <v>#REF!</v>
      </c>
      <c r="AO164" t="e">
        <f>AND(#REF!,"AAAAADPuqyg=")</f>
        <v>#REF!</v>
      </c>
      <c r="AP164" t="e">
        <f>AND(#REF!,"AAAAADPuqyk=")</f>
        <v>#REF!</v>
      </c>
      <c r="AQ164" t="e">
        <f>AND(#REF!,"AAAAADPuqyo=")</f>
        <v>#REF!</v>
      </c>
      <c r="AR164" t="e">
        <f>AND(#REF!,"AAAAADPuqys=")</f>
        <v>#REF!</v>
      </c>
      <c r="AS164" t="e">
        <f>AND(#REF!,"AAAAADPuqyw=")</f>
        <v>#REF!</v>
      </c>
      <c r="AT164" t="e">
        <f>AND(#REF!,"AAAAADPuqy0=")</f>
        <v>#REF!</v>
      </c>
      <c r="AU164" t="e">
        <f>AND(#REF!,"AAAAADPuqy4=")</f>
        <v>#REF!</v>
      </c>
      <c r="AV164" t="e">
        <f>AND(#REF!,"AAAAADPuqy8=")</f>
        <v>#REF!</v>
      </c>
      <c r="AW164" t="e">
        <f>AND(#REF!,"AAAAADPuqzA=")</f>
        <v>#REF!</v>
      </c>
      <c r="AX164" t="e">
        <f>AND(#REF!,"AAAAADPuqzE=")</f>
        <v>#REF!</v>
      </c>
      <c r="AY164" t="e">
        <f>AND(#REF!,"AAAAADPuqzI=")</f>
        <v>#REF!</v>
      </c>
      <c r="AZ164" t="e">
        <f>AND(#REF!,"AAAAADPuqzM=")</f>
        <v>#REF!</v>
      </c>
      <c r="BA164" t="e">
        <f>AND(#REF!,"AAAAADPuqzQ=")</f>
        <v>#REF!</v>
      </c>
      <c r="BB164" t="e">
        <f>AND(#REF!,"AAAAADPuqzU=")</f>
        <v>#REF!</v>
      </c>
      <c r="BC164" t="e">
        <f>AND(#REF!,"AAAAADPuqzY=")</f>
        <v>#REF!</v>
      </c>
      <c r="BD164" t="e">
        <f>AND(#REF!,"AAAAADPuqzc=")</f>
        <v>#REF!</v>
      </c>
      <c r="BE164" t="e">
        <f>AND(#REF!,"AAAAADPuqzg=")</f>
        <v>#REF!</v>
      </c>
      <c r="BF164" t="e">
        <f>AND(#REF!,"AAAAADPuqzk=")</f>
        <v>#REF!</v>
      </c>
      <c r="BG164" t="e">
        <f>AND(#REF!,"AAAAADPuqzo=")</f>
        <v>#REF!</v>
      </c>
      <c r="BH164" t="e">
        <f>AND(#REF!,"AAAAADPuqzs=")</f>
        <v>#REF!</v>
      </c>
      <c r="BI164" t="e">
        <f>AND(#REF!,"AAAAADPuqzw=")</f>
        <v>#REF!</v>
      </c>
      <c r="BJ164" t="e">
        <f>IF(#REF!,"AAAAADPuqz0=",0)</f>
        <v>#REF!</v>
      </c>
      <c r="BK164" t="e">
        <f>AND(#REF!,"AAAAADPuqz4=")</f>
        <v>#REF!</v>
      </c>
      <c r="BL164" t="e">
        <f>AND(#REF!,"AAAAADPuqz8=")</f>
        <v>#REF!</v>
      </c>
      <c r="BM164" t="e">
        <f>AND(#REF!,"AAAAADPuq0A=")</f>
        <v>#REF!</v>
      </c>
      <c r="BN164" t="e">
        <f>AND(#REF!,"AAAAADPuq0E=")</f>
        <v>#REF!</v>
      </c>
      <c r="BO164" t="e">
        <f>AND(#REF!,"AAAAADPuq0I=")</f>
        <v>#REF!</v>
      </c>
      <c r="BP164" t="e">
        <f>AND(#REF!,"AAAAADPuq0M=")</f>
        <v>#REF!</v>
      </c>
      <c r="BQ164" t="e">
        <f>AND(#REF!,"AAAAADPuq0Q=")</f>
        <v>#REF!</v>
      </c>
      <c r="BR164" t="e">
        <f>AND(#REF!,"AAAAADPuq0U=")</f>
        <v>#REF!</v>
      </c>
      <c r="BS164" t="e">
        <f>AND(#REF!,"AAAAADPuq0Y=")</f>
        <v>#REF!</v>
      </c>
      <c r="BT164" t="e">
        <f>AND(#REF!,"AAAAADPuq0c=")</f>
        <v>#REF!</v>
      </c>
      <c r="BU164" t="e">
        <f>AND(#REF!,"AAAAADPuq0g=")</f>
        <v>#REF!</v>
      </c>
      <c r="BV164" t="e">
        <f>AND(#REF!,"AAAAADPuq0k=")</f>
        <v>#REF!</v>
      </c>
      <c r="BW164" t="e">
        <f>AND(#REF!,"AAAAADPuq0o=")</f>
        <v>#REF!</v>
      </c>
      <c r="BX164" t="e">
        <f>AND(#REF!,"AAAAADPuq0s=")</f>
        <v>#REF!</v>
      </c>
      <c r="BY164" t="e">
        <f>AND(#REF!,"AAAAADPuq0w=")</f>
        <v>#REF!</v>
      </c>
      <c r="BZ164" t="e">
        <f>AND(#REF!,"AAAAADPuq00=")</f>
        <v>#REF!</v>
      </c>
      <c r="CA164" t="e">
        <f>AND(#REF!,"AAAAADPuq04=")</f>
        <v>#REF!</v>
      </c>
      <c r="CB164" t="e">
        <f>AND(#REF!,"AAAAADPuq08=")</f>
        <v>#REF!</v>
      </c>
      <c r="CC164" t="e">
        <f>AND(#REF!,"AAAAADPuq1A=")</f>
        <v>#REF!</v>
      </c>
      <c r="CD164" t="e">
        <f>AND(#REF!,"AAAAADPuq1E=")</f>
        <v>#REF!</v>
      </c>
      <c r="CE164" t="e">
        <f>AND(#REF!,"AAAAADPuq1I=")</f>
        <v>#REF!</v>
      </c>
      <c r="CF164" t="e">
        <f>AND(#REF!,"AAAAADPuq1M=")</f>
        <v>#REF!</v>
      </c>
      <c r="CG164" t="e">
        <f>AND(#REF!,"AAAAADPuq1Q=")</f>
        <v>#REF!</v>
      </c>
      <c r="CH164" t="e">
        <f>AND(#REF!,"AAAAADPuq1U=")</f>
        <v>#REF!</v>
      </c>
      <c r="CI164" t="e">
        <f>AND(#REF!,"AAAAADPuq1Y=")</f>
        <v>#REF!</v>
      </c>
      <c r="CJ164" t="e">
        <f>AND(#REF!,"AAAAADPuq1c=")</f>
        <v>#REF!</v>
      </c>
      <c r="CK164" t="e">
        <f>AND(#REF!,"AAAAADPuq1g=")</f>
        <v>#REF!</v>
      </c>
      <c r="CL164" t="e">
        <f>AND(#REF!,"AAAAADPuq1k=")</f>
        <v>#REF!</v>
      </c>
      <c r="CM164" t="e">
        <f>AND(#REF!,"AAAAADPuq1o=")</f>
        <v>#REF!</v>
      </c>
      <c r="CN164" t="e">
        <f>AND(#REF!,"AAAAADPuq1s=")</f>
        <v>#REF!</v>
      </c>
      <c r="CO164" t="e">
        <f>IF(#REF!,"AAAAADPuq1w=",0)</f>
        <v>#REF!</v>
      </c>
      <c r="CP164" t="e">
        <f>AND(#REF!,"AAAAADPuq10=")</f>
        <v>#REF!</v>
      </c>
      <c r="CQ164" t="e">
        <f>AND(#REF!,"AAAAADPuq14=")</f>
        <v>#REF!</v>
      </c>
      <c r="CR164" t="e">
        <f>AND(#REF!,"AAAAADPuq18=")</f>
        <v>#REF!</v>
      </c>
      <c r="CS164" t="e">
        <f>AND(#REF!,"AAAAADPuq2A=")</f>
        <v>#REF!</v>
      </c>
      <c r="CT164" t="e">
        <f>AND(#REF!,"AAAAADPuq2E=")</f>
        <v>#REF!</v>
      </c>
      <c r="CU164" t="e">
        <f>AND(#REF!,"AAAAADPuq2I=")</f>
        <v>#REF!</v>
      </c>
      <c r="CV164" t="e">
        <f>AND(#REF!,"AAAAADPuq2M=")</f>
        <v>#REF!</v>
      </c>
      <c r="CW164" t="e">
        <f>AND(#REF!,"AAAAADPuq2Q=")</f>
        <v>#REF!</v>
      </c>
      <c r="CX164" t="e">
        <f>AND(#REF!,"AAAAADPuq2U=")</f>
        <v>#REF!</v>
      </c>
      <c r="CY164" t="e">
        <f>AND(#REF!,"AAAAADPuq2Y=")</f>
        <v>#REF!</v>
      </c>
      <c r="CZ164" t="e">
        <f>AND(#REF!,"AAAAADPuq2c=")</f>
        <v>#REF!</v>
      </c>
      <c r="DA164" t="e">
        <f>AND(#REF!,"AAAAADPuq2g=")</f>
        <v>#REF!</v>
      </c>
      <c r="DB164" t="e">
        <f>AND(#REF!,"AAAAADPuq2k=")</f>
        <v>#REF!</v>
      </c>
      <c r="DC164" t="e">
        <f>AND(#REF!,"AAAAADPuq2o=")</f>
        <v>#REF!</v>
      </c>
      <c r="DD164" t="e">
        <f>AND(#REF!,"AAAAADPuq2s=")</f>
        <v>#REF!</v>
      </c>
      <c r="DE164" t="e">
        <f>AND(#REF!,"AAAAADPuq2w=")</f>
        <v>#REF!</v>
      </c>
      <c r="DF164" t="e">
        <f>AND(#REF!,"AAAAADPuq20=")</f>
        <v>#REF!</v>
      </c>
      <c r="DG164" t="e">
        <f>AND(#REF!,"AAAAADPuq24=")</f>
        <v>#REF!</v>
      </c>
      <c r="DH164" t="e">
        <f>AND(#REF!,"AAAAADPuq28=")</f>
        <v>#REF!</v>
      </c>
      <c r="DI164" t="e">
        <f>AND(#REF!,"AAAAADPuq3A=")</f>
        <v>#REF!</v>
      </c>
      <c r="DJ164" t="e">
        <f>AND(#REF!,"AAAAADPuq3E=")</f>
        <v>#REF!</v>
      </c>
      <c r="DK164" t="e">
        <f>AND(#REF!,"AAAAADPuq3I=")</f>
        <v>#REF!</v>
      </c>
      <c r="DL164" t="e">
        <f>AND(#REF!,"AAAAADPuq3M=")</f>
        <v>#REF!</v>
      </c>
      <c r="DM164" t="e">
        <f>AND(#REF!,"AAAAADPuq3Q=")</f>
        <v>#REF!</v>
      </c>
      <c r="DN164" t="e">
        <f>AND(#REF!,"AAAAADPuq3U=")</f>
        <v>#REF!</v>
      </c>
      <c r="DO164" t="e">
        <f>AND(#REF!,"AAAAADPuq3Y=")</f>
        <v>#REF!</v>
      </c>
      <c r="DP164" t="e">
        <f>AND(#REF!,"AAAAADPuq3c=")</f>
        <v>#REF!</v>
      </c>
      <c r="DQ164" t="e">
        <f>AND(#REF!,"AAAAADPuq3g=")</f>
        <v>#REF!</v>
      </c>
      <c r="DR164" t="e">
        <f>AND(#REF!,"AAAAADPuq3k=")</f>
        <v>#REF!</v>
      </c>
      <c r="DS164" t="e">
        <f>AND(#REF!,"AAAAADPuq3o=")</f>
        <v>#REF!</v>
      </c>
      <c r="DT164" t="e">
        <f>IF(#REF!,"AAAAADPuq3s=",0)</f>
        <v>#REF!</v>
      </c>
      <c r="DU164" t="e">
        <f>AND(#REF!,"AAAAADPuq3w=")</f>
        <v>#REF!</v>
      </c>
      <c r="DV164" t="e">
        <f>AND(#REF!,"AAAAADPuq30=")</f>
        <v>#REF!</v>
      </c>
      <c r="DW164" t="e">
        <f>AND(#REF!,"AAAAADPuq34=")</f>
        <v>#REF!</v>
      </c>
      <c r="DX164" t="e">
        <f>AND(#REF!,"AAAAADPuq38=")</f>
        <v>#REF!</v>
      </c>
      <c r="DY164" t="e">
        <f>AND(#REF!,"AAAAADPuq4A=")</f>
        <v>#REF!</v>
      </c>
      <c r="DZ164" t="e">
        <f>AND(#REF!,"AAAAADPuq4E=")</f>
        <v>#REF!</v>
      </c>
      <c r="EA164" t="e">
        <f>AND(#REF!,"AAAAADPuq4I=")</f>
        <v>#REF!</v>
      </c>
      <c r="EB164" t="e">
        <f>AND(#REF!,"AAAAADPuq4M=")</f>
        <v>#REF!</v>
      </c>
      <c r="EC164" t="e">
        <f>AND(#REF!,"AAAAADPuq4Q=")</f>
        <v>#REF!</v>
      </c>
      <c r="ED164" t="e">
        <f>AND(#REF!,"AAAAADPuq4U=")</f>
        <v>#REF!</v>
      </c>
      <c r="EE164" t="e">
        <f>AND(#REF!,"AAAAADPuq4Y=")</f>
        <v>#REF!</v>
      </c>
      <c r="EF164" t="e">
        <f>AND(#REF!,"AAAAADPuq4c=")</f>
        <v>#REF!</v>
      </c>
      <c r="EG164" t="e">
        <f>AND(#REF!,"AAAAADPuq4g=")</f>
        <v>#REF!</v>
      </c>
      <c r="EH164" t="e">
        <f>AND(#REF!,"AAAAADPuq4k=")</f>
        <v>#REF!</v>
      </c>
      <c r="EI164" t="e">
        <f>AND(#REF!,"AAAAADPuq4o=")</f>
        <v>#REF!</v>
      </c>
      <c r="EJ164" t="e">
        <f>AND(#REF!,"AAAAADPuq4s=")</f>
        <v>#REF!</v>
      </c>
      <c r="EK164" t="e">
        <f>AND(#REF!,"AAAAADPuq4w=")</f>
        <v>#REF!</v>
      </c>
      <c r="EL164" t="e">
        <f>AND(#REF!,"AAAAADPuq40=")</f>
        <v>#REF!</v>
      </c>
      <c r="EM164" t="e">
        <f>AND(#REF!,"AAAAADPuq44=")</f>
        <v>#REF!</v>
      </c>
      <c r="EN164" t="e">
        <f>AND(#REF!,"AAAAADPuq48=")</f>
        <v>#REF!</v>
      </c>
      <c r="EO164" t="e">
        <f>AND(#REF!,"AAAAADPuq5A=")</f>
        <v>#REF!</v>
      </c>
      <c r="EP164" t="e">
        <f>AND(#REF!,"AAAAADPuq5E=")</f>
        <v>#REF!</v>
      </c>
      <c r="EQ164" t="e">
        <f>AND(#REF!,"AAAAADPuq5I=")</f>
        <v>#REF!</v>
      </c>
      <c r="ER164" t="e">
        <f>AND(#REF!,"AAAAADPuq5M=")</f>
        <v>#REF!</v>
      </c>
      <c r="ES164" t="e">
        <f>AND(#REF!,"AAAAADPuq5Q=")</f>
        <v>#REF!</v>
      </c>
      <c r="ET164" t="e">
        <f>AND(#REF!,"AAAAADPuq5U=")</f>
        <v>#REF!</v>
      </c>
      <c r="EU164" t="e">
        <f>AND(#REF!,"AAAAADPuq5Y=")</f>
        <v>#REF!</v>
      </c>
      <c r="EV164" t="e">
        <f>AND(#REF!,"AAAAADPuq5c=")</f>
        <v>#REF!</v>
      </c>
      <c r="EW164" t="e">
        <f>AND(#REF!,"AAAAADPuq5g=")</f>
        <v>#REF!</v>
      </c>
      <c r="EX164" t="e">
        <f>AND(#REF!,"AAAAADPuq5k=")</f>
        <v>#REF!</v>
      </c>
      <c r="EY164" t="e">
        <f>IF(#REF!,"AAAAADPuq5o=",0)</f>
        <v>#REF!</v>
      </c>
      <c r="EZ164" t="e">
        <f>AND(#REF!,"AAAAADPuq5s=")</f>
        <v>#REF!</v>
      </c>
      <c r="FA164" t="e">
        <f>AND(#REF!,"AAAAADPuq5w=")</f>
        <v>#REF!</v>
      </c>
      <c r="FB164" t="e">
        <f>AND(#REF!,"AAAAADPuq50=")</f>
        <v>#REF!</v>
      </c>
      <c r="FC164" t="e">
        <f>AND(#REF!,"AAAAADPuq54=")</f>
        <v>#REF!</v>
      </c>
      <c r="FD164" t="e">
        <f>AND(#REF!,"AAAAADPuq58=")</f>
        <v>#REF!</v>
      </c>
      <c r="FE164" t="e">
        <f>AND(#REF!,"AAAAADPuq6A=")</f>
        <v>#REF!</v>
      </c>
      <c r="FF164" t="e">
        <f>AND(#REF!,"AAAAADPuq6E=")</f>
        <v>#REF!</v>
      </c>
      <c r="FG164" t="e">
        <f>AND(#REF!,"AAAAADPuq6I=")</f>
        <v>#REF!</v>
      </c>
      <c r="FH164" t="e">
        <f>AND(#REF!,"AAAAADPuq6M=")</f>
        <v>#REF!</v>
      </c>
      <c r="FI164" t="e">
        <f>AND(#REF!,"AAAAADPuq6Q=")</f>
        <v>#REF!</v>
      </c>
      <c r="FJ164" t="e">
        <f>AND(#REF!,"AAAAADPuq6U=")</f>
        <v>#REF!</v>
      </c>
      <c r="FK164" t="e">
        <f>AND(#REF!,"AAAAADPuq6Y=")</f>
        <v>#REF!</v>
      </c>
      <c r="FL164" t="e">
        <f>AND(#REF!,"AAAAADPuq6c=")</f>
        <v>#REF!</v>
      </c>
      <c r="FM164" t="e">
        <f>AND(#REF!,"AAAAADPuq6g=")</f>
        <v>#REF!</v>
      </c>
      <c r="FN164" t="e">
        <f>AND(#REF!,"AAAAADPuq6k=")</f>
        <v>#REF!</v>
      </c>
      <c r="FO164" t="e">
        <f>AND(#REF!,"AAAAADPuq6o=")</f>
        <v>#REF!</v>
      </c>
      <c r="FP164" t="e">
        <f>AND(#REF!,"AAAAADPuq6s=")</f>
        <v>#REF!</v>
      </c>
      <c r="FQ164" t="e">
        <f>AND(#REF!,"AAAAADPuq6w=")</f>
        <v>#REF!</v>
      </c>
      <c r="FR164" t="e">
        <f>AND(#REF!,"AAAAADPuq60=")</f>
        <v>#REF!</v>
      </c>
      <c r="FS164" t="e">
        <f>AND(#REF!,"AAAAADPuq64=")</f>
        <v>#REF!</v>
      </c>
      <c r="FT164" t="e">
        <f>AND(#REF!,"AAAAADPuq68=")</f>
        <v>#REF!</v>
      </c>
      <c r="FU164" t="e">
        <f>AND(#REF!,"AAAAADPuq7A=")</f>
        <v>#REF!</v>
      </c>
      <c r="FV164" t="e">
        <f>AND(#REF!,"AAAAADPuq7E=")</f>
        <v>#REF!</v>
      </c>
      <c r="FW164" t="e">
        <f>AND(#REF!,"AAAAADPuq7I=")</f>
        <v>#REF!</v>
      </c>
      <c r="FX164" t="e">
        <f>AND(#REF!,"AAAAADPuq7M=")</f>
        <v>#REF!</v>
      </c>
      <c r="FY164" t="e">
        <f>AND(#REF!,"AAAAADPuq7Q=")</f>
        <v>#REF!</v>
      </c>
      <c r="FZ164" t="e">
        <f>AND(#REF!,"AAAAADPuq7U=")</f>
        <v>#REF!</v>
      </c>
      <c r="GA164" t="e">
        <f>AND(#REF!,"AAAAADPuq7Y=")</f>
        <v>#REF!</v>
      </c>
      <c r="GB164" t="e">
        <f>AND(#REF!,"AAAAADPuq7c=")</f>
        <v>#REF!</v>
      </c>
      <c r="GC164" t="e">
        <f>AND(#REF!,"AAAAADPuq7g=")</f>
        <v>#REF!</v>
      </c>
      <c r="GD164" t="e">
        <f>IF(#REF!,"AAAAADPuq7k=",0)</f>
        <v>#REF!</v>
      </c>
      <c r="GE164" t="e">
        <f>AND(#REF!,"AAAAADPuq7o=")</f>
        <v>#REF!</v>
      </c>
      <c r="GF164" t="e">
        <f>AND(#REF!,"AAAAADPuq7s=")</f>
        <v>#REF!</v>
      </c>
      <c r="GG164" t="e">
        <f>AND(#REF!,"AAAAADPuq7w=")</f>
        <v>#REF!</v>
      </c>
      <c r="GH164" t="e">
        <f>AND(#REF!,"AAAAADPuq70=")</f>
        <v>#REF!</v>
      </c>
      <c r="GI164" t="e">
        <f>AND(#REF!,"AAAAADPuq74=")</f>
        <v>#REF!</v>
      </c>
      <c r="GJ164" t="e">
        <f>AND(#REF!,"AAAAADPuq78=")</f>
        <v>#REF!</v>
      </c>
      <c r="GK164" t="e">
        <f>AND(#REF!,"AAAAADPuq8A=")</f>
        <v>#REF!</v>
      </c>
      <c r="GL164" t="e">
        <f>AND(#REF!,"AAAAADPuq8E=")</f>
        <v>#REF!</v>
      </c>
      <c r="GM164" t="e">
        <f>AND(#REF!,"AAAAADPuq8I=")</f>
        <v>#REF!</v>
      </c>
      <c r="GN164" t="e">
        <f>AND(#REF!,"AAAAADPuq8M=")</f>
        <v>#REF!</v>
      </c>
      <c r="GO164" t="e">
        <f>AND(#REF!,"AAAAADPuq8Q=")</f>
        <v>#REF!</v>
      </c>
      <c r="GP164" t="e">
        <f>AND(#REF!,"AAAAADPuq8U=")</f>
        <v>#REF!</v>
      </c>
      <c r="GQ164" t="e">
        <f>AND(#REF!,"AAAAADPuq8Y=")</f>
        <v>#REF!</v>
      </c>
      <c r="GR164" t="e">
        <f>AND(#REF!,"AAAAADPuq8c=")</f>
        <v>#REF!</v>
      </c>
      <c r="GS164" t="e">
        <f>AND(#REF!,"AAAAADPuq8g=")</f>
        <v>#REF!</v>
      </c>
      <c r="GT164" t="e">
        <f>AND(#REF!,"AAAAADPuq8k=")</f>
        <v>#REF!</v>
      </c>
      <c r="GU164" t="e">
        <f>AND(#REF!,"AAAAADPuq8o=")</f>
        <v>#REF!</v>
      </c>
      <c r="GV164" t="e">
        <f>AND(#REF!,"AAAAADPuq8s=")</f>
        <v>#REF!</v>
      </c>
      <c r="GW164" t="e">
        <f>AND(#REF!,"AAAAADPuq8w=")</f>
        <v>#REF!</v>
      </c>
      <c r="GX164" t="e">
        <f>AND(#REF!,"AAAAADPuq80=")</f>
        <v>#REF!</v>
      </c>
      <c r="GY164" t="e">
        <f>AND(#REF!,"AAAAADPuq84=")</f>
        <v>#REF!</v>
      </c>
      <c r="GZ164" t="e">
        <f>AND(#REF!,"AAAAADPuq88=")</f>
        <v>#REF!</v>
      </c>
      <c r="HA164" t="e">
        <f>AND(#REF!,"AAAAADPuq9A=")</f>
        <v>#REF!</v>
      </c>
      <c r="HB164" t="e">
        <f>AND(#REF!,"AAAAADPuq9E=")</f>
        <v>#REF!</v>
      </c>
      <c r="HC164" t="e">
        <f>AND(#REF!,"AAAAADPuq9I=")</f>
        <v>#REF!</v>
      </c>
      <c r="HD164" t="e">
        <f>AND(#REF!,"AAAAADPuq9M=")</f>
        <v>#REF!</v>
      </c>
      <c r="HE164" t="e">
        <f>AND(#REF!,"AAAAADPuq9Q=")</f>
        <v>#REF!</v>
      </c>
      <c r="HF164" t="e">
        <f>AND(#REF!,"AAAAADPuq9U=")</f>
        <v>#REF!</v>
      </c>
      <c r="HG164" t="e">
        <f>AND(#REF!,"AAAAADPuq9Y=")</f>
        <v>#REF!</v>
      </c>
      <c r="HH164" t="e">
        <f>AND(#REF!,"AAAAADPuq9c=")</f>
        <v>#REF!</v>
      </c>
      <c r="HI164" t="e">
        <f>IF(#REF!,"AAAAADPuq9g=",0)</f>
        <v>#REF!</v>
      </c>
      <c r="HJ164" t="e">
        <f>AND(#REF!,"AAAAADPuq9k=")</f>
        <v>#REF!</v>
      </c>
      <c r="HK164" t="e">
        <f>AND(#REF!,"AAAAADPuq9o=")</f>
        <v>#REF!</v>
      </c>
      <c r="HL164" t="e">
        <f>AND(#REF!,"AAAAADPuq9s=")</f>
        <v>#REF!</v>
      </c>
      <c r="HM164" t="e">
        <f>AND(#REF!,"AAAAADPuq9w=")</f>
        <v>#REF!</v>
      </c>
      <c r="HN164" t="e">
        <f>AND(#REF!,"AAAAADPuq90=")</f>
        <v>#REF!</v>
      </c>
      <c r="HO164" t="e">
        <f>AND(#REF!,"AAAAADPuq94=")</f>
        <v>#REF!</v>
      </c>
      <c r="HP164" t="e">
        <f>AND(#REF!,"AAAAADPuq98=")</f>
        <v>#REF!</v>
      </c>
      <c r="HQ164" t="e">
        <f>AND(#REF!,"AAAAADPuq+A=")</f>
        <v>#REF!</v>
      </c>
      <c r="HR164" t="e">
        <f>AND(#REF!,"AAAAADPuq+E=")</f>
        <v>#REF!</v>
      </c>
      <c r="HS164" t="e">
        <f>AND(#REF!,"AAAAADPuq+I=")</f>
        <v>#REF!</v>
      </c>
      <c r="HT164" t="e">
        <f>AND(#REF!,"AAAAADPuq+M=")</f>
        <v>#REF!</v>
      </c>
      <c r="HU164" t="e">
        <f>AND(#REF!,"AAAAADPuq+Q=")</f>
        <v>#REF!</v>
      </c>
      <c r="HV164" t="e">
        <f>AND(#REF!,"AAAAADPuq+U=")</f>
        <v>#REF!</v>
      </c>
      <c r="HW164" t="e">
        <f>AND(#REF!,"AAAAADPuq+Y=")</f>
        <v>#REF!</v>
      </c>
      <c r="HX164" t="e">
        <f>AND(#REF!,"AAAAADPuq+c=")</f>
        <v>#REF!</v>
      </c>
      <c r="HY164" t="e">
        <f>AND(#REF!,"AAAAADPuq+g=")</f>
        <v>#REF!</v>
      </c>
      <c r="HZ164" t="e">
        <f>AND(#REF!,"AAAAADPuq+k=")</f>
        <v>#REF!</v>
      </c>
      <c r="IA164" t="e">
        <f>AND(#REF!,"AAAAADPuq+o=")</f>
        <v>#REF!</v>
      </c>
      <c r="IB164" t="e">
        <f>AND(#REF!,"AAAAADPuq+s=")</f>
        <v>#REF!</v>
      </c>
      <c r="IC164" t="e">
        <f>AND(#REF!,"AAAAADPuq+w=")</f>
        <v>#REF!</v>
      </c>
      <c r="ID164" t="e">
        <f>AND(#REF!,"AAAAADPuq+0=")</f>
        <v>#REF!</v>
      </c>
      <c r="IE164" t="e">
        <f>AND(#REF!,"AAAAADPuq+4=")</f>
        <v>#REF!</v>
      </c>
      <c r="IF164" t="e">
        <f>AND(#REF!,"AAAAADPuq+8=")</f>
        <v>#REF!</v>
      </c>
      <c r="IG164" t="e">
        <f>AND(#REF!,"AAAAADPuq/A=")</f>
        <v>#REF!</v>
      </c>
      <c r="IH164" t="e">
        <f>AND(#REF!,"AAAAADPuq/E=")</f>
        <v>#REF!</v>
      </c>
      <c r="II164" t="e">
        <f>AND(#REF!,"AAAAADPuq/I=")</f>
        <v>#REF!</v>
      </c>
      <c r="IJ164" t="e">
        <f>AND(#REF!,"AAAAADPuq/M=")</f>
        <v>#REF!</v>
      </c>
      <c r="IK164" t="e">
        <f>AND(#REF!,"AAAAADPuq/Q=")</f>
        <v>#REF!</v>
      </c>
      <c r="IL164" t="e">
        <f>AND(#REF!,"AAAAADPuq/U=")</f>
        <v>#REF!</v>
      </c>
      <c r="IM164" t="e">
        <f>AND(#REF!,"AAAAADPuq/Y=")</f>
        <v>#REF!</v>
      </c>
      <c r="IN164" t="e">
        <f>IF(#REF!,"AAAAADPuq/c=",0)</f>
        <v>#REF!</v>
      </c>
      <c r="IO164" t="e">
        <f>AND(#REF!,"AAAAADPuq/g=")</f>
        <v>#REF!</v>
      </c>
      <c r="IP164" t="e">
        <f>AND(#REF!,"AAAAADPuq/k=")</f>
        <v>#REF!</v>
      </c>
      <c r="IQ164" t="e">
        <f>AND(#REF!,"AAAAADPuq/o=")</f>
        <v>#REF!</v>
      </c>
      <c r="IR164" t="e">
        <f>AND(#REF!,"AAAAADPuq/s=")</f>
        <v>#REF!</v>
      </c>
      <c r="IS164" t="e">
        <f>AND(#REF!,"AAAAADPuq/w=")</f>
        <v>#REF!</v>
      </c>
      <c r="IT164" t="e">
        <f>AND(#REF!,"AAAAADPuq/0=")</f>
        <v>#REF!</v>
      </c>
      <c r="IU164" t="e">
        <f>AND(#REF!,"AAAAADPuq/4=")</f>
        <v>#REF!</v>
      </c>
      <c r="IV164" t="e">
        <f>AND(#REF!,"AAAAADPuq/8=")</f>
        <v>#REF!</v>
      </c>
    </row>
    <row r="165" spans="1:256" x14ac:dyDescent="0.2">
      <c r="A165" t="e">
        <f>AND(#REF!,"AAAAAD/89wA=")</f>
        <v>#REF!</v>
      </c>
      <c r="B165" t="e">
        <f>AND(#REF!,"AAAAAD/89wE=")</f>
        <v>#REF!</v>
      </c>
      <c r="C165" t="e">
        <f>AND(#REF!,"AAAAAD/89wI=")</f>
        <v>#REF!</v>
      </c>
      <c r="D165" t="e">
        <f>AND(#REF!,"AAAAAD/89wM=")</f>
        <v>#REF!</v>
      </c>
      <c r="E165" t="e">
        <f>AND(#REF!,"AAAAAD/89wQ=")</f>
        <v>#REF!</v>
      </c>
      <c r="F165" t="e">
        <f>AND(#REF!,"AAAAAD/89wU=")</f>
        <v>#REF!</v>
      </c>
      <c r="G165" t="e">
        <f>AND(#REF!,"AAAAAD/89wY=")</f>
        <v>#REF!</v>
      </c>
      <c r="H165" t="e">
        <f>AND(#REF!,"AAAAAD/89wc=")</f>
        <v>#REF!</v>
      </c>
      <c r="I165" t="e">
        <f>AND(#REF!,"AAAAAD/89wg=")</f>
        <v>#REF!</v>
      </c>
      <c r="J165" t="e">
        <f>AND(#REF!,"AAAAAD/89wk=")</f>
        <v>#REF!</v>
      </c>
      <c r="K165" t="e">
        <f>AND(#REF!,"AAAAAD/89wo=")</f>
        <v>#REF!</v>
      </c>
      <c r="L165" t="e">
        <f>AND(#REF!,"AAAAAD/89ws=")</f>
        <v>#REF!</v>
      </c>
      <c r="M165" t="e">
        <f>AND(#REF!,"AAAAAD/89ww=")</f>
        <v>#REF!</v>
      </c>
      <c r="N165" t="e">
        <f>AND(#REF!,"AAAAAD/89w0=")</f>
        <v>#REF!</v>
      </c>
      <c r="O165" t="e">
        <f>AND(#REF!,"AAAAAD/89w4=")</f>
        <v>#REF!</v>
      </c>
      <c r="P165" t="e">
        <f>AND(#REF!,"AAAAAD/89w8=")</f>
        <v>#REF!</v>
      </c>
      <c r="Q165" t="e">
        <f>AND(#REF!,"AAAAAD/89xA=")</f>
        <v>#REF!</v>
      </c>
      <c r="R165" t="e">
        <f>AND(#REF!,"AAAAAD/89xE=")</f>
        <v>#REF!</v>
      </c>
      <c r="S165" t="e">
        <f>AND(#REF!,"AAAAAD/89xI=")</f>
        <v>#REF!</v>
      </c>
      <c r="T165" t="e">
        <f>AND(#REF!,"AAAAAD/89xM=")</f>
        <v>#REF!</v>
      </c>
      <c r="U165" t="e">
        <f>AND(#REF!,"AAAAAD/89xQ=")</f>
        <v>#REF!</v>
      </c>
      <c r="V165" t="e">
        <f>AND(#REF!,"AAAAAD/89xU=")</f>
        <v>#REF!</v>
      </c>
      <c r="W165" t="e">
        <f>IF(#REF!,"AAAAAD/89xY=",0)</f>
        <v>#REF!</v>
      </c>
      <c r="X165" t="e">
        <f>AND(#REF!,"AAAAAD/89xc=")</f>
        <v>#REF!</v>
      </c>
      <c r="Y165" t="e">
        <f>AND(#REF!,"AAAAAD/89xg=")</f>
        <v>#REF!</v>
      </c>
      <c r="Z165" t="e">
        <f>AND(#REF!,"AAAAAD/89xk=")</f>
        <v>#REF!</v>
      </c>
      <c r="AA165" t="e">
        <f>AND(#REF!,"AAAAAD/89xo=")</f>
        <v>#REF!</v>
      </c>
      <c r="AB165" t="e">
        <f>AND(#REF!,"AAAAAD/89xs=")</f>
        <v>#REF!</v>
      </c>
      <c r="AC165" t="e">
        <f>AND(#REF!,"AAAAAD/89xw=")</f>
        <v>#REF!</v>
      </c>
      <c r="AD165" t="e">
        <f>AND(#REF!,"AAAAAD/89x0=")</f>
        <v>#REF!</v>
      </c>
      <c r="AE165" t="e">
        <f>AND(#REF!,"AAAAAD/89x4=")</f>
        <v>#REF!</v>
      </c>
      <c r="AF165" t="e">
        <f>AND(#REF!,"AAAAAD/89x8=")</f>
        <v>#REF!</v>
      </c>
      <c r="AG165" t="e">
        <f>AND(#REF!,"AAAAAD/89yA=")</f>
        <v>#REF!</v>
      </c>
      <c r="AH165" t="e">
        <f>AND(#REF!,"AAAAAD/89yE=")</f>
        <v>#REF!</v>
      </c>
      <c r="AI165" t="e">
        <f>AND(#REF!,"AAAAAD/89yI=")</f>
        <v>#REF!</v>
      </c>
      <c r="AJ165" t="e">
        <f>AND(#REF!,"AAAAAD/89yM=")</f>
        <v>#REF!</v>
      </c>
      <c r="AK165" t="e">
        <f>AND(#REF!,"AAAAAD/89yQ=")</f>
        <v>#REF!</v>
      </c>
      <c r="AL165" t="e">
        <f>AND(#REF!,"AAAAAD/89yU=")</f>
        <v>#REF!</v>
      </c>
      <c r="AM165" t="e">
        <f>AND(#REF!,"AAAAAD/89yY=")</f>
        <v>#REF!</v>
      </c>
      <c r="AN165" t="e">
        <f>AND(#REF!,"AAAAAD/89yc=")</f>
        <v>#REF!</v>
      </c>
      <c r="AO165" t="e">
        <f>AND(#REF!,"AAAAAD/89yg=")</f>
        <v>#REF!</v>
      </c>
      <c r="AP165" t="e">
        <f>AND(#REF!,"AAAAAD/89yk=")</f>
        <v>#REF!</v>
      </c>
      <c r="AQ165" t="e">
        <f>AND(#REF!,"AAAAAD/89yo=")</f>
        <v>#REF!</v>
      </c>
      <c r="AR165" t="e">
        <f>AND(#REF!,"AAAAAD/89ys=")</f>
        <v>#REF!</v>
      </c>
      <c r="AS165" t="e">
        <f>AND(#REF!,"AAAAAD/89yw=")</f>
        <v>#REF!</v>
      </c>
      <c r="AT165" t="e">
        <f>AND(#REF!,"AAAAAD/89y0=")</f>
        <v>#REF!</v>
      </c>
      <c r="AU165" t="e">
        <f>AND(#REF!,"AAAAAD/89y4=")</f>
        <v>#REF!</v>
      </c>
      <c r="AV165" t="e">
        <f>AND(#REF!,"AAAAAD/89y8=")</f>
        <v>#REF!</v>
      </c>
      <c r="AW165" t="e">
        <f>AND(#REF!,"AAAAAD/89zA=")</f>
        <v>#REF!</v>
      </c>
      <c r="AX165" t="e">
        <f>AND(#REF!,"AAAAAD/89zE=")</f>
        <v>#REF!</v>
      </c>
      <c r="AY165" t="e">
        <f>AND(#REF!,"AAAAAD/89zI=")</f>
        <v>#REF!</v>
      </c>
      <c r="AZ165" t="e">
        <f>AND(#REF!,"AAAAAD/89zM=")</f>
        <v>#REF!</v>
      </c>
      <c r="BA165" t="e">
        <f>AND(#REF!,"AAAAAD/89zQ=")</f>
        <v>#REF!</v>
      </c>
      <c r="BB165" t="e">
        <f>IF(#REF!,"AAAAAD/89zU=",0)</f>
        <v>#REF!</v>
      </c>
      <c r="BC165" t="e">
        <f>AND(#REF!,"AAAAAD/89zY=")</f>
        <v>#REF!</v>
      </c>
      <c r="BD165" t="e">
        <f>AND(#REF!,"AAAAAD/89zc=")</f>
        <v>#REF!</v>
      </c>
      <c r="BE165" t="e">
        <f>AND(#REF!,"AAAAAD/89zg=")</f>
        <v>#REF!</v>
      </c>
      <c r="BF165" t="e">
        <f>AND(#REF!,"AAAAAD/89zk=")</f>
        <v>#REF!</v>
      </c>
      <c r="BG165" t="e">
        <f>AND(#REF!,"AAAAAD/89zo=")</f>
        <v>#REF!</v>
      </c>
      <c r="BH165" t="e">
        <f>AND(#REF!,"AAAAAD/89zs=")</f>
        <v>#REF!</v>
      </c>
      <c r="BI165" t="e">
        <f>AND(#REF!,"AAAAAD/89zw=")</f>
        <v>#REF!</v>
      </c>
      <c r="BJ165" t="e">
        <f>AND(#REF!,"AAAAAD/89z0=")</f>
        <v>#REF!</v>
      </c>
      <c r="BK165" t="e">
        <f>AND(#REF!,"AAAAAD/89z4=")</f>
        <v>#REF!</v>
      </c>
      <c r="BL165" t="e">
        <f>AND(#REF!,"AAAAAD/89z8=")</f>
        <v>#REF!</v>
      </c>
      <c r="BM165" t="e">
        <f>AND(#REF!,"AAAAAD/890A=")</f>
        <v>#REF!</v>
      </c>
      <c r="BN165" t="e">
        <f>AND(#REF!,"AAAAAD/890E=")</f>
        <v>#REF!</v>
      </c>
      <c r="BO165" t="e">
        <f>AND(#REF!,"AAAAAD/890I=")</f>
        <v>#REF!</v>
      </c>
      <c r="BP165" t="e">
        <f>AND(#REF!,"AAAAAD/890M=")</f>
        <v>#REF!</v>
      </c>
      <c r="BQ165" t="e">
        <f>AND(#REF!,"AAAAAD/890Q=")</f>
        <v>#REF!</v>
      </c>
      <c r="BR165" t="e">
        <f>AND(#REF!,"AAAAAD/890U=")</f>
        <v>#REF!</v>
      </c>
      <c r="BS165" t="e">
        <f>AND(#REF!,"AAAAAD/890Y=")</f>
        <v>#REF!</v>
      </c>
      <c r="BT165" t="e">
        <f>AND(#REF!,"AAAAAD/890c=")</f>
        <v>#REF!</v>
      </c>
      <c r="BU165" t="e">
        <f>AND(#REF!,"AAAAAD/890g=")</f>
        <v>#REF!</v>
      </c>
      <c r="BV165" t="e">
        <f>AND(#REF!,"AAAAAD/890k=")</f>
        <v>#REF!</v>
      </c>
      <c r="BW165" t="e">
        <f>AND(#REF!,"AAAAAD/890o=")</f>
        <v>#REF!</v>
      </c>
      <c r="BX165" t="e">
        <f>AND(#REF!,"AAAAAD/890s=")</f>
        <v>#REF!</v>
      </c>
      <c r="BY165" t="e">
        <f>AND(#REF!,"AAAAAD/890w=")</f>
        <v>#REF!</v>
      </c>
      <c r="BZ165" t="e">
        <f>AND(#REF!,"AAAAAD/8900=")</f>
        <v>#REF!</v>
      </c>
      <c r="CA165" t="e">
        <f>AND(#REF!,"AAAAAD/8904=")</f>
        <v>#REF!</v>
      </c>
      <c r="CB165" t="e">
        <f>AND(#REF!,"AAAAAD/8908=")</f>
        <v>#REF!</v>
      </c>
      <c r="CC165" t="e">
        <f>AND(#REF!,"AAAAAD/891A=")</f>
        <v>#REF!</v>
      </c>
      <c r="CD165" t="e">
        <f>AND(#REF!,"AAAAAD/891E=")</f>
        <v>#REF!</v>
      </c>
      <c r="CE165" t="e">
        <f>AND(#REF!,"AAAAAD/891I=")</f>
        <v>#REF!</v>
      </c>
      <c r="CF165" t="e">
        <f>AND(#REF!,"AAAAAD/891M=")</f>
        <v>#REF!</v>
      </c>
      <c r="CG165" t="e">
        <f>IF(#REF!,"AAAAAD/891Q=",0)</f>
        <v>#REF!</v>
      </c>
      <c r="CH165" t="e">
        <f>AND(#REF!,"AAAAAD/891U=")</f>
        <v>#REF!</v>
      </c>
      <c r="CI165" t="e">
        <f>AND(#REF!,"AAAAAD/891Y=")</f>
        <v>#REF!</v>
      </c>
      <c r="CJ165" t="e">
        <f>AND(#REF!,"AAAAAD/891c=")</f>
        <v>#REF!</v>
      </c>
      <c r="CK165" t="e">
        <f>AND(#REF!,"AAAAAD/891g=")</f>
        <v>#REF!</v>
      </c>
      <c r="CL165" t="e">
        <f>AND(#REF!,"AAAAAD/891k=")</f>
        <v>#REF!</v>
      </c>
      <c r="CM165" t="e">
        <f>AND(#REF!,"AAAAAD/891o=")</f>
        <v>#REF!</v>
      </c>
      <c r="CN165" t="e">
        <f>AND(#REF!,"AAAAAD/891s=")</f>
        <v>#REF!</v>
      </c>
      <c r="CO165" t="e">
        <f>AND(#REF!,"AAAAAD/891w=")</f>
        <v>#REF!</v>
      </c>
      <c r="CP165" t="e">
        <f>AND(#REF!,"AAAAAD/8910=")</f>
        <v>#REF!</v>
      </c>
      <c r="CQ165" t="e">
        <f>AND(#REF!,"AAAAAD/8914=")</f>
        <v>#REF!</v>
      </c>
      <c r="CR165" t="e">
        <f>AND(#REF!,"AAAAAD/8918=")</f>
        <v>#REF!</v>
      </c>
      <c r="CS165" t="e">
        <f>AND(#REF!,"AAAAAD/892A=")</f>
        <v>#REF!</v>
      </c>
      <c r="CT165" t="e">
        <f>AND(#REF!,"AAAAAD/892E=")</f>
        <v>#REF!</v>
      </c>
      <c r="CU165" t="e">
        <f>AND(#REF!,"AAAAAD/892I=")</f>
        <v>#REF!</v>
      </c>
      <c r="CV165" t="e">
        <f>AND(#REF!,"AAAAAD/892M=")</f>
        <v>#REF!</v>
      </c>
      <c r="CW165" t="e">
        <f>AND(#REF!,"AAAAAD/892Q=")</f>
        <v>#REF!</v>
      </c>
      <c r="CX165" t="e">
        <f>AND(#REF!,"AAAAAD/892U=")</f>
        <v>#REF!</v>
      </c>
      <c r="CY165" t="e">
        <f>AND(#REF!,"AAAAAD/892Y=")</f>
        <v>#REF!</v>
      </c>
      <c r="CZ165" t="e">
        <f>AND(#REF!,"AAAAAD/892c=")</f>
        <v>#REF!</v>
      </c>
      <c r="DA165" t="e">
        <f>AND(#REF!,"AAAAAD/892g=")</f>
        <v>#REF!</v>
      </c>
      <c r="DB165" t="e">
        <f>AND(#REF!,"AAAAAD/892k=")</f>
        <v>#REF!</v>
      </c>
      <c r="DC165" t="e">
        <f>AND(#REF!,"AAAAAD/892o=")</f>
        <v>#REF!</v>
      </c>
      <c r="DD165" t="e">
        <f>AND(#REF!,"AAAAAD/892s=")</f>
        <v>#REF!</v>
      </c>
      <c r="DE165" t="e">
        <f>AND(#REF!,"AAAAAD/892w=")</f>
        <v>#REF!</v>
      </c>
      <c r="DF165" t="e">
        <f>AND(#REF!,"AAAAAD/8920=")</f>
        <v>#REF!</v>
      </c>
      <c r="DG165" t="e">
        <f>AND(#REF!,"AAAAAD/8924=")</f>
        <v>#REF!</v>
      </c>
      <c r="DH165" t="e">
        <f>AND(#REF!,"AAAAAD/8928=")</f>
        <v>#REF!</v>
      </c>
      <c r="DI165" t="e">
        <f>AND(#REF!,"AAAAAD/893A=")</f>
        <v>#REF!</v>
      </c>
      <c r="DJ165" t="e">
        <f>AND(#REF!,"AAAAAD/893E=")</f>
        <v>#REF!</v>
      </c>
      <c r="DK165" t="e">
        <f>AND(#REF!,"AAAAAD/893I=")</f>
        <v>#REF!</v>
      </c>
      <c r="DL165" t="e">
        <f>IF(#REF!,"AAAAAD/893M=",0)</f>
        <v>#REF!</v>
      </c>
      <c r="DM165" t="e">
        <f>AND(#REF!,"AAAAAD/893Q=")</f>
        <v>#REF!</v>
      </c>
      <c r="DN165" t="e">
        <f>AND(#REF!,"AAAAAD/893U=")</f>
        <v>#REF!</v>
      </c>
      <c r="DO165" t="e">
        <f>AND(#REF!,"AAAAAD/893Y=")</f>
        <v>#REF!</v>
      </c>
      <c r="DP165" t="e">
        <f>AND(#REF!,"AAAAAD/893c=")</f>
        <v>#REF!</v>
      </c>
      <c r="DQ165" t="e">
        <f>AND(#REF!,"AAAAAD/893g=")</f>
        <v>#REF!</v>
      </c>
      <c r="DR165" t="e">
        <f>AND(#REF!,"AAAAAD/893k=")</f>
        <v>#REF!</v>
      </c>
      <c r="DS165" t="e">
        <f>AND(#REF!,"AAAAAD/893o=")</f>
        <v>#REF!</v>
      </c>
      <c r="DT165" t="e">
        <f>AND(#REF!,"AAAAAD/893s=")</f>
        <v>#REF!</v>
      </c>
      <c r="DU165" t="e">
        <f>AND(#REF!,"AAAAAD/893w=")</f>
        <v>#REF!</v>
      </c>
      <c r="DV165" t="e">
        <f>AND(#REF!,"AAAAAD/8930=")</f>
        <v>#REF!</v>
      </c>
      <c r="DW165" t="e">
        <f>AND(#REF!,"AAAAAD/8934=")</f>
        <v>#REF!</v>
      </c>
      <c r="DX165" t="e">
        <f>AND(#REF!,"AAAAAD/8938=")</f>
        <v>#REF!</v>
      </c>
      <c r="DY165" t="e">
        <f>AND(#REF!,"AAAAAD/894A=")</f>
        <v>#REF!</v>
      </c>
      <c r="DZ165" t="e">
        <f>AND(#REF!,"AAAAAD/894E=")</f>
        <v>#REF!</v>
      </c>
      <c r="EA165" t="e">
        <f>AND(#REF!,"AAAAAD/894I=")</f>
        <v>#REF!</v>
      </c>
      <c r="EB165" t="e">
        <f>AND(#REF!,"AAAAAD/894M=")</f>
        <v>#REF!</v>
      </c>
      <c r="EC165" t="e">
        <f>AND(#REF!,"AAAAAD/894Q=")</f>
        <v>#REF!</v>
      </c>
      <c r="ED165" t="e">
        <f>AND(#REF!,"AAAAAD/894U=")</f>
        <v>#REF!</v>
      </c>
      <c r="EE165" t="e">
        <f>AND(#REF!,"AAAAAD/894Y=")</f>
        <v>#REF!</v>
      </c>
      <c r="EF165" t="e">
        <f>AND(#REF!,"AAAAAD/894c=")</f>
        <v>#REF!</v>
      </c>
      <c r="EG165" t="e">
        <f>AND(#REF!,"AAAAAD/894g=")</f>
        <v>#REF!</v>
      </c>
      <c r="EH165" t="e">
        <f>AND(#REF!,"AAAAAD/894k=")</f>
        <v>#REF!</v>
      </c>
      <c r="EI165" t="e">
        <f>AND(#REF!,"AAAAAD/894o=")</f>
        <v>#REF!</v>
      </c>
      <c r="EJ165" t="e">
        <f>AND(#REF!,"AAAAAD/894s=")</f>
        <v>#REF!</v>
      </c>
      <c r="EK165" t="e">
        <f>AND(#REF!,"AAAAAD/894w=")</f>
        <v>#REF!</v>
      </c>
      <c r="EL165" t="e">
        <f>AND(#REF!,"AAAAAD/8940=")</f>
        <v>#REF!</v>
      </c>
      <c r="EM165" t="e">
        <f>AND(#REF!,"AAAAAD/8944=")</f>
        <v>#REF!</v>
      </c>
      <c r="EN165" t="e">
        <f>AND(#REF!,"AAAAAD/8948=")</f>
        <v>#REF!</v>
      </c>
      <c r="EO165" t="e">
        <f>AND(#REF!,"AAAAAD/895A=")</f>
        <v>#REF!</v>
      </c>
      <c r="EP165" t="e">
        <f>AND(#REF!,"AAAAAD/895E=")</f>
        <v>#REF!</v>
      </c>
      <c r="EQ165" t="e">
        <f>IF(#REF!,"AAAAAD/895I=",0)</f>
        <v>#REF!</v>
      </c>
      <c r="ER165" t="e">
        <f>AND(#REF!,"AAAAAD/895M=")</f>
        <v>#REF!</v>
      </c>
      <c r="ES165" t="e">
        <f>AND(#REF!,"AAAAAD/895Q=")</f>
        <v>#REF!</v>
      </c>
      <c r="ET165" t="e">
        <f>AND(#REF!,"AAAAAD/895U=")</f>
        <v>#REF!</v>
      </c>
      <c r="EU165" t="e">
        <f>AND(#REF!,"AAAAAD/895Y=")</f>
        <v>#REF!</v>
      </c>
      <c r="EV165" t="e">
        <f>AND(#REF!,"AAAAAD/895c=")</f>
        <v>#REF!</v>
      </c>
      <c r="EW165" t="e">
        <f>AND(#REF!,"AAAAAD/895g=")</f>
        <v>#REF!</v>
      </c>
      <c r="EX165" t="e">
        <f>AND(#REF!,"AAAAAD/895k=")</f>
        <v>#REF!</v>
      </c>
      <c r="EY165" t="e">
        <f>AND(#REF!,"AAAAAD/895o=")</f>
        <v>#REF!</v>
      </c>
      <c r="EZ165" t="e">
        <f>AND(#REF!,"AAAAAD/895s=")</f>
        <v>#REF!</v>
      </c>
      <c r="FA165" t="e">
        <f>AND(#REF!,"AAAAAD/895w=")</f>
        <v>#REF!</v>
      </c>
      <c r="FB165" t="e">
        <f>AND(#REF!,"AAAAAD/8950=")</f>
        <v>#REF!</v>
      </c>
      <c r="FC165" t="e">
        <f>AND(#REF!,"AAAAAD/8954=")</f>
        <v>#REF!</v>
      </c>
      <c r="FD165" t="e">
        <f>AND(#REF!,"AAAAAD/8958=")</f>
        <v>#REF!</v>
      </c>
      <c r="FE165" t="e">
        <f>AND(#REF!,"AAAAAD/896A=")</f>
        <v>#REF!</v>
      </c>
      <c r="FF165" t="e">
        <f>AND(#REF!,"AAAAAD/896E=")</f>
        <v>#REF!</v>
      </c>
      <c r="FG165" t="e">
        <f>AND(#REF!,"AAAAAD/896I=")</f>
        <v>#REF!</v>
      </c>
      <c r="FH165" t="e">
        <f>AND(#REF!,"AAAAAD/896M=")</f>
        <v>#REF!</v>
      </c>
      <c r="FI165" t="e">
        <f>AND(#REF!,"AAAAAD/896Q=")</f>
        <v>#REF!</v>
      </c>
      <c r="FJ165" t="e">
        <f>AND(#REF!,"AAAAAD/896U=")</f>
        <v>#REF!</v>
      </c>
      <c r="FK165" t="e">
        <f>AND(#REF!,"AAAAAD/896Y=")</f>
        <v>#REF!</v>
      </c>
      <c r="FL165" t="e">
        <f>AND(#REF!,"AAAAAD/896c=")</f>
        <v>#REF!</v>
      </c>
      <c r="FM165" t="e">
        <f>AND(#REF!,"AAAAAD/896g=")</f>
        <v>#REF!</v>
      </c>
      <c r="FN165" t="e">
        <f>AND(#REF!,"AAAAAD/896k=")</f>
        <v>#REF!</v>
      </c>
      <c r="FO165" t="e">
        <f>AND(#REF!,"AAAAAD/896o=")</f>
        <v>#REF!</v>
      </c>
      <c r="FP165" t="e">
        <f>AND(#REF!,"AAAAAD/896s=")</f>
        <v>#REF!</v>
      </c>
      <c r="FQ165" t="e">
        <f>AND(#REF!,"AAAAAD/896w=")</f>
        <v>#REF!</v>
      </c>
      <c r="FR165" t="e">
        <f>AND(#REF!,"AAAAAD/8960=")</f>
        <v>#REF!</v>
      </c>
      <c r="FS165" t="e">
        <f>AND(#REF!,"AAAAAD/8964=")</f>
        <v>#REF!</v>
      </c>
      <c r="FT165" t="e">
        <f>AND(#REF!,"AAAAAD/8968=")</f>
        <v>#REF!</v>
      </c>
      <c r="FU165" t="e">
        <f>AND(#REF!,"AAAAAD/897A=")</f>
        <v>#REF!</v>
      </c>
      <c r="FV165" t="e">
        <f>IF(#REF!,"AAAAAD/897E=",0)</f>
        <v>#REF!</v>
      </c>
      <c r="FW165" t="e">
        <f>AND(#REF!,"AAAAAD/897I=")</f>
        <v>#REF!</v>
      </c>
      <c r="FX165" t="e">
        <f>AND(#REF!,"AAAAAD/897M=")</f>
        <v>#REF!</v>
      </c>
      <c r="FY165" t="e">
        <f>AND(#REF!,"AAAAAD/897Q=")</f>
        <v>#REF!</v>
      </c>
      <c r="FZ165" t="e">
        <f>AND(#REF!,"AAAAAD/897U=")</f>
        <v>#REF!</v>
      </c>
      <c r="GA165" t="e">
        <f>AND(#REF!,"AAAAAD/897Y=")</f>
        <v>#REF!</v>
      </c>
      <c r="GB165" t="e">
        <f>AND(#REF!,"AAAAAD/897c=")</f>
        <v>#REF!</v>
      </c>
      <c r="GC165" t="e">
        <f>AND(#REF!,"AAAAAD/897g=")</f>
        <v>#REF!</v>
      </c>
      <c r="GD165" t="e">
        <f>AND(#REF!,"AAAAAD/897k=")</f>
        <v>#REF!</v>
      </c>
      <c r="GE165" t="e">
        <f>AND(#REF!,"AAAAAD/897o=")</f>
        <v>#REF!</v>
      </c>
      <c r="GF165" t="e">
        <f>AND(#REF!,"AAAAAD/897s=")</f>
        <v>#REF!</v>
      </c>
      <c r="GG165" t="e">
        <f>AND(#REF!,"AAAAAD/897w=")</f>
        <v>#REF!</v>
      </c>
      <c r="GH165" t="e">
        <f>AND(#REF!,"AAAAAD/8970=")</f>
        <v>#REF!</v>
      </c>
      <c r="GI165" t="e">
        <f>AND(#REF!,"AAAAAD/8974=")</f>
        <v>#REF!</v>
      </c>
      <c r="GJ165" t="e">
        <f>AND(#REF!,"AAAAAD/8978=")</f>
        <v>#REF!</v>
      </c>
      <c r="GK165" t="e">
        <f>AND(#REF!,"AAAAAD/898A=")</f>
        <v>#REF!</v>
      </c>
      <c r="GL165" t="e">
        <f>AND(#REF!,"AAAAAD/898E=")</f>
        <v>#REF!</v>
      </c>
      <c r="GM165" t="e">
        <f>AND(#REF!,"AAAAAD/898I=")</f>
        <v>#REF!</v>
      </c>
      <c r="GN165" t="e">
        <f>AND(#REF!,"AAAAAD/898M=")</f>
        <v>#REF!</v>
      </c>
      <c r="GO165" t="e">
        <f>AND(#REF!,"AAAAAD/898Q=")</f>
        <v>#REF!</v>
      </c>
      <c r="GP165" t="e">
        <f>AND(#REF!,"AAAAAD/898U=")</f>
        <v>#REF!</v>
      </c>
      <c r="GQ165" t="e">
        <f>AND(#REF!,"AAAAAD/898Y=")</f>
        <v>#REF!</v>
      </c>
      <c r="GR165" t="e">
        <f>AND(#REF!,"AAAAAD/898c=")</f>
        <v>#REF!</v>
      </c>
      <c r="GS165" t="e">
        <f>AND(#REF!,"AAAAAD/898g=")</f>
        <v>#REF!</v>
      </c>
      <c r="GT165" t="e">
        <f>AND(#REF!,"AAAAAD/898k=")</f>
        <v>#REF!</v>
      </c>
      <c r="GU165" t="e">
        <f>AND(#REF!,"AAAAAD/898o=")</f>
        <v>#REF!</v>
      </c>
      <c r="GV165" t="e">
        <f>AND(#REF!,"AAAAAD/898s=")</f>
        <v>#REF!</v>
      </c>
      <c r="GW165" t="e">
        <f>AND(#REF!,"AAAAAD/898w=")</f>
        <v>#REF!</v>
      </c>
      <c r="GX165" t="e">
        <f>AND(#REF!,"AAAAAD/8980=")</f>
        <v>#REF!</v>
      </c>
      <c r="GY165" t="e">
        <f>AND(#REF!,"AAAAAD/8984=")</f>
        <v>#REF!</v>
      </c>
      <c r="GZ165" t="e">
        <f>AND(#REF!,"AAAAAD/8988=")</f>
        <v>#REF!</v>
      </c>
      <c r="HA165" t="e">
        <f>IF(#REF!,"AAAAAD/899A=",0)</f>
        <v>#REF!</v>
      </c>
      <c r="HB165" t="e">
        <f>AND(#REF!,"AAAAAD/899E=")</f>
        <v>#REF!</v>
      </c>
      <c r="HC165" t="e">
        <f>AND(#REF!,"AAAAAD/899I=")</f>
        <v>#REF!</v>
      </c>
      <c r="HD165" t="e">
        <f>AND(#REF!,"AAAAAD/899M=")</f>
        <v>#REF!</v>
      </c>
      <c r="HE165" t="e">
        <f>AND(#REF!,"AAAAAD/899Q=")</f>
        <v>#REF!</v>
      </c>
      <c r="HF165" t="e">
        <f>AND(#REF!,"AAAAAD/899U=")</f>
        <v>#REF!</v>
      </c>
      <c r="HG165" t="e">
        <f>AND(#REF!,"AAAAAD/899Y=")</f>
        <v>#REF!</v>
      </c>
      <c r="HH165" t="e">
        <f>AND(#REF!,"AAAAAD/899c=")</f>
        <v>#REF!</v>
      </c>
      <c r="HI165" t="e">
        <f>AND(#REF!,"AAAAAD/899g=")</f>
        <v>#REF!</v>
      </c>
      <c r="HJ165" t="e">
        <f>AND(#REF!,"AAAAAD/899k=")</f>
        <v>#REF!</v>
      </c>
      <c r="HK165" t="e">
        <f>AND(#REF!,"AAAAAD/899o=")</f>
        <v>#REF!</v>
      </c>
      <c r="HL165" t="e">
        <f>AND(#REF!,"AAAAAD/899s=")</f>
        <v>#REF!</v>
      </c>
      <c r="HM165" t="e">
        <f>AND(#REF!,"AAAAAD/899w=")</f>
        <v>#REF!</v>
      </c>
      <c r="HN165" t="e">
        <f>AND(#REF!,"AAAAAD/8990=")</f>
        <v>#REF!</v>
      </c>
      <c r="HO165" t="e">
        <f>AND(#REF!,"AAAAAD/8994=")</f>
        <v>#REF!</v>
      </c>
      <c r="HP165" t="e">
        <f>AND(#REF!,"AAAAAD/8998=")</f>
        <v>#REF!</v>
      </c>
      <c r="HQ165" t="e">
        <f>AND(#REF!,"AAAAAD/89+A=")</f>
        <v>#REF!</v>
      </c>
      <c r="HR165" t="e">
        <f>AND(#REF!,"AAAAAD/89+E=")</f>
        <v>#REF!</v>
      </c>
      <c r="HS165" t="e">
        <f>AND(#REF!,"AAAAAD/89+I=")</f>
        <v>#REF!</v>
      </c>
      <c r="HT165" t="e">
        <f>AND(#REF!,"AAAAAD/89+M=")</f>
        <v>#REF!</v>
      </c>
      <c r="HU165" t="e">
        <f>AND(#REF!,"AAAAAD/89+Q=")</f>
        <v>#REF!</v>
      </c>
      <c r="HV165" t="e">
        <f>AND(#REF!,"AAAAAD/89+U=")</f>
        <v>#REF!</v>
      </c>
      <c r="HW165" t="e">
        <f>AND(#REF!,"AAAAAD/89+Y=")</f>
        <v>#REF!</v>
      </c>
      <c r="HX165" t="e">
        <f>AND(#REF!,"AAAAAD/89+c=")</f>
        <v>#REF!</v>
      </c>
      <c r="HY165" t="e">
        <f>AND(#REF!,"AAAAAD/89+g=")</f>
        <v>#REF!</v>
      </c>
      <c r="HZ165" t="e">
        <f>AND(#REF!,"AAAAAD/89+k=")</f>
        <v>#REF!</v>
      </c>
      <c r="IA165" t="e">
        <f>AND(#REF!,"AAAAAD/89+o=")</f>
        <v>#REF!</v>
      </c>
      <c r="IB165" t="e">
        <f>AND(#REF!,"AAAAAD/89+s=")</f>
        <v>#REF!</v>
      </c>
      <c r="IC165" t="e">
        <f>AND(#REF!,"AAAAAD/89+w=")</f>
        <v>#REF!</v>
      </c>
      <c r="ID165" t="e">
        <f>AND(#REF!,"AAAAAD/89+0=")</f>
        <v>#REF!</v>
      </c>
      <c r="IE165" t="e">
        <f>AND(#REF!,"AAAAAD/89+4=")</f>
        <v>#REF!</v>
      </c>
      <c r="IF165" t="e">
        <f>IF(#REF!,"AAAAAD/89+8=",0)</f>
        <v>#REF!</v>
      </c>
      <c r="IG165" t="e">
        <f>AND(#REF!,"AAAAAD/89/A=")</f>
        <v>#REF!</v>
      </c>
      <c r="IH165" t="e">
        <f>AND(#REF!,"AAAAAD/89/E=")</f>
        <v>#REF!</v>
      </c>
      <c r="II165" t="e">
        <f>AND(#REF!,"AAAAAD/89/I=")</f>
        <v>#REF!</v>
      </c>
      <c r="IJ165" t="e">
        <f>AND(#REF!,"AAAAAD/89/M=")</f>
        <v>#REF!</v>
      </c>
      <c r="IK165" t="e">
        <f>AND(#REF!,"AAAAAD/89/Q=")</f>
        <v>#REF!</v>
      </c>
      <c r="IL165" t="e">
        <f>AND(#REF!,"AAAAAD/89/U=")</f>
        <v>#REF!</v>
      </c>
      <c r="IM165" t="e">
        <f>AND(#REF!,"AAAAAD/89/Y=")</f>
        <v>#REF!</v>
      </c>
      <c r="IN165" t="e">
        <f>AND(#REF!,"AAAAAD/89/c=")</f>
        <v>#REF!</v>
      </c>
      <c r="IO165" t="e">
        <f>AND(#REF!,"AAAAAD/89/g=")</f>
        <v>#REF!</v>
      </c>
      <c r="IP165" t="e">
        <f>AND(#REF!,"AAAAAD/89/k=")</f>
        <v>#REF!</v>
      </c>
      <c r="IQ165" t="e">
        <f>AND(#REF!,"AAAAAD/89/o=")</f>
        <v>#REF!</v>
      </c>
      <c r="IR165" t="e">
        <f>AND(#REF!,"AAAAAD/89/s=")</f>
        <v>#REF!</v>
      </c>
      <c r="IS165" t="e">
        <f>AND(#REF!,"AAAAAD/89/w=")</f>
        <v>#REF!</v>
      </c>
      <c r="IT165" t="e">
        <f>AND(#REF!,"AAAAAD/89/0=")</f>
        <v>#REF!</v>
      </c>
      <c r="IU165" t="e">
        <f>AND(#REF!,"AAAAAD/89/4=")</f>
        <v>#REF!</v>
      </c>
      <c r="IV165" t="e">
        <f>AND(#REF!,"AAAAAD/89/8=")</f>
        <v>#REF!</v>
      </c>
    </row>
    <row r="166" spans="1:256" x14ac:dyDescent="0.2">
      <c r="A166" t="e">
        <f>AND(#REF!,"AAAAABbmAwA=")</f>
        <v>#REF!</v>
      </c>
      <c r="B166" t="e">
        <f>AND(#REF!,"AAAAABbmAwE=")</f>
        <v>#REF!</v>
      </c>
      <c r="C166" t="e">
        <f>AND(#REF!,"AAAAABbmAwI=")</f>
        <v>#REF!</v>
      </c>
      <c r="D166" t="e">
        <f>AND(#REF!,"AAAAABbmAwM=")</f>
        <v>#REF!</v>
      </c>
      <c r="E166" t="e">
        <f>AND(#REF!,"AAAAABbmAwQ=")</f>
        <v>#REF!</v>
      </c>
      <c r="F166" t="e">
        <f>AND(#REF!,"AAAAABbmAwU=")</f>
        <v>#REF!</v>
      </c>
      <c r="G166" t="e">
        <f>AND(#REF!,"AAAAABbmAwY=")</f>
        <v>#REF!</v>
      </c>
      <c r="H166" t="e">
        <f>AND(#REF!,"AAAAABbmAwc=")</f>
        <v>#REF!</v>
      </c>
      <c r="I166" t="e">
        <f>AND(#REF!,"AAAAABbmAwg=")</f>
        <v>#REF!</v>
      </c>
      <c r="J166" t="e">
        <f>AND(#REF!,"AAAAABbmAwk=")</f>
        <v>#REF!</v>
      </c>
      <c r="K166" t="e">
        <f>AND(#REF!,"AAAAABbmAwo=")</f>
        <v>#REF!</v>
      </c>
      <c r="L166" t="e">
        <f>AND(#REF!,"AAAAABbmAws=")</f>
        <v>#REF!</v>
      </c>
      <c r="M166" t="e">
        <f>AND(#REF!,"AAAAABbmAww=")</f>
        <v>#REF!</v>
      </c>
      <c r="N166" t="e">
        <f>AND(#REF!,"AAAAABbmAw0=")</f>
        <v>#REF!</v>
      </c>
      <c r="O166" t="e">
        <f>IF(#REF!,"AAAAABbmAw4=",0)</f>
        <v>#REF!</v>
      </c>
      <c r="P166" t="e">
        <f>AND(#REF!,"AAAAABbmAw8=")</f>
        <v>#REF!</v>
      </c>
      <c r="Q166" t="e">
        <f>AND(#REF!,"AAAAABbmAxA=")</f>
        <v>#REF!</v>
      </c>
      <c r="R166" t="e">
        <f>AND(#REF!,"AAAAABbmAxE=")</f>
        <v>#REF!</v>
      </c>
      <c r="S166" t="e">
        <f>AND(#REF!,"AAAAABbmAxI=")</f>
        <v>#REF!</v>
      </c>
      <c r="T166" t="e">
        <f>AND(#REF!,"AAAAABbmAxM=")</f>
        <v>#REF!</v>
      </c>
      <c r="U166" t="e">
        <f>AND(#REF!,"AAAAABbmAxQ=")</f>
        <v>#REF!</v>
      </c>
      <c r="V166" t="e">
        <f>AND(#REF!,"AAAAABbmAxU=")</f>
        <v>#REF!</v>
      </c>
      <c r="W166" t="e">
        <f>AND(#REF!,"AAAAABbmAxY=")</f>
        <v>#REF!</v>
      </c>
      <c r="X166" t="e">
        <f>AND(#REF!,"AAAAABbmAxc=")</f>
        <v>#REF!</v>
      </c>
      <c r="Y166" t="e">
        <f>AND(#REF!,"AAAAABbmAxg=")</f>
        <v>#REF!</v>
      </c>
      <c r="Z166" t="e">
        <f>AND(#REF!,"AAAAABbmAxk=")</f>
        <v>#REF!</v>
      </c>
      <c r="AA166" t="e">
        <f>AND(#REF!,"AAAAABbmAxo=")</f>
        <v>#REF!</v>
      </c>
      <c r="AB166" t="e">
        <f>AND(#REF!,"AAAAABbmAxs=")</f>
        <v>#REF!</v>
      </c>
      <c r="AC166" t="e">
        <f>AND(#REF!,"AAAAABbmAxw=")</f>
        <v>#REF!</v>
      </c>
      <c r="AD166" t="e">
        <f>AND(#REF!,"AAAAABbmAx0=")</f>
        <v>#REF!</v>
      </c>
      <c r="AE166" t="e">
        <f>AND(#REF!,"AAAAABbmAx4=")</f>
        <v>#REF!</v>
      </c>
      <c r="AF166" t="e">
        <f>AND(#REF!,"AAAAABbmAx8=")</f>
        <v>#REF!</v>
      </c>
      <c r="AG166" t="e">
        <f>AND(#REF!,"AAAAABbmAyA=")</f>
        <v>#REF!</v>
      </c>
      <c r="AH166" t="e">
        <f>AND(#REF!,"AAAAABbmAyE=")</f>
        <v>#REF!</v>
      </c>
      <c r="AI166" t="e">
        <f>AND(#REF!,"AAAAABbmAyI=")</f>
        <v>#REF!</v>
      </c>
      <c r="AJ166" t="e">
        <f>AND(#REF!,"AAAAABbmAyM=")</f>
        <v>#REF!</v>
      </c>
      <c r="AK166" t="e">
        <f>AND(#REF!,"AAAAABbmAyQ=")</f>
        <v>#REF!</v>
      </c>
      <c r="AL166" t="e">
        <f>AND(#REF!,"AAAAABbmAyU=")</f>
        <v>#REF!</v>
      </c>
      <c r="AM166" t="e">
        <f>AND(#REF!,"AAAAABbmAyY=")</f>
        <v>#REF!</v>
      </c>
      <c r="AN166" t="e">
        <f>AND(#REF!,"AAAAABbmAyc=")</f>
        <v>#REF!</v>
      </c>
      <c r="AO166" t="e">
        <f>AND(#REF!,"AAAAABbmAyg=")</f>
        <v>#REF!</v>
      </c>
      <c r="AP166" t="e">
        <f>AND(#REF!,"AAAAABbmAyk=")</f>
        <v>#REF!</v>
      </c>
      <c r="AQ166" t="e">
        <f>AND(#REF!,"AAAAABbmAyo=")</f>
        <v>#REF!</v>
      </c>
      <c r="AR166" t="e">
        <f>AND(#REF!,"AAAAABbmAys=")</f>
        <v>#REF!</v>
      </c>
      <c r="AS166" t="e">
        <f>AND(#REF!,"AAAAABbmAyw=")</f>
        <v>#REF!</v>
      </c>
      <c r="AT166" t="e">
        <f>IF(#REF!,"AAAAABbmAy0=",0)</f>
        <v>#REF!</v>
      </c>
      <c r="AU166" t="e">
        <f>AND(#REF!,"AAAAABbmAy4=")</f>
        <v>#REF!</v>
      </c>
      <c r="AV166" t="e">
        <f>AND(#REF!,"AAAAABbmAy8=")</f>
        <v>#REF!</v>
      </c>
      <c r="AW166" t="e">
        <f>AND(#REF!,"AAAAABbmAzA=")</f>
        <v>#REF!</v>
      </c>
      <c r="AX166" t="e">
        <f>AND(#REF!,"AAAAABbmAzE=")</f>
        <v>#REF!</v>
      </c>
      <c r="AY166" t="e">
        <f>AND(#REF!,"AAAAABbmAzI=")</f>
        <v>#REF!</v>
      </c>
      <c r="AZ166" t="e">
        <f>AND(#REF!,"AAAAABbmAzM=")</f>
        <v>#REF!</v>
      </c>
      <c r="BA166" t="e">
        <f>AND(#REF!,"AAAAABbmAzQ=")</f>
        <v>#REF!</v>
      </c>
      <c r="BB166" t="e">
        <f>AND(#REF!,"AAAAABbmAzU=")</f>
        <v>#REF!</v>
      </c>
      <c r="BC166" t="e">
        <f>AND(#REF!,"AAAAABbmAzY=")</f>
        <v>#REF!</v>
      </c>
      <c r="BD166" t="e">
        <f>AND(#REF!,"AAAAABbmAzc=")</f>
        <v>#REF!</v>
      </c>
      <c r="BE166" t="e">
        <f>AND(#REF!,"AAAAABbmAzg=")</f>
        <v>#REF!</v>
      </c>
      <c r="BF166" t="e">
        <f>AND(#REF!,"AAAAABbmAzk=")</f>
        <v>#REF!</v>
      </c>
      <c r="BG166" t="e">
        <f>AND(#REF!,"AAAAABbmAzo=")</f>
        <v>#REF!</v>
      </c>
      <c r="BH166" t="e">
        <f>AND(#REF!,"AAAAABbmAzs=")</f>
        <v>#REF!</v>
      </c>
      <c r="BI166" t="e">
        <f>AND(#REF!,"AAAAABbmAzw=")</f>
        <v>#REF!</v>
      </c>
      <c r="BJ166" t="e">
        <f>AND(#REF!,"AAAAABbmAz0=")</f>
        <v>#REF!</v>
      </c>
      <c r="BK166" t="e">
        <f>AND(#REF!,"AAAAABbmAz4=")</f>
        <v>#REF!</v>
      </c>
      <c r="BL166" t="e">
        <f>AND(#REF!,"AAAAABbmAz8=")</f>
        <v>#REF!</v>
      </c>
      <c r="BM166" t="e">
        <f>AND(#REF!,"AAAAABbmA0A=")</f>
        <v>#REF!</v>
      </c>
      <c r="BN166" t="e">
        <f>AND(#REF!,"AAAAABbmA0E=")</f>
        <v>#REF!</v>
      </c>
      <c r="BO166" t="e">
        <f>AND(#REF!,"AAAAABbmA0I=")</f>
        <v>#REF!</v>
      </c>
      <c r="BP166" t="e">
        <f>AND(#REF!,"AAAAABbmA0M=")</f>
        <v>#REF!</v>
      </c>
      <c r="BQ166" t="e">
        <f>AND(#REF!,"AAAAABbmA0Q=")</f>
        <v>#REF!</v>
      </c>
      <c r="BR166" t="e">
        <f>AND(#REF!,"AAAAABbmA0U=")</f>
        <v>#REF!</v>
      </c>
      <c r="BS166" t="e">
        <f>AND(#REF!,"AAAAABbmA0Y=")</f>
        <v>#REF!</v>
      </c>
      <c r="BT166" t="e">
        <f>AND(#REF!,"AAAAABbmA0c=")</f>
        <v>#REF!</v>
      </c>
      <c r="BU166" t="e">
        <f>AND(#REF!,"AAAAABbmA0g=")</f>
        <v>#REF!</v>
      </c>
      <c r="BV166" t="e">
        <f>AND(#REF!,"AAAAABbmA0k=")</f>
        <v>#REF!</v>
      </c>
      <c r="BW166" t="e">
        <f>AND(#REF!,"AAAAABbmA0o=")</f>
        <v>#REF!</v>
      </c>
      <c r="BX166" t="e">
        <f>AND(#REF!,"AAAAABbmA0s=")</f>
        <v>#REF!</v>
      </c>
      <c r="BY166" t="e">
        <f>IF(#REF!,"AAAAABbmA0w=",0)</f>
        <v>#REF!</v>
      </c>
      <c r="BZ166" t="e">
        <f>AND(#REF!,"AAAAABbmA00=")</f>
        <v>#REF!</v>
      </c>
      <c r="CA166" t="e">
        <f>AND(#REF!,"AAAAABbmA04=")</f>
        <v>#REF!</v>
      </c>
      <c r="CB166" t="e">
        <f>AND(#REF!,"AAAAABbmA08=")</f>
        <v>#REF!</v>
      </c>
      <c r="CC166" t="e">
        <f>AND(#REF!,"AAAAABbmA1A=")</f>
        <v>#REF!</v>
      </c>
      <c r="CD166" t="e">
        <f>AND(#REF!,"AAAAABbmA1E=")</f>
        <v>#REF!</v>
      </c>
      <c r="CE166" t="e">
        <f>AND(#REF!,"AAAAABbmA1I=")</f>
        <v>#REF!</v>
      </c>
      <c r="CF166" t="e">
        <f>AND(#REF!,"AAAAABbmA1M=")</f>
        <v>#REF!</v>
      </c>
      <c r="CG166" t="e">
        <f>AND(#REF!,"AAAAABbmA1Q=")</f>
        <v>#REF!</v>
      </c>
      <c r="CH166" t="e">
        <f>AND(#REF!,"AAAAABbmA1U=")</f>
        <v>#REF!</v>
      </c>
      <c r="CI166" t="e">
        <f>AND(#REF!,"AAAAABbmA1Y=")</f>
        <v>#REF!</v>
      </c>
      <c r="CJ166" t="e">
        <f>AND(#REF!,"AAAAABbmA1c=")</f>
        <v>#REF!</v>
      </c>
      <c r="CK166" t="e">
        <f>AND(#REF!,"AAAAABbmA1g=")</f>
        <v>#REF!</v>
      </c>
      <c r="CL166" t="e">
        <f>AND(#REF!,"AAAAABbmA1k=")</f>
        <v>#REF!</v>
      </c>
      <c r="CM166" t="e">
        <f>AND(#REF!,"AAAAABbmA1o=")</f>
        <v>#REF!</v>
      </c>
      <c r="CN166" t="e">
        <f>AND(#REF!,"AAAAABbmA1s=")</f>
        <v>#REF!</v>
      </c>
      <c r="CO166" t="e">
        <f>AND(#REF!,"AAAAABbmA1w=")</f>
        <v>#REF!</v>
      </c>
      <c r="CP166" t="e">
        <f>AND(#REF!,"AAAAABbmA10=")</f>
        <v>#REF!</v>
      </c>
      <c r="CQ166" t="e">
        <f>AND(#REF!,"AAAAABbmA14=")</f>
        <v>#REF!</v>
      </c>
      <c r="CR166" t="e">
        <f>AND(#REF!,"AAAAABbmA18=")</f>
        <v>#REF!</v>
      </c>
      <c r="CS166" t="e">
        <f>AND(#REF!,"AAAAABbmA2A=")</f>
        <v>#REF!</v>
      </c>
      <c r="CT166" t="e">
        <f>AND(#REF!,"AAAAABbmA2E=")</f>
        <v>#REF!</v>
      </c>
      <c r="CU166" t="e">
        <f>AND(#REF!,"AAAAABbmA2I=")</f>
        <v>#REF!</v>
      </c>
      <c r="CV166" t="e">
        <f>AND(#REF!,"AAAAABbmA2M=")</f>
        <v>#REF!</v>
      </c>
      <c r="CW166" t="e">
        <f>AND(#REF!,"AAAAABbmA2Q=")</f>
        <v>#REF!</v>
      </c>
      <c r="CX166" t="e">
        <f>AND(#REF!,"AAAAABbmA2U=")</f>
        <v>#REF!</v>
      </c>
      <c r="CY166" t="e">
        <f>AND(#REF!,"AAAAABbmA2Y=")</f>
        <v>#REF!</v>
      </c>
      <c r="CZ166" t="e">
        <f>AND(#REF!,"AAAAABbmA2c=")</f>
        <v>#REF!</v>
      </c>
      <c r="DA166" t="e">
        <f>AND(#REF!,"AAAAABbmA2g=")</f>
        <v>#REF!</v>
      </c>
      <c r="DB166" t="e">
        <f>AND(#REF!,"AAAAABbmA2k=")</f>
        <v>#REF!</v>
      </c>
      <c r="DC166" t="e">
        <f>AND(#REF!,"AAAAABbmA2o=")</f>
        <v>#REF!</v>
      </c>
      <c r="DD166" t="e">
        <f>IF(#REF!,"AAAAABbmA2s=",0)</f>
        <v>#REF!</v>
      </c>
      <c r="DE166" t="e">
        <f>AND(#REF!,"AAAAABbmA2w=")</f>
        <v>#REF!</v>
      </c>
      <c r="DF166" t="e">
        <f>AND(#REF!,"AAAAABbmA20=")</f>
        <v>#REF!</v>
      </c>
      <c r="DG166" t="e">
        <f>AND(#REF!,"AAAAABbmA24=")</f>
        <v>#REF!</v>
      </c>
      <c r="DH166" t="e">
        <f>AND(#REF!,"AAAAABbmA28=")</f>
        <v>#REF!</v>
      </c>
      <c r="DI166" t="e">
        <f>AND(#REF!,"AAAAABbmA3A=")</f>
        <v>#REF!</v>
      </c>
      <c r="DJ166" t="e">
        <f>AND(#REF!,"AAAAABbmA3E=")</f>
        <v>#REF!</v>
      </c>
      <c r="DK166" t="e">
        <f>AND(#REF!,"AAAAABbmA3I=")</f>
        <v>#REF!</v>
      </c>
      <c r="DL166" t="e">
        <f>AND(#REF!,"AAAAABbmA3M=")</f>
        <v>#REF!</v>
      </c>
      <c r="DM166" t="e">
        <f>AND(#REF!,"AAAAABbmA3Q=")</f>
        <v>#REF!</v>
      </c>
      <c r="DN166" t="e">
        <f>AND(#REF!,"AAAAABbmA3U=")</f>
        <v>#REF!</v>
      </c>
      <c r="DO166" t="e">
        <f>AND(#REF!,"AAAAABbmA3Y=")</f>
        <v>#REF!</v>
      </c>
      <c r="DP166" t="e">
        <f>AND(#REF!,"AAAAABbmA3c=")</f>
        <v>#REF!</v>
      </c>
      <c r="DQ166" t="e">
        <f>AND(#REF!,"AAAAABbmA3g=")</f>
        <v>#REF!</v>
      </c>
      <c r="DR166" t="e">
        <f>AND(#REF!,"AAAAABbmA3k=")</f>
        <v>#REF!</v>
      </c>
      <c r="DS166" t="e">
        <f>AND(#REF!,"AAAAABbmA3o=")</f>
        <v>#REF!</v>
      </c>
      <c r="DT166" t="e">
        <f>AND(#REF!,"AAAAABbmA3s=")</f>
        <v>#REF!</v>
      </c>
      <c r="DU166" t="e">
        <f>AND(#REF!,"AAAAABbmA3w=")</f>
        <v>#REF!</v>
      </c>
      <c r="DV166" t="e">
        <f>AND(#REF!,"AAAAABbmA30=")</f>
        <v>#REF!</v>
      </c>
      <c r="DW166" t="e">
        <f>AND(#REF!,"AAAAABbmA34=")</f>
        <v>#REF!</v>
      </c>
      <c r="DX166" t="e">
        <f>AND(#REF!,"AAAAABbmA38=")</f>
        <v>#REF!</v>
      </c>
      <c r="DY166" t="e">
        <f>AND(#REF!,"AAAAABbmA4A=")</f>
        <v>#REF!</v>
      </c>
      <c r="DZ166" t="e">
        <f>AND(#REF!,"AAAAABbmA4E=")</f>
        <v>#REF!</v>
      </c>
      <c r="EA166" t="e">
        <f>AND(#REF!,"AAAAABbmA4I=")</f>
        <v>#REF!</v>
      </c>
      <c r="EB166" t="e">
        <f>AND(#REF!,"AAAAABbmA4M=")</f>
        <v>#REF!</v>
      </c>
      <c r="EC166" t="e">
        <f>AND(#REF!,"AAAAABbmA4Q=")</f>
        <v>#REF!</v>
      </c>
      <c r="ED166" t="e">
        <f>AND(#REF!,"AAAAABbmA4U=")</f>
        <v>#REF!</v>
      </c>
      <c r="EE166" t="e">
        <f>AND(#REF!,"AAAAABbmA4Y=")</f>
        <v>#REF!</v>
      </c>
      <c r="EF166" t="e">
        <f>AND(#REF!,"AAAAABbmA4c=")</f>
        <v>#REF!</v>
      </c>
      <c r="EG166" t="e">
        <f>AND(#REF!,"AAAAABbmA4g=")</f>
        <v>#REF!</v>
      </c>
      <c r="EH166" t="e">
        <f>AND(#REF!,"AAAAABbmA4k=")</f>
        <v>#REF!</v>
      </c>
      <c r="EI166" t="e">
        <f>IF(#REF!,"AAAAABbmA4o=",0)</f>
        <v>#REF!</v>
      </c>
      <c r="EJ166" t="e">
        <f>AND(#REF!,"AAAAABbmA4s=")</f>
        <v>#REF!</v>
      </c>
      <c r="EK166" t="e">
        <f>AND(#REF!,"AAAAABbmA4w=")</f>
        <v>#REF!</v>
      </c>
      <c r="EL166" t="e">
        <f>AND(#REF!,"AAAAABbmA40=")</f>
        <v>#REF!</v>
      </c>
      <c r="EM166" t="e">
        <f>AND(#REF!,"AAAAABbmA44=")</f>
        <v>#REF!</v>
      </c>
      <c r="EN166" t="e">
        <f>AND(#REF!,"AAAAABbmA48=")</f>
        <v>#REF!</v>
      </c>
      <c r="EO166" t="e">
        <f>AND(#REF!,"AAAAABbmA5A=")</f>
        <v>#REF!</v>
      </c>
      <c r="EP166" t="e">
        <f>AND(#REF!,"AAAAABbmA5E=")</f>
        <v>#REF!</v>
      </c>
      <c r="EQ166" t="e">
        <f>AND(#REF!,"AAAAABbmA5I=")</f>
        <v>#REF!</v>
      </c>
      <c r="ER166" t="e">
        <f>AND(#REF!,"AAAAABbmA5M=")</f>
        <v>#REF!</v>
      </c>
      <c r="ES166" t="e">
        <f>AND(#REF!,"AAAAABbmA5Q=")</f>
        <v>#REF!</v>
      </c>
      <c r="ET166" t="e">
        <f>AND(#REF!,"AAAAABbmA5U=")</f>
        <v>#REF!</v>
      </c>
      <c r="EU166" t="e">
        <f>AND(#REF!,"AAAAABbmA5Y=")</f>
        <v>#REF!</v>
      </c>
      <c r="EV166" t="e">
        <f>AND(#REF!,"AAAAABbmA5c=")</f>
        <v>#REF!</v>
      </c>
      <c r="EW166" t="e">
        <f>AND(#REF!,"AAAAABbmA5g=")</f>
        <v>#REF!</v>
      </c>
      <c r="EX166" t="e">
        <f>AND(#REF!,"AAAAABbmA5k=")</f>
        <v>#REF!</v>
      </c>
      <c r="EY166" t="e">
        <f>AND(#REF!,"AAAAABbmA5o=")</f>
        <v>#REF!</v>
      </c>
      <c r="EZ166" t="e">
        <f>AND(#REF!,"AAAAABbmA5s=")</f>
        <v>#REF!</v>
      </c>
      <c r="FA166" t="e">
        <f>AND(#REF!,"AAAAABbmA5w=")</f>
        <v>#REF!</v>
      </c>
      <c r="FB166" t="e">
        <f>AND(#REF!,"AAAAABbmA50=")</f>
        <v>#REF!</v>
      </c>
      <c r="FC166" t="e">
        <f>AND(#REF!,"AAAAABbmA54=")</f>
        <v>#REF!</v>
      </c>
      <c r="FD166" t="e">
        <f>AND(#REF!,"AAAAABbmA58=")</f>
        <v>#REF!</v>
      </c>
      <c r="FE166" t="e">
        <f>AND(#REF!,"AAAAABbmA6A=")</f>
        <v>#REF!</v>
      </c>
      <c r="FF166" t="e">
        <f>AND(#REF!,"AAAAABbmA6E=")</f>
        <v>#REF!</v>
      </c>
      <c r="FG166" t="e">
        <f>AND(#REF!,"AAAAABbmA6I=")</f>
        <v>#REF!</v>
      </c>
      <c r="FH166" t="e">
        <f>AND(#REF!,"AAAAABbmA6M=")</f>
        <v>#REF!</v>
      </c>
      <c r="FI166" t="e">
        <f>AND(#REF!,"AAAAABbmA6Q=")</f>
        <v>#REF!</v>
      </c>
      <c r="FJ166" t="e">
        <f>AND(#REF!,"AAAAABbmA6U=")</f>
        <v>#REF!</v>
      </c>
      <c r="FK166" t="e">
        <f>AND(#REF!,"AAAAABbmA6Y=")</f>
        <v>#REF!</v>
      </c>
      <c r="FL166" t="e">
        <f>AND(#REF!,"AAAAABbmA6c=")</f>
        <v>#REF!</v>
      </c>
      <c r="FM166" t="e">
        <f>AND(#REF!,"AAAAABbmA6g=")</f>
        <v>#REF!</v>
      </c>
      <c r="FN166" t="e">
        <f>IF(#REF!,"AAAAABbmA6k=",0)</f>
        <v>#REF!</v>
      </c>
      <c r="FO166" t="e">
        <f>AND(#REF!,"AAAAABbmA6o=")</f>
        <v>#REF!</v>
      </c>
      <c r="FP166" t="e">
        <f>AND(#REF!,"AAAAABbmA6s=")</f>
        <v>#REF!</v>
      </c>
      <c r="FQ166" t="e">
        <f>AND(#REF!,"AAAAABbmA6w=")</f>
        <v>#REF!</v>
      </c>
      <c r="FR166" t="e">
        <f>AND(#REF!,"AAAAABbmA60=")</f>
        <v>#REF!</v>
      </c>
      <c r="FS166" t="e">
        <f>AND(#REF!,"AAAAABbmA64=")</f>
        <v>#REF!</v>
      </c>
      <c r="FT166" t="e">
        <f>AND(#REF!,"AAAAABbmA68=")</f>
        <v>#REF!</v>
      </c>
      <c r="FU166" t="e">
        <f>AND(#REF!,"AAAAABbmA7A=")</f>
        <v>#REF!</v>
      </c>
      <c r="FV166" t="e">
        <f>AND(#REF!,"AAAAABbmA7E=")</f>
        <v>#REF!</v>
      </c>
      <c r="FW166" t="e">
        <f>AND(#REF!,"AAAAABbmA7I=")</f>
        <v>#REF!</v>
      </c>
      <c r="FX166" t="e">
        <f>AND(#REF!,"AAAAABbmA7M=")</f>
        <v>#REF!</v>
      </c>
      <c r="FY166" t="e">
        <f>AND(#REF!,"AAAAABbmA7Q=")</f>
        <v>#REF!</v>
      </c>
      <c r="FZ166" t="e">
        <f>AND(#REF!,"AAAAABbmA7U=")</f>
        <v>#REF!</v>
      </c>
      <c r="GA166" t="e">
        <f>AND(#REF!,"AAAAABbmA7Y=")</f>
        <v>#REF!</v>
      </c>
      <c r="GB166" t="e">
        <f>AND(#REF!,"AAAAABbmA7c=")</f>
        <v>#REF!</v>
      </c>
      <c r="GC166" t="e">
        <f>AND(#REF!,"AAAAABbmA7g=")</f>
        <v>#REF!</v>
      </c>
      <c r="GD166" t="e">
        <f>AND(#REF!,"AAAAABbmA7k=")</f>
        <v>#REF!</v>
      </c>
      <c r="GE166" t="e">
        <f>AND(#REF!,"AAAAABbmA7o=")</f>
        <v>#REF!</v>
      </c>
      <c r="GF166" t="e">
        <f>AND(#REF!,"AAAAABbmA7s=")</f>
        <v>#REF!</v>
      </c>
      <c r="GG166" t="e">
        <f>AND(#REF!,"AAAAABbmA7w=")</f>
        <v>#REF!</v>
      </c>
      <c r="GH166" t="e">
        <f>AND(#REF!,"AAAAABbmA70=")</f>
        <v>#REF!</v>
      </c>
      <c r="GI166" t="e">
        <f>AND(#REF!,"AAAAABbmA74=")</f>
        <v>#REF!</v>
      </c>
      <c r="GJ166" t="e">
        <f>AND(#REF!,"AAAAABbmA78=")</f>
        <v>#REF!</v>
      </c>
      <c r="GK166" t="e">
        <f>AND(#REF!,"AAAAABbmA8A=")</f>
        <v>#REF!</v>
      </c>
      <c r="GL166" t="e">
        <f>AND(#REF!,"AAAAABbmA8E=")</f>
        <v>#REF!</v>
      </c>
      <c r="GM166" t="e">
        <f>AND(#REF!,"AAAAABbmA8I=")</f>
        <v>#REF!</v>
      </c>
      <c r="GN166" t="e">
        <f>AND(#REF!,"AAAAABbmA8M=")</f>
        <v>#REF!</v>
      </c>
      <c r="GO166" t="e">
        <f>AND(#REF!,"AAAAABbmA8Q=")</f>
        <v>#REF!</v>
      </c>
      <c r="GP166" t="e">
        <f>AND(#REF!,"AAAAABbmA8U=")</f>
        <v>#REF!</v>
      </c>
      <c r="GQ166" t="e">
        <f>AND(#REF!,"AAAAABbmA8Y=")</f>
        <v>#REF!</v>
      </c>
      <c r="GR166" t="e">
        <f>AND(#REF!,"AAAAABbmA8c=")</f>
        <v>#REF!</v>
      </c>
      <c r="GS166" t="e">
        <f>IF(#REF!,"AAAAABbmA8g=",0)</f>
        <v>#REF!</v>
      </c>
      <c r="GT166" t="e">
        <f>AND(#REF!,"AAAAABbmA8k=")</f>
        <v>#REF!</v>
      </c>
      <c r="GU166" t="e">
        <f>AND(#REF!,"AAAAABbmA8o=")</f>
        <v>#REF!</v>
      </c>
      <c r="GV166" t="e">
        <f>AND(#REF!,"AAAAABbmA8s=")</f>
        <v>#REF!</v>
      </c>
      <c r="GW166" t="e">
        <f>AND(#REF!,"AAAAABbmA8w=")</f>
        <v>#REF!</v>
      </c>
      <c r="GX166" t="e">
        <f>AND(#REF!,"AAAAABbmA80=")</f>
        <v>#REF!</v>
      </c>
      <c r="GY166" t="e">
        <f>AND(#REF!,"AAAAABbmA84=")</f>
        <v>#REF!</v>
      </c>
      <c r="GZ166" t="e">
        <f>AND(#REF!,"AAAAABbmA88=")</f>
        <v>#REF!</v>
      </c>
      <c r="HA166" t="e">
        <f>AND(#REF!,"AAAAABbmA9A=")</f>
        <v>#REF!</v>
      </c>
      <c r="HB166" t="e">
        <f>AND(#REF!,"AAAAABbmA9E=")</f>
        <v>#REF!</v>
      </c>
      <c r="HC166" t="e">
        <f>AND(#REF!,"AAAAABbmA9I=")</f>
        <v>#REF!</v>
      </c>
      <c r="HD166" t="e">
        <f>AND(#REF!,"AAAAABbmA9M=")</f>
        <v>#REF!</v>
      </c>
      <c r="HE166" t="e">
        <f>AND(#REF!,"AAAAABbmA9Q=")</f>
        <v>#REF!</v>
      </c>
      <c r="HF166" t="e">
        <f>AND(#REF!,"AAAAABbmA9U=")</f>
        <v>#REF!</v>
      </c>
      <c r="HG166" t="e">
        <f>AND(#REF!,"AAAAABbmA9Y=")</f>
        <v>#REF!</v>
      </c>
      <c r="HH166" t="e">
        <f>AND(#REF!,"AAAAABbmA9c=")</f>
        <v>#REF!</v>
      </c>
      <c r="HI166" t="e">
        <f>AND(#REF!,"AAAAABbmA9g=")</f>
        <v>#REF!</v>
      </c>
      <c r="HJ166" t="e">
        <f>AND(#REF!,"AAAAABbmA9k=")</f>
        <v>#REF!</v>
      </c>
      <c r="HK166" t="e">
        <f>AND(#REF!,"AAAAABbmA9o=")</f>
        <v>#REF!</v>
      </c>
      <c r="HL166" t="e">
        <f>AND(#REF!,"AAAAABbmA9s=")</f>
        <v>#REF!</v>
      </c>
      <c r="HM166" t="e">
        <f>AND(#REF!,"AAAAABbmA9w=")</f>
        <v>#REF!</v>
      </c>
      <c r="HN166" t="e">
        <f>AND(#REF!,"AAAAABbmA90=")</f>
        <v>#REF!</v>
      </c>
      <c r="HO166" t="e">
        <f>AND(#REF!,"AAAAABbmA94=")</f>
        <v>#REF!</v>
      </c>
      <c r="HP166" t="e">
        <f>AND(#REF!,"AAAAABbmA98=")</f>
        <v>#REF!</v>
      </c>
      <c r="HQ166" t="e">
        <f>AND(#REF!,"AAAAABbmA+A=")</f>
        <v>#REF!</v>
      </c>
      <c r="HR166" t="e">
        <f>AND(#REF!,"AAAAABbmA+E=")</f>
        <v>#REF!</v>
      </c>
      <c r="HS166" t="e">
        <f>AND(#REF!,"AAAAABbmA+I=")</f>
        <v>#REF!</v>
      </c>
      <c r="HT166" t="e">
        <f>AND(#REF!,"AAAAABbmA+M=")</f>
        <v>#REF!</v>
      </c>
      <c r="HU166" t="e">
        <f>AND(#REF!,"AAAAABbmA+Q=")</f>
        <v>#REF!</v>
      </c>
      <c r="HV166" t="e">
        <f>AND(#REF!,"AAAAABbmA+U=")</f>
        <v>#REF!</v>
      </c>
      <c r="HW166" t="e">
        <f>AND(#REF!,"AAAAABbmA+Y=")</f>
        <v>#REF!</v>
      </c>
      <c r="HX166" t="e">
        <f>IF(#REF!,"AAAAABbmA+c=",0)</f>
        <v>#REF!</v>
      </c>
      <c r="HY166" t="e">
        <f>AND(#REF!,"AAAAABbmA+g=")</f>
        <v>#REF!</v>
      </c>
      <c r="HZ166" t="e">
        <f>AND(#REF!,"AAAAABbmA+k=")</f>
        <v>#REF!</v>
      </c>
      <c r="IA166" t="e">
        <f>AND(#REF!,"AAAAABbmA+o=")</f>
        <v>#REF!</v>
      </c>
      <c r="IB166" t="e">
        <f>AND(#REF!,"AAAAABbmA+s=")</f>
        <v>#REF!</v>
      </c>
      <c r="IC166" t="e">
        <f>AND(#REF!,"AAAAABbmA+w=")</f>
        <v>#REF!</v>
      </c>
      <c r="ID166" t="e">
        <f>AND(#REF!,"AAAAABbmA+0=")</f>
        <v>#REF!</v>
      </c>
      <c r="IE166" t="e">
        <f>AND(#REF!,"AAAAABbmA+4=")</f>
        <v>#REF!</v>
      </c>
      <c r="IF166" t="e">
        <f>AND(#REF!,"AAAAABbmA+8=")</f>
        <v>#REF!</v>
      </c>
      <c r="IG166" t="e">
        <f>AND(#REF!,"AAAAABbmA/A=")</f>
        <v>#REF!</v>
      </c>
      <c r="IH166" t="e">
        <f>AND(#REF!,"AAAAABbmA/E=")</f>
        <v>#REF!</v>
      </c>
      <c r="II166" t="e">
        <f>AND(#REF!,"AAAAABbmA/I=")</f>
        <v>#REF!</v>
      </c>
      <c r="IJ166" t="e">
        <f>AND(#REF!,"AAAAABbmA/M=")</f>
        <v>#REF!</v>
      </c>
      <c r="IK166" t="e">
        <f>AND(#REF!,"AAAAABbmA/Q=")</f>
        <v>#REF!</v>
      </c>
      <c r="IL166" t="e">
        <f>AND(#REF!,"AAAAABbmA/U=")</f>
        <v>#REF!</v>
      </c>
      <c r="IM166" t="e">
        <f>AND(#REF!,"AAAAABbmA/Y=")</f>
        <v>#REF!</v>
      </c>
      <c r="IN166" t="e">
        <f>AND(#REF!,"AAAAABbmA/c=")</f>
        <v>#REF!</v>
      </c>
      <c r="IO166" t="e">
        <f>AND(#REF!,"AAAAABbmA/g=")</f>
        <v>#REF!</v>
      </c>
      <c r="IP166" t="e">
        <f>AND(#REF!,"AAAAABbmA/k=")</f>
        <v>#REF!</v>
      </c>
      <c r="IQ166" t="e">
        <f>AND(#REF!,"AAAAABbmA/o=")</f>
        <v>#REF!</v>
      </c>
      <c r="IR166" t="e">
        <f>AND(#REF!,"AAAAABbmA/s=")</f>
        <v>#REF!</v>
      </c>
      <c r="IS166" t="e">
        <f>AND(#REF!,"AAAAABbmA/w=")</f>
        <v>#REF!</v>
      </c>
      <c r="IT166" t="e">
        <f>AND(#REF!,"AAAAABbmA/0=")</f>
        <v>#REF!</v>
      </c>
      <c r="IU166" t="e">
        <f>AND(#REF!,"AAAAABbmA/4=")</f>
        <v>#REF!</v>
      </c>
      <c r="IV166" t="e">
        <f>AND(#REF!,"AAAAABbmA/8=")</f>
        <v>#REF!</v>
      </c>
    </row>
    <row r="167" spans="1:256" x14ac:dyDescent="0.2">
      <c r="A167" t="e">
        <f>AND(#REF!,"AAAAAG7/1wA=")</f>
        <v>#REF!</v>
      </c>
      <c r="B167" t="e">
        <f>AND(#REF!,"AAAAAG7/1wE=")</f>
        <v>#REF!</v>
      </c>
      <c r="C167" t="e">
        <f>AND(#REF!,"AAAAAG7/1wI=")</f>
        <v>#REF!</v>
      </c>
      <c r="D167" t="e">
        <f>AND(#REF!,"AAAAAG7/1wM=")</f>
        <v>#REF!</v>
      </c>
      <c r="E167" t="e">
        <f>AND(#REF!,"AAAAAG7/1wQ=")</f>
        <v>#REF!</v>
      </c>
      <c r="F167" t="e">
        <f>AND(#REF!,"AAAAAG7/1wU=")</f>
        <v>#REF!</v>
      </c>
      <c r="G167" t="e">
        <f>IF(#REF!,"AAAAAG7/1wY=",0)</f>
        <v>#REF!</v>
      </c>
      <c r="H167" t="e">
        <f>AND(#REF!,"AAAAAG7/1wc=")</f>
        <v>#REF!</v>
      </c>
      <c r="I167" t="e">
        <f>AND(#REF!,"AAAAAG7/1wg=")</f>
        <v>#REF!</v>
      </c>
      <c r="J167" t="e">
        <f>AND(#REF!,"AAAAAG7/1wk=")</f>
        <v>#REF!</v>
      </c>
      <c r="K167" t="e">
        <f>AND(#REF!,"AAAAAG7/1wo=")</f>
        <v>#REF!</v>
      </c>
      <c r="L167" t="e">
        <f>AND(#REF!,"AAAAAG7/1ws=")</f>
        <v>#REF!</v>
      </c>
      <c r="M167" t="e">
        <f>AND(#REF!,"AAAAAG7/1ww=")</f>
        <v>#REF!</v>
      </c>
      <c r="N167" t="e">
        <f>AND(#REF!,"AAAAAG7/1w0=")</f>
        <v>#REF!</v>
      </c>
      <c r="O167" t="e">
        <f>AND(#REF!,"AAAAAG7/1w4=")</f>
        <v>#REF!</v>
      </c>
      <c r="P167" t="e">
        <f>AND(#REF!,"AAAAAG7/1w8=")</f>
        <v>#REF!</v>
      </c>
      <c r="Q167" t="e">
        <f>AND(#REF!,"AAAAAG7/1xA=")</f>
        <v>#REF!</v>
      </c>
      <c r="R167" t="e">
        <f>AND(#REF!,"AAAAAG7/1xE=")</f>
        <v>#REF!</v>
      </c>
      <c r="S167" t="e">
        <f>AND(#REF!,"AAAAAG7/1xI=")</f>
        <v>#REF!</v>
      </c>
      <c r="T167" t="e">
        <f>AND(#REF!,"AAAAAG7/1xM=")</f>
        <v>#REF!</v>
      </c>
      <c r="U167" t="e">
        <f>AND(#REF!,"AAAAAG7/1xQ=")</f>
        <v>#REF!</v>
      </c>
      <c r="V167" t="e">
        <f>AND(#REF!,"AAAAAG7/1xU=")</f>
        <v>#REF!</v>
      </c>
      <c r="W167" t="e">
        <f>AND(#REF!,"AAAAAG7/1xY=")</f>
        <v>#REF!</v>
      </c>
      <c r="X167" t="e">
        <f>AND(#REF!,"AAAAAG7/1xc=")</f>
        <v>#REF!</v>
      </c>
      <c r="Y167" t="e">
        <f>AND(#REF!,"AAAAAG7/1xg=")</f>
        <v>#REF!</v>
      </c>
      <c r="Z167" t="e">
        <f>AND(#REF!,"AAAAAG7/1xk=")</f>
        <v>#REF!</v>
      </c>
      <c r="AA167" t="e">
        <f>AND(#REF!,"AAAAAG7/1xo=")</f>
        <v>#REF!</v>
      </c>
      <c r="AB167" t="e">
        <f>AND(#REF!,"AAAAAG7/1xs=")</f>
        <v>#REF!</v>
      </c>
      <c r="AC167" t="e">
        <f>AND(#REF!,"AAAAAG7/1xw=")</f>
        <v>#REF!</v>
      </c>
      <c r="AD167" t="e">
        <f>AND(#REF!,"AAAAAG7/1x0=")</f>
        <v>#REF!</v>
      </c>
      <c r="AE167" t="e">
        <f>AND(#REF!,"AAAAAG7/1x4=")</f>
        <v>#REF!</v>
      </c>
      <c r="AF167" t="e">
        <f>AND(#REF!,"AAAAAG7/1x8=")</f>
        <v>#REF!</v>
      </c>
      <c r="AG167" t="e">
        <f>AND(#REF!,"AAAAAG7/1yA=")</f>
        <v>#REF!</v>
      </c>
      <c r="AH167" t="e">
        <f>AND(#REF!,"AAAAAG7/1yE=")</f>
        <v>#REF!</v>
      </c>
      <c r="AI167" t="e">
        <f>AND(#REF!,"AAAAAG7/1yI=")</f>
        <v>#REF!</v>
      </c>
      <c r="AJ167" t="e">
        <f>AND(#REF!,"AAAAAG7/1yM=")</f>
        <v>#REF!</v>
      </c>
      <c r="AK167" t="e">
        <f>AND(#REF!,"AAAAAG7/1yQ=")</f>
        <v>#REF!</v>
      </c>
      <c r="AL167" t="e">
        <f>IF(#REF!,"AAAAAG7/1yU=",0)</f>
        <v>#REF!</v>
      </c>
      <c r="AM167" t="e">
        <f>AND(#REF!,"AAAAAG7/1yY=")</f>
        <v>#REF!</v>
      </c>
      <c r="AN167" t="e">
        <f>AND(#REF!,"AAAAAG7/1yc=")</f>
        <v>#REF!</v>
      </c>
      <c r="AO167" t="e">
        <f>AND(#REF!,"AAAAAG7/1yg=")</f>
        <v>#REF!</v>
      </c>
      <c r="AP167" t="e">
        <f>AND(#REF!,"AAAAAG7/1yk=")</f>
        <v>#REF!</v>
      </c>
      <c r="AQ167" t="e">
        <f>AND(#REF!,"AAAAAG7/1yo=")</f>
        <v>#REF!</v>
      </c>
      <c r="AR167" t="e">
        <f>AND(#REF!,"AAAAAG7/1ys=")</f>
        <v>#REF!</v>
      </c>
      <c r="AS167" t="e">
        <f>AND(#REF!,"AAAAAG7/1yw=")</f>
        <v>#REF!</v>
      </c>
      <c r="AT167" t="e">
        <f>AND(#REF!,"AAAAAG7/1y0=")</f>
        <v>#REF!</v>
      </c>
      <c r="AU167" t="e">
        <f>AND(#REF!,"AAAAAG7/1y4=")</f>
        <v>#REF!</v>
      </c>
      <c r="AV167" t="e">
        <f>AND(#REF!,"AAAAAG7/1y8=")</f>
        <v>#REF!</v>
      </c>
      <c r="AW167" t="e">
        <f>AND(#REF!,"AAAAAG7/1zA=")</f>
        <v>#REF!</v>
      </c>
      <c r="AX167" t="e">
        <f>AND(#REF!,"AAAAAG7/1zE=")</f>
        <v>#REF!</v>
      </c>
      <c r="AY167" t="e">
        <f>AND(#REF!,"AAAAAG7/1zI=")</f>
        <v>#REF!</v>
      </c>
      <c r="AZ167" t="e">
        <f>AND(#REF!,"AAAAAG7/1zM=")</f>
        <v>#REF!</v>
      </c>
      <c r="BA167" t="e">
        <f>AND(#REF!,"AAAAAG7/1zQ=")</f>
        <v>#REF!</v>
      </c>
      <c r="BB167" t="e">
        <f>AND(#REF!,"AAAAAG7/1zU=")</f>
        <v>#REF!</v>
      </c>
      <c r="BC167" t="e">
        <f>AND(#REF!,"AAAAAG7/1zY=")</f>
        <v>#REF!</v>
      </c>
      <c r="BD167" t="e">
        <f>AND(#REF!,"AAAAAG7/1zc=")</f>
        <v>#REF!</v>
      </c>
      <c r="BE167" t="e">
        <f>AND(#REF!,"AAAAAG7/1zg=")</f>
        <v>#REF!</v>
      </c>
      <c r="BF167" t="e">
        <f>AND(#REF!,"AAAAAG7/1zk=")</f>
        <v>#REF!</v>
      </c>
      <c r="BG167" t="e">
        <f>AND(#REF!,"AAAAAG7/1zo=")</f>
        <v>#REF!</v>
      </c>
      <c r="BH167" t="e">
        <f>AND(#REF!,"AAAAAG7/1zs=")</f>
        <v>#REF!</v>
      </c>
      <c r="BI167" t="e">
        <f>AND(#REF!,"AAAAAG7/1zw=")</f>
        <v>#REF!</v>
      </c>
      <c r="BJ167" t="e">
        <f>AND(#REF!,"AAAAAG7/1z0=")</f>
        <v>#REF!</v>
      </c>
      <c r="BK167" t="e">
        <f>AND(#REF!,"AAAAAG7/1z4=")</f>
        <v>#REF!</v>
      </c>
      <c r="BL167" t="e">
        <f>AND(#REF!,"AAAAAG7/1z8=")</f>
        <v>#REF!</v>
      </c>
      <c r="BM167" t="e">
        <f>AND(#REF!,"AAAAAG7/10A=")</f>
        <v>#REF!</v>
      </c>
      <c r="BN167" t="e">
        <f>AND(#REF!,"AAAAAG7/10E=")</f>
        <v>#REF!</v>
      </c>
      <c r="BO167" t="e">
        <f>AND(#REF!,"AAAAAG7/10I=")</f>
        <v>#REF!</v>
      </c>
      <c r="BP167" t="e">
        <f>AND(#REF!,"AAAAAG7/10M=")</f>
        <v>#REF!</v>
      </c>
      <c r="BQ167" t="e">
        <f>IF(#REF!,"AAAAAG7/10Q=",0)</f>
        <v>#REF!</v>
      </c>
      <c r="BR167" t="e">
        <f>AND(#REF!,"AAAAAG7/10U=")</f>
        <v>#REF!</v>
      </c>
      <c r="BS167" t="e">
        <f>AND(#REF!,"AAAAAG7/10Y=")</f>
        <v>#REF!</v>
      </c>
      <c r="BT167" t="e">
        <f>AND(#REF!,"AAAAAG7/10c=")</f>
        <v>#REF!</v>
      </c>
      <c r="BU167" t="e">
        <f>AND(#REF!,"AAAAAG7/10g=")</f>
        <v>#REF!</v>
      </c>
      <c r="BV167" t="e">
        <f>AND(#REF!,"AAAAAG7/10k=")</f>
        <v>#REF!</v>
      </c>
      <c r="BW167" t="e">
        <f>AND(#REF!,"AAAAAG7/10o=")</f>
        <v>#REF!</v>
      </c>
      <c r="BX167" t="e">
        <f>AND(#REF!,"AAAAAG7/10s=")</f>
        <v>#REF!</v>
      </c>
      <c r="BY167" t="e">
        <f>AND(#REF!,"AAAAAG7/10w=")</f>
        <v>#REF!</v>
      </c>
      <c r="BZ167" t="e">
        <f>AND(#REF!,"AAAAAG7/100=")</f>
        <v>#REF!</v>
      </c>
      <c r="CA167" t="e">
        <f>AND(#REF!,"AAAAAG7/104=")</f>
        <v>#REF!</v>
      </c>
      <c r="CB167" t="e">
        <f>AND(#REF!,"AAAAAG7/108=")</f>
        <v>#REF!</v>
      </c>
      <c r="CC167" t="e">
        <f>AND(#REF!,"AAAAAG7/11A=")</f>
        <v>#REF!</v>
      </c>
      <c r="CD167" t="e">
        <f>AND(#REF!,"AAAAAG7/11E=")</f>
        <v>#REF!</v>
      </c>
      <c r="CE167" t="e">
        <f>AND(#REF!,"AAAAAG7/11I=")</f>
        <v>#REF!</v>
      </c>
      <c r="CF167" t="e">
        <f>AND(#REF!,"AAAAAG7/11M=")</f>
        <v>#REF!</v>
      </c>
      <c r="CG167" t="e">
        <f>AND(#REF!,"AAAAAG7/11Q=")</f>
        <v>#REF!</v>
      </c>
      <c r="CH167" t="e">
        <f>AND(#REF!,"AAAAAG7/11U=")</f>
        <v>#REF!</v>
      </c>
      <c r="CI167" t="e">
        <f>AND(#REF!,"AAAAAG7/11Y=")</f>
        <v>#REF!</v>
      </c>
      <c r="CJ167" t="e">
        <f>AND(#REF!,"AAAAAG7/11c=")</f>
        <v>#REF!</v>
      </c>
      <c r="CK167" t="e">
        <f>AND(#REF!,"AAAAAG7/11g=")</f>
        <v>#REF!</v>
      </c>
      <c r="CL167" t="e">
        <f>AND(#REF!,"AAAAAG7/11k=")</f>
        <v>#REF!</v>
      </c>
      <c r="CM167" t="e">
        <f>AND(#REF!,"AAAAAG7/11o=")</f>
        <v>#REF!</v>
      </c>
      <c r="CN167" t="e">
        <f>AND(#REF!,"AAAAAG7/11s=")</f>
        <v>#REF!</v>
      </c>
      <c r="CO167" t="e">
        <f>AND(#REF!,"AAAAAG7/11w=")</f>
        <v>#REF!</v>
      </c>
      <c r="CP167" t="e">
        <f>AND(#REF!,"AAAAAG7/110=")</f>
        <v>#REF!</v>
      </c>
      <c r="CQ167" t="e">
        <f>AND(#REF!,"AAAAAG7/114=")</f>
        <v>#REF!</v>
      </c>
      <c r="CR167" t="e">
        <f>AND(#REF!,"AAAAAG7/118=")</f>
        <v>#REF!</v>
      </c>
      <c r="CS167" t="e">
        <f>AND(#REF!,"AAAAAG7/12A=")</f>
        <v>#REF!</v>
      </c>
      <c r="CT167" t="e">
        <f>AND(#REF!,"AAAAAG7/12E=")</f>
        <v>#REF!</v>
      </c>
      <c r="CU167" t="e">
        <f>AND(#REF!,"AAAAAG7/12I=")</f>
        <v>#REF!</v>
      </c>
      <c r="CV167" t="e">
        <f>IF(#REF!,"AAAAAG7/12M=",0)</f>
        <v>#REF!</v>
      </c>
      <c r="CW167" t="e">
        <f>AND(#REF!,"AAAAAG7/12Q=")</f>
        <v>#REF!</v>
      </c>
      <c r="CX167" t="e">
        <f>AND(#REF!,"AAAAAG7/12U=")</f>
        <v>#REF!</v>
      </c>
      <c r="CY167" t="e">
        <f>AND(#REF!,"AAAAAG7/12Y=")</f>
        <v>#REF!</v>
      </c>
      <c r="CZ167" t="e">
        <f>AND(#REF!,"AAAAAG7/12c=")</f>
        <v>#REF!</v>
      </c>
      <c r="DA167" t="e">
        <f>AND(#REF!,"AAAAAG7/12g=")</f>
        <v>#REF!</v>
      </c>
      <c r="DB167" t="e">
        <f>AND(#REF!,"AAAAAG7/12k=")</f>
        <v>#REF!</v>
      </c>
      <c r="DC167" t="e">
        <f>AND(#REF!,"AAAAAG7/12o=")</f>
        <v>#REF!</v>
      </c>
      <c r="DD167" t="e">
        <f>AND(#REF!,"AAAAAG7/12s=")</f>
        <v>#REF!</v>
      </c>
      <c r="DE167" t="e">
        <f>AND(#REF!,"AAAAAG7/12w=")</f>
        <v>#REF!</v>
      </c>
      <c r="DF167" t="e">
        <f>AND(#REF!,"AAAAAG7/120=")</f>
        <v>#REF!</v>
      </c>
      <c r="DG167" t="e">
        <f>AND(#REF!,"AAAAAG7/124=")</f>
        <v>#REF!</v>
      </c>
      <c r="DH167" t="e">
        <f>AND(#REF!,"AAAAAG7/128=")</f>
        <v>#REF!</v>
      </c>
      <c r="DI167" t="e">
        <f>AND(#REF!,"AAAAAG7/13A=")</f>
        <v>#REF!</v>
      </c>
      <c r="DJ167" t="e">
        <f>AND(#REF!,"AAAAAG7/13E=")</f>
        <v>#REF!</v>
      </c>
      <c r="DK167" t="e">
        <f>AND(#REF!,"AAAAAG7/13I=")</f>
        <v>#REF!</v>
      </c>
      <c r="DL167" t="e">
        <f>AND(#REF!,"AAAAAG7/13M=")</f>
        <v>#REF!</v>
      </c>
      <c r="DM167" t="e">
        <f>AND(#REF!,"AAAAAG7/13Q=")</f>
        <v>#REF!</v>
      </c>
      <c r="DN167" t="e">
        <f>AND(#REF!,"AAAAAG7/13U=")</f>
        <v>#REF!</v>
      </c>
      <c r="DO167" t="e">
        <f>AND(#REF!,"AAAAAG7/13Y=")</f>
        <v>#REF!</v>
      </c>
      <c r="DP167" t="e">
        <f>AND(#REF!,"AAAAAG7/13c=")</f>
        <v>#REF!</v>
      </c>
      <c r="DQ167" t="e">
        <f>AND(#REF!,"AAAAAG7/13g=")</f>
        <v>#REF!</v>
      </c>
      <c r="DR167" t="e">
        <f>AND(#REF!,"AAAAAG7/13k=")</f>
        <v>#REF!</v>
      </c>
      <c r="DS167" t="e">
        <f>AND(#REF!,"AAAAAG7/13o=")</f>
        <v>#REF!</v>
      </c>
      <c r="DT167" t="e">
        <f>AND(#REF!,"AAAAAG7/13s=")</f>
        <v>#REF!</v>
      </c>
      <c r="DU167" t="e">
        <f>AND(#REF!,"AAAAAG7/13w=")</f>
        <v>#REF!</v>
      </c>
      <c r="DV167" t="e">
        <f>AND(#REF!,"AAAAAG7/130=")</f>
        <v>#REF!</v>
      </c>
      <c r="DW167" t="e">
        <f>AND(#REF!,"AAAAAG7/134=")</f>
        <v>#REF!</v>
      </c>
      <c r="DX167" t="e">
        <f>AND(#REF!,"AAAAAG7/138=")</f>
        <v>#REF!</v>
      </c>
      <c r="DY167" t="e">
        <f>AND(#REF!,"AAAAAG7/14A=")</f>
        <v>#REF!</v>
      </c>
      <c r="DZ167" t="e">
        <f>AND(#REF!,"AAAAAG7/14E=")</f>
        <v>#REF!</v>
      </c>
      <c r="EA167" t="e">
        <f>IF(#REF!,"AAAAAG7/14I=",0)</f>
        <v>#REF!</v>
      </c>
      <c r="EB167" t="e">
        <f>AND(#REF!,"AAAAAG7/14M=")</f>
        <v>#REF!</v>
      </c>
      <c r="EC167" t="e">
        <f>AND(#REF!,"AAAAAG7/14Q=")</f>
        <v>#REF!</v>
      </c>
      <c r="ED167" t="e">
        <f>AND(#REF!,"AAAAAG7/14U=")</f>
        <v>#REF!</v>
      </c>
      <c r="EE167" t="e">
        <f>AND(#REF!,"AAAAAG7/14Y=")</f>
        <v>#REF!</v>
      </c>
      <c r="EF167" t="e">
        <f>AND(#REF!,"AAAAAG7/14c=")</f>
        <v>#REF!</v>
      </c>
      <c r="EG167" t="e">
        <f>AND(#REF!,"AAAAAG7/14g=")</f>
        <v>#REF!</v>
      </c>
      <c r="EH167" t="e">
        <f>AND(#REF!,"AAAAAG7/14k=")</f>
        <v>#REF!</v>
      </c>
      <c r="EI167" t="e">
        <f>AND(#REF!,"AAAAAG7/14o=")</f>
        <v>#REF!</v>
      </c>
      <c r="EJ167" t="e">
        <f>AND(#REF!,"AAAAAG7/14s=")</f>
        <v>#REF!</v>
      </c>
      <c r="EK167" t="e">
        <f>AND(#REF!,"AAAAAG7/14w=")</f>
        <v>#REF!</v>
      </c>
      <c r="EL167" t="e">
        <f>AND(#REF!,"AAAAAG7/140=")</f>
        <v>#REF!</v>
      </c>
      <c r="EM167" t="e">
        <f>AND(#REF!,"AAAAAG7/144=")</f>
        <v>#REF!</v>
      </c>
      <c r="EN167" t="e">
        <f>AND(#REF!,"AAAAAG7/148=")</f>
        <v>#REF!</v>
      </c>
      <c r="EO167" t="e">
        <f>AND(#REF!,"AAAAAG7/15A=")</f>
        <v>#REF!</v>
      </c>
      <c r="EP167" t="e">
        <f>AND(#REF!,"AAAAAG7/15E=")</f>
        <v>#REF!</v>
      </c>
      <c r="EQ167" t="e">
        <f>AND(#REF!,"AAAAAG7/15I=")</f>
        <v>#REF!</v>
      </c>
      <c r="ER167" t="e">
        <f>AND(#REF!,"AAAAAG7/15M=")</f>
        <v>#REF!</v>
      </c>
      <c r="ES167" t="e">
        <f>AND(#REF!,"AAAAAG7/15Q=")</f>
        <v>#REF!</v>
      </c>
      <c r="ET167" t="e">
        <f>AND(#REF!,"AAAAAG7/15U=")</f>
        <v>#REF!</v>
      </c>
      <c r="EU167" t="e">
        <f>AND(#REF!,"AAAAAG7/15Y=")</f>
        <v>#REF!</v>
      </c>
      <c r="EV167" t="e">
        <f>AND(#REF!,"AAAAAG7/15c=")</f>
        <v>#REF!</v>
      </c>
      <c r="EW167" t="e">
        <f>AND(#REF!,"AAAAAG7/15g=")</f>
        <v>#REF!</v>
      </c>
      <c r="EX167" t="e">
        <f>AND(#REF!,"AAAAAG7/15k=")</f>
        <v>#REF!</v>
      </c>
      <c r="EY167" t="e">
        <f>AND(#REF!,"AAAAAG7/15o=")</f>
        <v>#REF!</v>
      </c>
      <c r="EZ167" t="e">
        <f>AND(#REF!,"AAAAAG7/15s=")</f>
        <v>#REF!</v>
      </c>
      <c r="FA167" t="e">
        <f>AND(#REF!,"AAAAAG7/15w=")</f>
        <v>#REF!</v>
      </c>
      <c r="FB167" t="e">
        <f>AND(#REF!,"AAAAAG7/150=")</f>
        <v>#REF!</v>
      </c>
      <c r="FC167" t="e">
        <f>AND(#REF!,"AAAAAG7/154=")</f>
        <v>#REF!</v>
      </c>
      <c r="FD167" t="e">
        <f>AND(#REF!,"AAAAAG7/158=")</f>
        <v>#REF!</v>
      </c>
      <c r="FE167" t="e">
        <f>AND(#REF!,"AAAAAG7/16A=")</f>
        <v>#REF!</v>
      </c>
      <c r="FF167" t="e">
        <f>IF(#REF!,"AAAAAG7/16E=",0)</f>
        <v>#REF!</v>
      </c>
      <c r="FG167" t="e">
        <f>AND(#REF!,"AAAAAG7/16I=")</f>
        <v>#REF!</v>
      </c>
      <c r="FH167" t="e">
        <f>AND(#REF!,"AAAAAG7/16M=")</f>
        <v>#REF!</v>
      </c>
      <c r="FI167" t="e">
        <f>AND(#REF!,"AAAAAG7/16Q=")</f>
        <v>#REF!</v>
      </c>
      <c r="FJ167" t="e">
        <f>AND(#REF!,"AAAAAG7/16U=")</f>
        <v>#REF!</v>
      </c>
      <c r="FK167" t="e">
        <f>AND(#REF!,"AAAAAG7/16Y=")</f>
        <v>#REF!</v>
      </c>
      <c r="FL167" t="e">
        <f>AND(#REF!,"AAAAAG7/16c=")</f>
        <v>#REF!</v>
      </c>
      <c r="FM167" t="e">
        <f>AND(#REF!,"AAAAAG7/16g=")</f>
        <v>#REF!</v>
      </c>
      <c r="FN167" t="e">
        <f>AND(#REF!,"AAAAAG7/16k=")</f>
        <v>#REF!</v>
      </c>
      <c r="FO167" t="e">
        <f>AND(#REF!,"AAAAAG7/16o=")</f>
        <v>#REF!</v>
      </c>
      <c r="FP167" t="e">
        <f>AND(#REF!,"AAAAAG7/16s=")</f>
        <v>#REF!</v>
      </c>
      <c r="FQ167" t="e">
        <f>AND(#REF!,"AAAAAG7/16w=")</f>
        <v>#REF!</v>
      </c>
      <c r="FR167" t="e">
        <f>AND(#REF!,"AAAAAG7/160=")</f>
        <v>#REF!</v>
      </c>
      <c r="FS167" t="e">
        <f>AND(#REF!,"AAAAAG7/164=")</f>
        <v>#REF!</v>
      </c>
      <c r="FT167" t="e">
        <f>AND(#REF!,"AAAAAG7/168=")</f>
        <v>#REF!</v>
      </c>
      <c r="FU167" t="e">
        <f>AND(#REF!,"AAAAAG7/17A=")</f>
        <v>#REF!</v>
      </c>
      <c r="FV167" t="e">
        <f>AND(#REF!,"AAAAAG7/17E=")</f>
        <v>#REF!</v>
      </c>
      <c r="FW167" t="e">
        <f>AND(#REF!,"AAAAAG7/17I=")</f>
        <v>#REF!</v>
      </c>
      <c r="FX167" t="e">
        <f>AND(#REF!,"AAAAAG7/17M=")</f>
        <v>#REF!</v>
      </c>
      <c r="FY167" t="e">
        <f>AND(#REF!,"AAAAAG7/17Q=")</f>
        <v>#REF!</v>
      </c>
      <c r="FZ167" t="e">
        <f>AND(#REF!,"AAAAAG7/17U=")</f>
        <v>#REF!</v>
      </c>
      <c r="GA167" t="e">
        <f>AND(#REF!,"AAAAAG7/17Y=")</f>
        <v>#REF!</v>
      </c>
      <c r="GB167" t="e">
        <f>AND(#REF!,"AAAAAG7/17c=")</f>
        <v>#REF!</v>
      </c>
      <c r="GC167" t="e">
        <f>AND(#REF!,"AAAAAG7/17g=")</f>
        <v>#REF!</v>
      </c>
      <c r="GD167" t="e">
        <f>AND(#REF!,"AAAAAG7/17k=")</f>
        <v>#REF!</v>
      </c>
      <c r="GE167" t="e">
        <f>AND(#REF!,"AAAAAG7/17o=")</f>
        <v>#REF!</v>
      </c>
      <c r="GF167" t="e">
        <f>AND(#REF!,"AAAAAG7/17s=")</f>
        <v>#REF!</v>
      </c>
      <c r="GG167" t="e">
        <f>AND(#REF!,"AAAAAG7/17w=")</f>
        <v>#REF!</v>
      </c>
      <c r="GH167" t="e">
        <f>AND(#REF!,"AAAAAG7/170=")</f>
        <v>#REF!</v>
      </c>
      <c r="GI167" t="e">
        <f>AND(#REF!,"AAAAAG7/174=")</f>
        <v>#REF!</v>
      </c>
      <c r="GJ167" t="e">
        <f>AND(#REF!,"AAAAAG7/178=")</f>
        <v>#REF!</v>
      </c>
      <c r="GK167" t="e">
        <f>IF(#REF!,"AAAAAG7/18A=",0)</f>
        <v>#REF!</v>
      </c>
      <c r="GL167" t="e">
        <f>AND(#REF!,"AAAAAG7/18E=")</f>
        <v>#REF!</v>
      </c>
      <c r="GM167" t="e">
        <f>AND(#REF!,"AAAAAG7/18I=")</f>
        <v>#REF!</v>
      </c>
      <c r="GN167" t="e">
        <f>AND(#REF!,"AAAAAG7/18M=")</f>
        <v>#REF!</v>
      </c>
      <c r="GO167" t="e">
        <f>AND(#REF!,"AAAAAG7/18Q=")</f>
        <v>#REF!</v>
      </c>
      <c r="GP167" t="e">
        <f>AND(#REF!,"AAAAAG7/18U=")</f>
        <v>#REF!</v>
      </c>
      <c r="GQ167" t="e">
        <f>AND(#REF!,"AAAAAG7/18Y=")</f>
        <v>#REF!</v>
      </c>
      <c r="GR167" t="e">
        <f>AND(#REF!,"AAAAAG7/18c=")</f>
        <v>#REF!</v>
      </c>
      <c r="GS167" t="e">
        <f>AND(#REF!,"AAAAAG7/18g=")</f>
        <v>#REF!</v>
      </c>
      <c r="GT167" t="e">
        <f>AND(#REF!,"AAAAAG7/18k=")</f>
        <v>#REF!</v>
      </c>
      <c r="GU167" t="e">
        <f>AND(#REF!,"AAAAAG7/18o=")</f>
        <v>#REF!</v>
      </c>
      <c r="GV167" t="e">
        <f>AND(#REF!,"AAAAAG7/18s=")</f>
        <v>#REF!</v>
      </c>
      <c r="GW167" t="e">
        <f>AND(#REF!,"AAAAAG7/18w=")</f>
        <v>#REF!</v>
      </c>
      <c r="GX167" t="e">
        <f>AND(#REF!,"AAAAAG7/180=")</f>
        <v>#REF!</v>
      </c>
      <c r="GY167" t="e">
        <f>AND(#REF!,"AAAAAG7/184=")</f>
        <v>#REF!</v>
      </c>
      <c r="GZ167" t="e">
        <f>AND(#REF!,"AAAAAG7/188=")</f>
        <v>#REF!</v>
      </c>
      <c r="HA167" t="e">
        <f>AND(#REF!,"AAAAAG7/19A=")</f>
        <v>#REF!</v>
      </c>
      <c r="HB167" t="e">
        <f>AND(#REF!,"AAAAAG7/19E=")</f>
        <v>#REF!</v>
      </c>
      <c r="HC167" t="e">
        <f>AND(#REF!,"AAAAAG7/19I=")</f>
        <v>#REF!</v>
      </c>
      <c r="HD167" t="e">
        <f>AND(#REF!,"AAAAAG7/19M=")</f>
        <v>#REF!</v>
      </c>
      <c r="HE167" t="e">
        <f>AND(#REF!,"AAAAAG7/19Q=")</f>
        <v>#REF!</v>
      </c>
      <c r="HF167" t="e">
        <f>AND(#REF!,"AAAAAG7/19U=")</f>
        <v>#REF!</v>
      </c>
      <c r="HG167" t="e">
        <f>AND(#REF!,"AAAAAG7/19Y=")</f>
        <v>#REF!</v>
      </c>
      <c r="HH167" t="e">
        <f>AND(#REF!,"AAAAAG7/19c=")</f>
        <v>#REF!</v>
      </c>
      <c r="HI167" t="e">
        <f>AND(#REF!,"AAAAAG7/19g=")</f>
        <v>#REF!</v>
      </c>
      <c r="HJ167" t="e">
        <f>AND(#REF!,"AAAAAG7/19k=")</f>
        <v>#REF!</v>
      </c>
      <c r="HK167" t="e">
        <f>AND(#REF!,"AAAAAG7/19o=")</f>
        <v>#REF!</v>
      </c>
      <c r="HL167" t="e">
        <f>AND(#REF!,"AAAAAG7/19s=")</f>
        <v>#REF!</v>
      </c>
      <c r="HM167" t="e">
        <f>AND(#REF!,"AAAAAG7/19w=")</f>
        <v>#REF!</v>
      </c>
      <c r="HN167" t="e">
        <f>AND(#REF!,"AAAAAG7/190=")</f>
        <v>#REF!</v>
      </c>
      <c r="HO167" t="e">
        <f>AND(#REF!,"AAAAAG7/194=")</f>
        <v>#REF!</v>
      </c>
      <c r="HP167" t="e">
        <f>IF(#REF!,"AAAAAG7/198=",0)</f>
        <v>#REF!</v>
      </c>
      <c r="HQ167" t="e">
        <f>AND(#REF!,"AAAAAG7/1+A=")</f>
        <v>#REF!</v>
      </c>
      <c r="HR167" t="e">
        <f>AND(#REF!,"AAAAAG7/1+E=")</f>
        <v>#REF!</v>
      </c>
      <c r="HS167" t="e">
        <f>AND(#REF!,"AAAAAG7/1+I=")</f>
        <v>#REF!</v>
      </c>
      <c r="HT167" t="e">
        <f>AND(#REF!,"AAAAAG7/1+M=")</f>
        <v>#REF!</v>
      </c>
      <c r="HU167" t="e">
        <f>AND(#REF!,"AAAAAG7/1+Q=")</f>
        <v>#REF!</v>
      </c>
      <c r="HV167" t="e">
        <f>AND(#REF!,"AAAAAG7/1+U=")</f>
        <v>#REF!</v>
      </c>
      <c r="HW167" t="e">
        <f>AND(#REF!,"AAAAAG7/1+Y=")</f>
        <v>#REF!</v>
      </c>
      <c r="HX167" t="e">
        <f>AND(#REF!,"AAAAAG7/1+c=")</f>
        <v>#REF!</v>
      </c>
      <c r="HY167" t="e">
        <f>AND(#REF!,"AAAAAG7/1+g=")</f>
        <v>#REF!</v>
      </c>
      <c r="HZ167" t="e">
        <f>AND(#REF!,"AAAAAG7/1+k=")</f>
        <v>#REF!</v>
      </c>
      <c r="IA167" t="e">
        <f>AND(#REF!,"AAAAAG7/1+o=")</f>
        <v>#REF!</v>
      </c>
      <c r="IB167" t="e">
        <f>AND(#REF!,"AAAAAG7/1+s=")</f>
        <v>#REF!</v>
      </c>
      <c r="IC167" t="e">
        <f>AND(#REF!,"AAAAAG7/1+w=")</f>
        <v>#REF!</v>
      </c>
      <c r="ID167" t="e">
        <f>AND(#REF!,"AAAAAG7/1+0=")</f>
        <v>#REF!</v>
      </c>
      <c r="IE167" t="e">
        <f>AND(#REF!,"AAAAAG7/1+4=")</f>
        <v>#REF!</v>
      </c>
      <c r="IF167" t="e">
        <f>AND(#REF!,"AAAAAG7/1+8=")</f>
        <v>#REF!</v>
      </c>
      <c r="IG167" t="e">
        <f>AND(#REF!,"AAAAAG7/1/A=")</f>
        <v>#REF!</v>
      </c>
      <c r="IH167" t="e">
        <f>AND(#REF!,"AAAAAG7/1/E=")</f>
        <v>#REF!</v>
      </c>
      <c r="II167" t="e">
        <f>AND(#REF!,"AAAAAG7/1/I=")</f>
        <v>#REF!</v>
      </c>
      <c r="IJ167" t="e">
        <f>AND(#REF!,"AAAAAG7/1/M=")</f>
        <v>#REF!</v>
      </c>
      <c r="IK167" t="e">
        <f>AND(#REF!,"AAAAAG7/1/Q=")</f>
        <v>#REF!</v>
      </c>
      <c r="IL167" t="e">
        <f>AND(#REF!,"AAAAAG7/1/U=")</f>
        <v>#REF!</v>
      </c>
      <c r="IM167" t="e">
        <f>AND(#REF!,"AAAAAG7/1/Y=")</f>
        <v>#REF!</v>
      </c>
      <c r="IN167" t="e">
        <f>AND(#REF!,"AAAAAG7/1/c=")</f>
        <v>#REF!</v>
      </c>
      <c r="IO167" t="e">
        <f>AND(#REF!,"AAAAAG7/1/g=")</f>
        <v>#REF!</v>
      </c>
      <c r="IP167" t="e">
        <f>AND(#REF!,"AAAAAG7/1/k=")</f>
        <v>#REF!</v>
      </c>
      <c r="IQ167" t="e">
        <f>AND(#REF!,"AAAAAG7/1/o=")</f>
        <v>#REF!</v>
      </c>
      <c r="IR167" t="e">
        <f>AND(#REF!,"AAAAAG7/1/s=")</f>
        <v>#REF!</v>
      </c>
      <c r="IS167" t="e">
        <f>AND(#REF!,"AAAAAG7/1/w=")</f>
        <v>#REF!</v>
      </c>
      <c r="IT167" t="e">
        <f>AND(#REF!,"AAAAAG7/1/0=")</f>
        <v>#REF!</v>
      </c>
      <c r="IU167" t="e">
        <f>IF(#REF!,"AAAAAG7/1/4=",0)</f>
        <v>#REF!</v>
      </c>
      <c r="IV167" t="e">
        <f>AND(#REF!,"AAAAAG7/1/8=")</f>
        <v>#REF!</v>
      </c>
    </row>
    <row r="168" spans="1:256" x14ac:dyDescent="0.2">
      <c r="A168" t="e">
        <f>AND(#REF!,"AAAAAA/79wA=")</f>
        <v>#REF!</v>
      </c>
      <c r="B168" t="e">
        <f>AND(#REF!,"AAAAAA/79wE=")</f>
        <v>#REF!</v>
      </c>
      <c r="C168" t="e">
        <f>AND(#REF!,"AAAAAA/79wI=")</f>
        <v>#REF!</v>
      </c>
      <c r="D168" t="e">
        <f>AND(#REF!,"AAAAAA/79wM=")</f>
        <v>#REF!</v>
      </c>
      <c r="E168" t="e">
        <f>AND(#REF!,"AAAAAA/79wQ=")</f>
        <v>#REF!</v>
      </c>
      <c r="F168" t="e">
        <f>AND(#REF!,"AAAAAA/79wU=")</f>
        <v>#REF!</v>
      </c>
      <c r="G168" t="e">
        <f>AND(#REF!,"AAAAAA/79wY=")</f>
        <v>#REF!</v>
      </c>
      <c r="H168" t="e">
        <f>AND(#REF!,"AAAAAA/79wc=")</f>
        <v>#REF!</v>
      </c>
      <c r="I168" t="e">
        <f>AND(#REF!,"AAAAAA/79wg=")</f>
        <v>#REF!</v>
      </c>
      <c r="J168" t="e">
        <f>AND(#REF!,"AAAAAA/79wk=")</f>
        <v>#REF!</v>
      </c>
      <c r="K168" t="e">
        <f>AND(#REF!,"AAAAAA/79wo=")</f>
        <v>#REF!</v>
      </c>
      <c r="L168" t="e">
        <f>AND(#REF!,"AAAAAA/79ws=")</f>
        <v>#REF!</v>
      </c>
      <c r="M168" t="e">
        <f>AND(#REF!,"AAAAAA/79ww=")</f>
        <v>#REF!</v>
      </c>
      <c r="N168" t="e">
        <f>AND(#REF!,"AAAAAA/79w0=")</f>
        <v>#REF!</v>
      </c>
      <c r="O168" t="e">
        <f>AND(#REF!,"AAAAAA/79w4=")</f>
        <v>#REF!</v>
      </c>
      <c r="P168" t="e">
        <f>AND(#REF!,"AAAAAA/79w8=")</f>
        <v>#REF!</v>
      </c>
      <c r="Q168" t="e">
        <f>AND(#REF!,"AAAAAA/79xA=")</f>
        <v>#REF!</v>
      </c>
      <c r="R168" t="e">
        <f>AND(#REF!,"AAAAAA/79xE=")</f>
        <v>#REF!</v>
      </c>
      <c r="S168" t="e">
        <f>AND(#REF!,"AAAAAA/79xI=")</f>
        <v>#REF!</v>
      </c>
      <c r="T168" t="e">
        <f>AND(#REF!,"AAAAAA/79xM=")</f>
        <v>#REF!</v>
      </c>
      <c r="U168" t="e">
        <f>AND(#REF!,"AAAAAA/79xQ=")</f>
        <v>#REF!</v>
      </c>
      <c r="V168" t="e">
        <f>AND(#REF!,"AAAAAA/79xU=")</f>
        <v>#REF!</v>
      </c>
      <c r="W168" t="e">
        <f>AND(#REF!,"AAAAAA/79xY=")</f>
        <v>#REF!</v>
      </c>
      <c r="X168" t="e">
        <f>AND(#REF!,"AAAAAA/79xc=")</f>
        <v>#REF!</v>
      </c>
      <c r="Y168" t="e">
        <f>AND(#REF!,"AAAAAA/79xg=")</f>
        <v>#REF!</v>
      </c>
      <c r="Z168" t="e">
        <f>AND(#REF!,"AAAAAA/79xk=")</f>
        <v>#REF!</v>
      </c>
      <c r="AA168" t="e">
        <f>AND(#REF!,"AAAAAA/79xo=")</f>
        <v>#REF!</v>
      </c>
      <c r="AB168" t="e">
        <f>AND(#REF!,"AAAAAA/79xs=")</f>
        <v>#REF!</v>
      </c>
      <c r="AC168" t="e">
        <f>AND(#REF!,"AAAAAA/79xw=")</f>
        <v>#REF!</v>
      </c>
      <c r="AD168" t="e">
        <f>IF(#REF!,"AAAAAA/79x0=",0)</f>
        <v>#REF!</v>
      </c>
      <c r="AE168" t="e">
        <f>AND(#REF!,"AAAAAA/79x4=")</f>
        <v>#REF!</v>
      </c>
      <c r="AF168" t="e">
        <f>AND(#REF!,"AAAAAA/79x8=")</f>
        <v>#REF!</v>
      </c>
      <c r="AG168" t="e">
        <f>AND(#REF!,"AAAAAA/79yA=")</f>
        <v>#REF!</v>
      </c>
      <c r="AH168" t="e">
        <f>AND(#REF!,"AAAAAA/79yE=")</f>
        <v>#REF!</v>
      </c>
      <c r="AI168" t="e">
        <f>AND(#REF!,"AAAAAA/79yI=")</f>
        <v>#REF!</v>
      </c>
      <c r="AJ168" t="e">
        <f>AND(#REF!,"AAAAAA/79yM=")</f>
        <v>#REF!</v>
      </c>
      <c r="AK168" t="e">
        <f>AND(#REF!,"AAAAAA/79yQ=")</f>
        <v>#REF!</v>
      </c>
      <c r="AL168" t="e">
        <f>AND(#REF!,"AAAAAA/79yU=")</f>
        <v>#REF!</v>
      </c>
      <c r="AM168" t="e">
        <f>AND(#REF!,"AAAAAA/79yY=")</f>
        <v>#REF!</v>
      </c>
      <c r="AN168" t="e">
        <f>AND(#REF!,"AAAAAA/79yc=")</f>
        <v>#REF!</v>
      </c>
      <c r="AO168" t="e">
        <f>AND(#REF!,"AAAAAA/79yg=")</f>
        <v>#REF!</v>
      </c>
      <c r="AP168" t="e">
        <f>AND(#REF!,"AAAAAA/79yk=")</f>
        <v>#REF!</v>
      </c>
      <c r="AQ168" t="e">
        <f>AND(#REF!,"AAAAAA/79yo=")</f>
        <v>#REF!</v>
      </c>
      <c r="AR168" t="e">
        <f>AND(#REF!,"AAAAAA/79ys=")</f>
        <v>#REF!</v>
      </c>
      <c r="AS168" t="e">
        <f>AND(#REF!,"AAAAAA/79yw=")</f>
        <v>#REF!</v>
      </c>
      <c r="AT168" t="e">
        <f>AND(#REF!,"AAAAAA/79y0=")</f>
        <v>#REF!</v>
      </c>
      <c r="AU168" t="e">
        <f>AND(#REF!,"AAAAAA/79y4=")</f>
        <v>#REF!</v>
      </c>
      <c r="AV168" t="e">
        <f>AND(#REF!,"AAAAAA/79y8=")</f>
        <v>#REF!</v>
      </c>
      <c r="AW168" t="e">
        <f>AND(#REF!,"AAAAAA/79zA=")</f>
        <v>#REF!</v>
      </c>
      <c r="AX168" t="e">
        <f>AND(#REF!,"AAAAAA/79zE=")</f>
        <v>#REF!</v>
      </c>
      <c r="AY168" t="e">
        <f>AND(#REF!,"AAAAAA/79zI=")</f>
        <v>#REF!</v>
      </c>
      <c r="AZ168" t="e">
        <f>AND(#REF!,"AAAAAA/79zM=")</f>
        <v>#REF!</v>
      </c>
      <c r="BA168" t="e">
        <f>AND(#REF!,"AAAAAA/79zQ=")</f>
        <v>#REF!</v>
      </c>
      <c r="BB168" t="e">
        <f>AND(#REF!,"AAAAAA/79zU=")</f>
        <v>#REF!</v>
      </c>
      <c r="BC168" t="e">
        <f>AND(#REF!,"AAAAAA/79zY=")</f>
        <v>#REF!</v>
      </c>
      <c r="BD168" t="e">
        <f>AND(#REF!,"AAAAAA/79zc=")</f>
        <v>#REF!</v>
      </c>
      <c r="BE168" t="e">
        <f>AND(#REF!,"AAAAAA/79zg=")</f>
        <v>#REF!</v>
      </c>
      <c r="BF168" t="e">
        <f>AND(#REF!,"AAAAAA/79zk=")</f>
        <v>#REF!</v>
      </c>
      <c r="BG168" t="e">
        <f>AND(#REF!,"AAAAAA/79zo=")</f>
        <v>#REF!</v>
      </c>
      <c r="BH168" t="e">
        <f>AND(#REF!,"AAAAAA/79zs=")</f>
        <v>#REF!</v>
      </c>
      <c r="BI168" t="e">
        <f>IF(#REF!,"AAAAAA/79zw=",0)</f>
        <v>#REF!</v>
      </c>
      <c r="BJ168" t="e">
        <f>AND(#REF!,"AAAAAA/79z0=")</f>
        <v>#REF!</v>
      </c>
      <c r="BK168" t="e">
        <f>AND(#REF!,"AAAAAA/79z4=")</f>
        <v>#REF!</v>
      </c>
      <c r="BL168" t="e">
        <f>AND(#REF!,"AAAAAA/79z8=")</f>
        <v>#REF!</v>
      </c>
      <c r="BM168" t="e">
        <f>AND(#REF!,"AAAAAA/790A=")</f>
        <v>#REF!</v>
      </c>
      <c r="BN168" t="e">
        <f>AND(#REF!,"AAAAAA/790E=")</f>
        <v>#REF!</v>
      </c>
      <c r="BO168" t="e">
        <f>AND(#REF!,"AAAAAA/790I=")</f>
        <v>#REF!</v>
      </c>
      <c r="BP168" t="e">
        <f>AND(#REF!,"AAAAAA/790M=")</f>
        <v>#REF!</v>
      </c>
      <c r="BQ168" t="e">
        <f>AND(#REF!,"AAAAAA/790Q=")</f>
        <v>#REF!</v>
      </c>
      <c r="BR168" t="e">
        <f>AND(#REF!,"AAAAAA/790U=")</f>
        <v>#REF!</v>
      </c>
      <c r="BS168" t="e">
        <f>AND(#REF!,"AAAAAA/790Y=")</f>
        <v>#REF!</v>
      </c>
      <c r="BT168" t="e">
        <f>AND(#REF!,"AAAAAA/790c=")</f>
        <v>#REF!</v>
      </c>
      <c r="BU168" t="e">
        <f>AND(#REF!,"AAAAAA/790g=")</f>
        <v>#REF!</v>
      </c>
      <c r="BV168" t="e">
        <f>AND(#REF!,"AAAAAA/790k=")</f>
        <v>#REF!</v>
      </c>
      <c r="BW168" t="e">
        <f>AND(#REF!,"AAAAAA/790o=")</f>
        <v>#REF!</v>
      </c>
      <c r="BX168" t="e">
        <f>AND(#REF!,"AAAAAA/790s=")</f>
        <v>#REF!</v>
      </c>
      <c r="BY168" t="e">
        <f>AND(#REF!,"AAAAAA/790w=")</f>
        <v>#REF!</v>
      </c>
      <c r="BZ168" t="e">
        <f>AND(#REF!,"AAAAAA/7900=")</f>
        <v>#REF!</v>
      </c>
      <c r="CA168" t="e">
        <f>AND(#REF!,"AAAAAA/7904=")</f>
        <v>#REF!</v>
      </c>
      <c r="CB168" t="e">
        <f>AND(#REF!,"AAAAAA/7908=")</f>
        <v>#REF!</v>
      </c>
      <c r="CC168" t="e">
        <f>AND(#REF!,"AAAAAA/791A=")</f>
        <v>#REF!</v>
      </c>
      <c r="CD168" t="e">
        <f>AND(#REF!,"AAAAAA/791E=")</f>
        <v>#REF!</v>
      </c>
      <c r="CE168" t="e">
        <f>AND(#REF!,"AAAAAA/791I=")</f>
        <v>#REF!</v>
      </c>
      <c r="CF168" t="e">
        <f>AND(#REF!,"AAAAAA/791M=")</f>
        <v>#REF!</v>
      </c>
      <c r="CG168" t="e">
        <f>AND(#REF!,"AAAAAA/791Q=")</f>
        <v>#REF!</v>
      </c>
      <c r="CH168" t="e">
        <f>AND(#REF!,"AAAAAA/791U=")</f>
        <v>#REF!</v>
      </c>
      <c r="CI168" t="e">
        <f>AND(#REF!,"AAAAAA/791Y=")</f>
        <v>#REF!</v>
      </c>
      <c r="CJ168" t="e">
        <f>AND(#REF!,"AAAAAA/791c=")</f>
        <v>#REF!</v>
      </c>
      <c r="CK168" t="e">
        <f>AND(#REF!,"AAAAAA/791g=")</f>
        <v>#REF!</v>
      </c>
      <c r="CL168" t="e">
        <f>AND(#REF!,"AAAAAA/791k=")</f>
        <v>#REF!</v>
      </c>
      <c r="CM168" t="e">
        <f>AND(#REF!,"AAAAAA/791o=")</f>
        <v>#REF!</v>
      </c>
      <c r="CN168" t="e">
        <f>IF(#REF!,"AAAAAA/791s=",0)</f>
        <v>#REF!</v>
      </c>
      <c r="CO168" t="e">
        <f>AND(#REF!,"AAAAAA/791w=")</f>
        <v>#REF!</v>
      </c>
      <c r="CP168" t="e">
        <f>AND(#REF!,"AAAAAA/7910=")</f>
        <v>#REF!</v>
      </c>
      <c r="CQ168" t="e">
        <f>AND(#REF!,"AAAAAA/7914=")</f>
        <v>#REF!</v>
      </c>
      <c r="CR168" t="e">
        <f>AND(#REF!,"AAAAAA/7918=")</f>
        <v>#REF!</v>
      </c>
      <c r="CS168" t="e">
        <f>AND(#REF!,"AAAAAA/792A=")</f>
        <v>#REF!</v>
      </c>
      <c r="CT168" t="e">
        <f>AND(#REF!,"AAAAAA/792E=")</f>
        <v>#REF!</v>
      </c>
      <c r="CU168" t="e">
        <f>AND(#REF!,"AAAAAA/792I=")</f>
        <v>#REF!</v>
      </c>
      <c r="CV168" t="e">
        <f>AND(#REF!,"AAAAAA/792M=")</f>
        <v>#REF!</v>
      </c>
      <c r="CW168" t="e">
        <f>AND(#REF!,"AAAAAA/792Q=")</f>
        <v>#REF!</v>
      </c>
      <c r="CX168" t="e">
        <f>AND(#REF!,"AAAAAA/792U=")</f>
        <v>#REF!</v>
      </c>
      <c r="CY168" t="e">
        <f>AND(#REF!,"AAAAAA/792Y=")</f>
        <v>#REF!</v>
      </c>
      <c r="CZ168" t="e">
        <f>AND(#REF!,"AAAAAA/792c=")</f>
        <v>#REF!</v>
      </c>
      <c r="DA168" t="e">
        <f>AND(#REF!,"AAAAAA/792g=")</f>
        <v>#REF!</v>
      </c>
      <c r="DB168" t="e">
        <f>AND(#REF!,"AAAAAA/792k=")</f>
        <v>#REF!</v>
      </c>
      <c r="DC168" t="e">
        <f>AND(#REF!,"AAAAAA/792o=")</f>
        <v>#REF!</v>
      </c>
      <c r="DD168" t="e">
        <f>AND(#REF!,"AAAAAA/792s=")</f>
        <v>#REF!</v>
      </c>
      <c r="DE168" t="e">
        <f>AND(#REF!,"AAAAAA/792w=")</f>
        <v>#REF!</v>
      </c>
      <c r="DF168" t="e">
        <f>AND(#REF!,"AAAAAA/7920=")</f>
        <v>#REF!</v>
      </c>
      <c r="DG168" t="e">
        <f>AND(#REF!,"AAAAAA/7924=")</f>
        <v>#REF!</v>
      </c>
      <c r="DH168" t="e">
        <f>AND(#REF!,"AAAAAA/7928=")</f>
        <v>#REF!</v>
      </c>
      <c r="DI168" t="e">
        <f>AND(#REF!,"AAAAAA/793A=")</f>
        <v>#REF!</v>
      </c>
      <c r="DJ168" t="e">
        <f>AND(#REF!,"AAAAAA/793E=")</f>
        <v>#REF!</v>
      </c>
      <c r="DK168" t="e">
        <f>AND(#REF!,"AAAAAA/793I=")</f>
        <v>#REF!</v>
      </c>
      <c r="DL168" t="e">
        <f>AND(#REF!,"AAAAAA/793M=")</f>
        <v>#REF!</v>
      </c>
      <c r="DM168" t="e">
        <f>AND(#REF!,"AAAAAA/793Q=")</f>
        <v>#REF!</v>
      </c>
      <c r="DN168" t="e">
        <f>AND(#REF!,"AAAAAA/793U=")</f>
        <v>#REF!</v>
      </c>
      <c r="DO168" t="e">
        <f>AND(#REF!,"AAAAAA/793Y=")</f>
        <v>#REF!</v>
      </c>
      <c r="DP168" t="e">
        <f>AND(#REF!,"AAAAAA/793c=")</f>
        <v>#REF!</v>
      </c>
      <c r="DQ168" t="e">
        <f>AND(#REF!,"AAAAAA/793g=")</f>
        <v>#REF!</v>
      </c>
      <c r="DR168" t="e">
        <f>AND(#REF!,"AAAAAA/793k=")</f>
        <v>#REF!</v>
      </c>
      <c r="DS168" t="e">
        <f>IF(#REF!,"AAAAAA/793o=",0)</f>
        <v>#REF!</v>
      </c>
      <c r="DT168" t="e">
        <f>AND(#REF!,"AAAAAA/793s=")</f>
        <v>#REF!</v>
      </c>
      <c r="DU168" t="e">
        <f>AND(#REF!,"AAAAAA/793w=")</f>
        <v>#REF!</v>
      </c>
      <c r="DV168" t="e">
        <f>AND(#REF!,"AAAAAA/7930=")</f>
        <v>#REF!</v>
      </c>
      <c r="DW168" t="e">
        <f>AND(#REF!,"AAAAAA/7934=")</f>
        <v>#REF!</v>
      </c>
      <c r="DX168" t="e">
        <f>AND(#REF!,"AAAAAA/7938=")</f>
        <v>#REF!</v>
      </c>
      <c r="DY168" t="e">
        <f>AND(#REF!,"AAAAAA/794A=")</f>
        <v>#REF!</v>
      </c>
      <c r="DZ168" t="e">
        <f>AND(#REF!,"AAAAAA/794E=")</f>
        <v>#REF!</v>
      </c>
      <c r="EA168" t="e">
        <f>AND(#REF!,"AAAAAA/794I=")</f>
        <v>#REF!</v>
      </c>
      <c r="EB168" t="e">
        <f>AND(#REF!,"AAAAAA/794M=")</f>
        <v>#REF!</v>
      </c>
      <c r="EC168" t="e">
        <f>AND(#REF!,"AAAAAA/794Q=")</f>
        <v>#REF!</v>
      </c>
      <c r="ED168" t="e">
        <f>AND(#REF!,"AAAAAA/794U=")</f>
        <v>#REF!</v>
      </c>
      <c r="EE168" t="e">
        <f>AND(#REF!,"AAAAAA/794Y=")</f>
        <v>#REF!</v>
      </c>
      <c r="EF168" t="e">
        <f>AND(#REF!,"AAAAAA/794c=")</f>
        <v>#REF!</v>
      </c>
      <c r="EG168" t="e">
        <f>AND(#REF!,"AAAAAA/794g=")</f>
        <v>#REF!</v>
      </c>
      <c r="EH168" t="e">
        <f>AND(#REF!,"AAAAAA/794k=")</f>
        <v>#REF!</v>
      </c>
      <c r="EI168" t="e">
        <f>AND(#REF!,"AAAAAA/794o=")</f>
        <v>#REF!</v>
      </c>
      <c r="EJ168" t="e">
        <f>AND(#REF!,"AAAAAA/794s=")</f>
        <v>#REF!</v>
      </c>
      <c r="EK168" t="e">
        <f>AND(#REF!,"AAAAAA/794w=")</f>
        <v>#REF!</v>
      </c>
      <c r="EL168" t="e">
        <f>AND(#REF!,"AAAAAA/7940=")</f>
        <v>#REF!</v>
      </c>
      <c r="EM168" t="e">
        <f>AND(#REF!,"AAAAAA/7944=")</f>
        <v>#REF!</v>
      </c>
      <c r="EN168" t="e">
        <f>AND(#REF!,"AAAAAA/7948=")</f>
        <v>#REF!</v>
      </c>
      <c r="EO168" t="e">
        <f>AND(#REF!,"AAAAAA/795A=")</f>
        <v>#REF!</v>
      </c>
      <c r="EP168" t="e">
        <f>AND(#REF!,"AAAAAA/795E=")</f>
        <v>#REF!</v>
      </c>
      <c r="EQ168" t="e">
        <f>AND(#REF!,"AAAAAA/795I=")</f>
        <v>#REF!</v>
      </c>
      <c r="ER168" t="e">
        <f>AND(#REF!,"AAAAAA/795M=")</f>
        <v>#REF!</v>
      </c>
      <c r="ES168" t="e">
        <f>AND(#REF!,"AAAAAA/795Q=")</f>
        <v>#REF!</v>
      </c>
      <c r="ET168" t="e">
        <f>AND(#REF!,"AAAAAA/795U=")</f>
        <v>#REF!</v>
      </c>
      <c r="EU168" t="e">
        <f>AND(#REF!,"AAAAAA/795Y=")</f>
        <v>#REF!</v>
      </c>
      <c r="EV168" t="e">
        <f>AND(#REF!,"AAAAAA/795c=")</f>
        <v>#REF!</v>
      </c>
      <c r="EW168" t="e">
        <f>AND(#REF!,"AAAAAA/795g=")</f>
        <v>#REF!</v>
      </c>
      <c r="EX168" t="e">
        <f>IF(#REF!,"AAAAAA/795k=",0)</f>
        <v>#REF!</v>
      </c>
      <c r="EY168" t="e">
        <f>AND(#REF!,"AAAAAA/795o=")</f>
        <v>#REF!</v>
      </c>
      <c r="EZ168" t="e">
        <f>AND(#REF!,"AAAAAA/795s=")</f>
        <v>#REF!</v>
      </c>
      <c r="FA168" t="e">
        <f>AND(#REF!,"AAAAAA/795w=")</f>
        <v>#REF!</v>
      </c>
      <c r="FB168" t="e">
        <f>AND(#REF!,"AAAAAA/7950=")</f>
        <v>#REF!</v>
      </c>
      <c r="FC168" t="e">
        <f>AND(#REF!,"AAAAAA/7954=")</f>
        <v>#REF!</v>
      </c>
      <c r="FD168" t="e">
        <f>AND(#REF!,"AAAAAA/7958=")</f>
        <v>#REF!</v>
      </c>
      <c r="FE168" t="e">
        <f>AND(#REF!,"AAAAAA/796A=")</f>
        <v>#REF!</v>
      </c>
      <c r="FF168" t="e">
        <f>AND(#REF!,"AAAAAA/796E=")</f>
        <v>#REF!</v>
      </c>
      <c r="FG168" t="e">
        <f>AND(#REF!,"AAAAAA/796I=")</f>
        <v>#REF!</v>
      </c>
      <c r="FH168" t="e">
        <f>AND(#REF!,"AAAAAA/796M=")</f>
        <v>#REF!</v>
      </c>
      <c r="FI168" t="e">
        <f>AND(#REF!,"AAAAAA/796Q=")</f>
        <v>#REF!</v>
      </c>
      <c r="FJ168" t="e">
        <f>AND(#REF!,"AAAAAA/796U=")</f>
        <v>#REF!</v>
      </c>
      <c r="FK168" t="e">
        <f>AND(#REF!,"AAAAAA/796Y=")</f>
        <v>#REF!</v>
      </c>
      <c r="FL168" t="e">
        <f>AND(#REF!,"AAAAAA/796c=")</f>
        <v>#REF!</v>
      </c>
      <c r="FM168" t="e">
        <f>AND(#REF!,"AAAAAA/796g=")</f>
        <v>#REF!</v>
      </c>
      <c r="FN168" t="e">
        <f>AND(#REF!,"AAAAAA/796k=")</f>
        <v>#REF!</v>
      </c>
      <c r="FO168" t="e">
        <f>AND(#REF!,"AAAAAA/796o=")</f>
        <v>#REF!</v>
      </c>
      <c r="FP168" t="e">
        <f>AND(#REF!,"AAAAAA/796s=")</f>
        <v>#REF!</v>
      </c>
      <c r="FQ168" t="e">
        <f>AND(#REF!,"AAAAAA/796w=")</f>
        <v>#REF!</v>
      </c>
      <c r="FR168" t="e">
        <f>AND(#REF!,"AAAAAA/7960=")</f>
        <v>#REF!</v>
      </c>
      <c r="FS168" t="e">
        <f>AND(#REF!,"AAAAAA/7964=")</f>
        <v>#REF!</v>
      </c>
      <c r="FT168" t="e">
        <f>AND(#REF!,"AAAAAA/7968=")</f>
        <v>#REF!</v>
      </c>
      <c r="FU168" t="e">
        <f>AND(#REF!,"AAAAAA/797A=")</f>
        <v>#REF!</v>
      </c>
      <c r="FV168" t="e">
        <f>AND(#REF!,"AAAAAA/797E=")</f>
        <v>#REF!</v>
      </c>
      <c r="FW168" t="e">
        <f>AND(#REF!,"AAAAAA/797I=")</f>
        <v>#REF!</v>
      </c>
      <c r="FX168" t="e">
        <f>AND(#REF!,"AAAAAA/797M=")</f>
        <v>#REF!</v>
      </c>
      <c r="FY168" t="e">
        <f>AND(#REF!,"AAAAAA/797Q=")</f>
        <v>#REF!</v>
      </c>
      <c r="FZ168" t="e">
        <f>AND(#REF!,"AAAAAA/797U=")</f>
        <v>#REF!</v>
      </c>
      <c r="GA168" t="e">
        <f>AND(#REF!,"AAAAAA/797Y=")</f>
        <v>#REF!</v>
      </c>
      <c r="GB168" t="e">
        <f>AND(#REF!,"AAAAAA/797c=")</f>
        <v>#REF!</v>
      </c>
      <c r="GC168" t="e">
        <f>IF(#REF!,"AAAAAA/797g=",0)</f>
        <v>#REF!</v>
      </c>
      <c r="GD168" t="e">
        <f>AND(#REF!,"AAAAAA/797k=")</f>
        <v>#REF!</v>
      </c>
      <c r="GE168" t="e">
        <f>AND(#REF!,"AAAAAA/797o=")</f>
        <v>#REF!</v>
      </c>
      <c r="GF168" t="e">
        <f>AND(#REF!,"AAAAAA/797s=")</f>
        <v>#REF!</v>
      </c>
      <c r="GG168" t="e">
        <f>AND(#REF!,"AAAAAA/797w=")</f>
        <v>#REF!</v>
      </c>
      <c r="GH168" t="e">
        <f>AND(#REF!,"AAAAAA/7970=")</f>
        <v>#REF!</v>
      </c>
      <c r="GI168" t="e">
        <f>AND(#REF!,"AAAAAA/7974=")</f>
        <v>#REF!</v>
      </c>
      <c r="GJ168" t="e">
        <f>AND(#REF!,"AAAAAA/7978=")</f>
        <v>#REF!</v>
      </c>
      <c r="GK168" t="e">
        <f>AND(#REF!,"AAAAAA/798A=")</f>
        <v>#REF!</v>
      </c>
      <c r="GL168" t="e">
        <f>AND(#REF!,"AAAAAA/798E=")</f>
        <v>#REF!</v>
      </c>
      <c r="GM168" t="e">
        <f>AND(#REF!,"AAAAAA/798I=")</f>
        <v>#REF!</v>
      </c>
      <c r="GN168" t="e">
        <f>AND(#REF!,"AAAAAA/798M=")</f>
        <v>#REF!</v>
      </c>
      <c r="GO168" t="e">
        <f>AND(#REF!,"AAAAAA/798Q=")</f>
        <v>#REF!</v>
      </c>
      <c r="GP168" t="e">
        <f>AND(#REF!,"AAAAAA/798U=")</f>
        <v>#REF!</v>
      </c>
      <c r="GQ168" t="e">
        <f>AND(#REF!,"AAAAAA/798Y=")</f>
        <v>#REF!</v>
      </c>
      <c r="GR168" t="e">
        <f>AND(#REF!,"AAAAAA/798c=")</f>
        <v>#REF!</v>
      </c>
      <c r="GS168" t="e">
        <f>AND(#REF!,"AAAAAA/798g=")</f>
        <v>#REF!</v>
      </c>
      <c r="GT168" t="e">
        <f>AND(#REF!,"AAAAAA/798k=")</f>
        <v>#REF!</v>
      </c>
      <c r="GU168" t="e">
        <f>AND(#REF!,"AAAAAA/798o=")</f>
        <v>#REF!</v>
      </c>
      <c r="GV168" t="e">
        <f>AND(#REF!,"AAAAAA/798s=")</f>
        <v>#REF!</v>
      </c>
      <c r="GW168" t="e">
        <f>AND(#REF!,"AAAAAA/798w=")</f>
        <v>#REF!</v>
      </c>
      <c r="GX168" t="e">
        <f>AND(#REF!,"AAAAAA/7980=")</f>
        <v>#REF!</v>
      </c>
      <c r="GY168" t="e">
        <f>AND(#REF!,"AAAAAA/7984=")</f>
        <v>#REF!</v>
      </c>
      <c r="GZ168" t="e">
        <f>AND(#REF!,"AAAAAA/7988=")</f>
        <v>#REF!</v>
      </c>
      <c r="HA168" t="e">
        <f>AND(#REF!,"AAAAAA/799A=")</f>
        <v>#REF!</v>
      </c>
      <c r="HB168" t="e">
        <f>AND(#REF!,"AAAAAA/799E=")</f>
        <v>#REF!</v>
      </c>
      <c r="HC168" t="e">
        <f>AND(#REF!,"AAAAAA/799I=")</f>
        <v>#REF!</v>
      </c>
      <c r="HD168" t="e">
        <f>AND(#REF!,"AAAAAA/799M=")</f>
        <v>#REF!</v>
      </c>
      <c r="HE168" t="e">
        <f>AND(#REF!,"AAAAAA/799Q=")</f>
        <v>#REF!</v>
      </c>
      <c r="HF168" t="e">
        <f>AND(#REF!,"AAAAAA/799U=")</f>
        <v>#REF!</v>
      </c>
      <c r="HG168" t="e">
        <f>AND(#REF!,"AAAAAA/799Y=")</f>
        <v>#REF!</v>
      </c>
      <c r="HH168" t="e">
        <f>IF(#REF!,"AAAAAA/799c=",0)</f>
        <v>#REF!</v>
      </c>
      <c r="HI168" t="e">
        <f>AND(#REF!,"AAAAAA/799g=")</f>
        <v>#REF!</v>
      </c>
      <c r="HJ168" t="e">
        <f>AND(#REF!,"AAAAAA/799k=")</f>
        <v>#REF!</v>
      </c>
      <c r="HK168" t="e">
        <f>AND(#REF!,"AAAAAA/799o=")</f>
        <v>#REF!</v>
      </c>
      <c r="HL168" t="e">
        <f>AND(#REF!,"AAAAAA/799s=")</f>
        <v>#REF!</v>
      </c>
      <c r="HM168" t="e">
        <f>AND(#REF!,"AAAAAA/799w=")</f>
        <v>#REF!</v>
      </c>
      <c r="HN168" t="e">
        <f>AND(#REF!,"AAAAAA/7990=")</f>
        <v>#REF!</v>
      </c>
      <c r="HO168" t="e">
        <f>AND(#REF!,"AAAAAA/7994=")</f>
        <v>#REF!</v>
      </c>
      <c r="HP168" t="e">
        <f>AND(#REF!,"AAAAAA/7998=")</f>
        <v>#REF!</v>
      </c>
      <c r="HQ168" t="e">
        <f>AND(#REF!,"AAAAAA/79+A=")</f>
        <v>#REF!</v>
      </c>
      <c r="HR168" t="e">
        <f>AND(#REF!,"AAAAAA/79+E=")</f>
        <v>#REF!</v>
      </c>
      <c r="HS168" t="e">
        <f>AND(#REF!,"AAAAAA/79+I=")</f>
        <v>#REF!</v>
      </c>
      <c r="HT168" t="e">
        <f>AND(#REF!,"AAAAAA/79+M=")</f>
        <v>#REF!</v>
      </c>
      <c r="HU168" t="e">
        <f>AND(#REF!,"AAAAAA/79+Q=")</f>
        <v>#REF!</v>
      </c>
      <c r="HV168" t="e">
        <f>AND(#REF!,"AAAAAA/79+U=")</f>
        <v>#REF!</v>
      </c>
      <c r="HW168" t="e">
        <f>AND(#REF!,"AAAAAA/79+Y=")</f>
        <v>#REF!</v>
      </c>
      <c r="HX168" t="e">
        <f>AND(#REF!,"AAAAAA/79+c=")</f>
        <v>#REF!</v>
      </c>
      <c r="HY168" t="e">
        <f>AND(#REF!,"AAAAAA/79+g=")</f>
        <v>#REF!</v>
      </c>
      <c r="HZ168" t="e">
        <f>AND(#REF!,"AAAAAA/79+k=")</f>
        <v>#REF!</v>
      </c>
      <c r="IA168" t="e">
        <f>AND(#REF!,"AAAAAA/79+o=")</f>
        <v>#REF!</v>
      </c>
      <c r="IB168" t="e">
        <f>AND(#REF!,"AAAAAA/79+s=")</f>
        <v>#REF!</v>
      </c>
      <c r="IC168" t="e">
        <f>AND(#REF!,"AAAAAA/79+w=")</f>
        <v>#REF!</v>
      </c>
      <c r="ID168" t="e">
        <f>AND(#REF!,"AAAAAA/79+0=")</f>
        <v>#REF!</v>
      </c>
      <c r="IE168" t="e">
        <f>AND(#REF!,"AAAAAA/79+4=")</f>
        <v>#REF!</v>
      </c>
      <c r="IF168" t="e">
        <f>AND(#REF!,"AAAAAA/79+8=")</f>
        <v>#REF!</v>
      </c>
      <c r="IG168" t="e">
        <f>AND(#REF!,"AAAAAA/79/A=")</f>
        <v>#REF!</v>
      </c>
      <c r="IH168" t="e">
        <f>AND(#REF!,"AAAAAA/79/E=")</f>
        <v>#REF!</v>
      </c>
      <c r="II168" t="e">
        <f>AND(#REF!,"AAAAAA/79/I=")</f>
        <v>#REF!</v>
      </c>
      <c r="IJ168" t="e">
        <f>AND(#REF!,"AAAAAA/79/M=")</f>
        <v>#REF!</v>
      </c>
      <c r="IK168" t="e">
        <f>AND(#REF!,"AAAAAA/79/Q=")</f>
        <v>#REF!</v>
      </c>
      <c r="IL168" t="e">
        <f>AND(#REF!,"AAAAAA/79/U=")</f>
        <v>#REF!</v>
      </c>
      <c r="IM168" t="e">
        <f>IF(#REF!,"AAAAAA/79/Y=",0)</f>
        <v>#REF!</v>
      </c>
      <c r="IN168" t="e">
        <f>AND(#REF!,"AAAAAA/79/c=")</f>
        <v>#REF!</v>
      </c>
      <c r="IO168" t="e">
        <f>AND(#REF!,"AAAAAA/79/g=")</f>
        <v>#REF!</v>
      </c>
      <c r="IP168" t="e">
        <f>AND(#REF!,"AAAAAA/79/k=")</f>
        <v>#REF!</v>
      </c>
      <c r="IQ168" t="e">
        <f>AND(#REF!,"AAAAAA/79/o=")</f>
        <v>#REF!</v>
      </c>
      <c r="IR168" t="e">
        <f>AND(#REF!,"AAAAAA/79/s=")</f>
        <v>#REF!</v>
      </c>
      <c r="IS168" t="e">
        <f>AND(#REF!,"AAAAAA/79/w=")</f>
        <v>#REF!</v>
      </c>
      <c r="IT168" t="e">
        <f>AND(#REF!,"AAAAAA/79/0=")</f>
        <v>#REF!</v>
      </c>
      <c r="IU168" t="e">
        <f>AND(#REF!,"AAAAAA/79/4=")</f>
        <v>#REF!</v>
      </c>
      <c r="IV168" t="e">
        <f>AND(#REF!,"AAAAAA/79/8=")</f>
        <v>#REF!</v>
      </c>
    </row>
    <row r="169" spans="1:256" x14ac:dyDescent="0.2">
      <c r="A169" t="e">
        <f>AND(#REF!,"AAAAAFd6fwA=")</f>
        <v>#REF!</v>
      </c>
      <c r="B169" t="e">
        <f>AND(#REF!,"AAAAAFd6fwE=")</f>
        <v>#REF!</v>
      </c>
      <c r="C169" t="e">
        <f>AND(#REF!,"AAAAAFd6fwI=")</f>
        <v>#REF!</v>
      </c>
      <c r="D169" t="e">
        <f>AND(#REF!,"AAAAAFd6fwM=")</f>
        <v>#REF!</v>
      </c>
      <c r="E169" t="e">
        <f>AND(#REF!,"AAAAAFd6fwQ=")</f>
        <v>#REF!</v>
      </c>
      <c r="F169" t="e">
        <f>AND(#REF!,"AAAAAFd6fwU=")</f>
        <v>#REF!</v>
      </c>
      <c r="G169" t="e">
        <f>AND(#REF!,"AAAAAFd6fwY=")</f>
        <v>#REF!</v>
      </c>
      <c r="H169" t="e">
        <f>AND(#REF!,"AAAAAFd6fwc=")</f>
        <v>#REF!</v>
      </c>
      <c r="I169" t="e">
        <f>AND(#REF!,"AAAAAFd6fwg=")</f>
        <v>#REF!</v>
      </c>
      <c r="J169" t="e">
        <f>AND(#REF!,"AAAAAFd6fwk=")</f>
        <v>#REF!</v>
      </c>
      <c r="K169" t="e">
        <f>AND(#REF!,"AAAAAFd6fwo=")</f>
        <v>#REF!</v>
      </c>
      <c r="L169" t="e">
        <f>AND(#REF!,"AAAAAFd6fws=")</f>
        <v>#REF!</v>
      </c>
      <c r="M169" t="e">
        <f>AND(#REF!,"AAAAAFd6fww=")</f>
        <v>#REF!</v>
      </c>
      <c r="N169" t="e">
        <f>AND(#REF!,"AAAAAFd6fw0=")</f>
        <v>#REF!</v>
      </c>
      <c r="O169" t="e">
        <f>AND(#REF!,"AAAAAFd6fw4=")</f>
        <v>#REF!</v>
      </c>
      <c r="P169" t="e">
        <f>AND(#REF!,"AAAAAFd6fw8=")</f>
        <v>#REF!</v>
      </c>
      <c r="Q169" t="e">
        <f>AND(#REF!,"AAAAAFd6fxA=")</f>
        <v>#REF!</v>
      </c>
      <c r="R169" t="e">
        <f>AND(#REF!,"AAAAAFd6fxE=")</f>
        <v>#REF!</v>
      </c>
      <c r="S169" t="e">
        <f>AND(#REF!,"AAAAAFd6fxI=")</f>
        <v>#REF!</v>
      </c>
      <c r="T169" t="e">
        <f>AND(#REF!,"AAAAAFd6fxM=")</f>
        <v>#REF!</v>
      </c>
      <c r="U169" t="e">
        <f>AND(#REF!,"AAAAAFd6fxQ=")</f>
        <v>#REF!</v>
      </c>
      <c r="V169" t="e">
        <f>IF(#REF!,"AAAAAFd6fxU=",0)</f>
        <v>#REF!</v>
      </c>
      <c r="W169" t="e">
        <f>AND(#REF!,"AAAAAFd6fxY=")</f>
        <v>#REF!</v>
      </c>
      <c r="X169" t="e">
        <f>AND(#REF!,"AAAAAFd6fxc=")</f>
        <v>#REF!</v>
      </c>
      <c r="Y169" t="e">
        <f>AND(#REF!,"AAAAAFd6fxg=")</f>
        <v>#REF!</v>
      </c>
      <c r="Z169" t="e">
        <f>AND(#REF!,"AAAAAFd6fxk=")</f>
        <v>#REF!</v>
      </c>
      <c r="AA169" t="e">
        <f>AND(#REF!,"AAAAAFd6fxo=")</f>
        <v>#REF!</v>
      </c>
      <c r="AB169" t="e">
        <f>AND(#REF!,"AAAAAFd6fxs=")</f>
        <v>#REF!</v>
      </c>
      <c r="AC169" t="e">
        <f>AND(#REF!,"AAAAAFd6fxw=")</f>
        <v>#REF!</v>
      </c>
      <c r="AD169" t="e">
        <f>AND(#REF!,"AAAAAFd6fx0=")</f>
        <v>#REF!</v>
      </c>
      <c r="AE169" t="e">
        <f>AND(#REF!,"AAAAAFd6fx4=")</f>
        <v>#REF!</v>
      </c>
      <c r="AF169" t="e">
        <f>AND(#REF!,"AAAAAFd6fx8=")</f>
        <v>#REF!</v>
      </c>
      <c r="AG169" t="e">
        <f>AND(#REF!,"AAAAAFd6fyA=")</f>
        <v>#REF!</v>
      </c>
      <c r="AH169" t="e">
        <f>AND(#REF!,"AAAAAFd6fyE=")</f>
        <v>#REF!</v>
      </c>
      <c r="AI169" t="e">
        <f>AND(#REF!,"AAAAAFd6fyI=")</f>
        <v>#REF!</v>
      </c>
      <c r="AJ169" t="e">
        <f>AND(#REF!,"AAAAAFd6fyM=")</f>
        <v>#REF!</v>
      </c>
      <c r="AK169" t="e">
        <f>AND(#REF!,"AAAAAFd6fyQ=")</f>
        <v>#REF!</v>
      </c>
      <c r="AL169" t="e">
        <f>AND(#REF!,"AAAAAFd6fyU=")</f>
        <v>#REF!</v>
      </c>
      <c r="AM169" t="e">
        <f>AND(#REF!,"AAAAAFd6fyY=")</f>
        <v>#REF!</v>
      </c>
      <c r="AN169" t="e">
        <f>AND(#REF!,"AAAAAFd6fyc=")</f>
        <v>#REF!</v>
      </c>
      <c r="AO169" t="e">
        <f>AND(#REF!,"AAAAAFd6fyg=")</f>
        <v>#REF!</v>
      </c>
      <c r="AP169" t="e">
        <f>AND(#REF!,"AAAAAFd6fyk=")</f>
        <v>#REF!</v>
      </c>
      <c r="AQ169" t="e">
        <f>AND(#REF!,"AAAAAFd6fyo=")</f>
        <v>#REF!</v>
      </c>
      <c r="AR169" t="e">
        <f>AND(#REF!,"AAAAAFd6fys=")</f>
        <v>#REF!</v>
      </c>
      <c r="AS169" t="e">
        <f>AND(#REF!,"AAAAAFd6fyw=")</f>
        <v>#REF!</v>
      </c>
      <c r="AT169" t="e">
        <f>AND(#REF!,"AAAAAFd6fy0=")</f>
        <v>#REF!</v>
      </c>
      <c r="AU169" t="e">
        <f>AND(#REF!,"AAAAAFd6fy4=")</f>
        <v>#REF!</v>
      </c>
      <c r="AV169" t="e">
        <f>AND(#REF!,"AAAAAFd6fy8=")</f>
        <v>#REF!</v>
      </c>
      <c r="AW169" t="e">
        <f>AND(#REF!,"AAAAAFd6fzA=")</f>
        <v>#REF!</v>
      </c>
      <c r="AX169" t="e">
        <f>AND(#REF!,"AAAAAFd6fzE=")</f>
        <v>#REF!</v>
      </c>
      <c r="AY169" t="e">
        <f>AND(#REF!,"AAAAAFd6fzI=")</f>
        <v>#REF!</v>
      </c>
      <c r="AZ169" t="e">
        <f>AND(#REF!,"AAAAAFd6fzM=")</f>
        <v>#REF!</v>
      </c>
      <c r="BA169" t="e">
        <f>IF(#REF!,"AAAAAFd6fzQ=",0)</f>
        <v>#REF!</v>
      </c>
      <c r="BB169" t="e">
        <f>AND(#REF!,"AAAAAFd6fzU=")</f>
        <v>#REF!</v>
      </c>
      <c r="BC169" t="e">
        <f>AND(#REF!,"AAAAAFd6fzY=")</f>
        <v>#REF!</v>
      </c>
      <c r="BD169" t="e">
        <f>AND(#REF!,"AAAAAFd6fzc=")</f>
        <v>#REF!</v>
      </c>
      <c r="BE169" t="e">
        <f>AND(#REF!,"AAAAAFd6fzg=")</f>
        <v>#REF!</v>
      </c>
      <c r="BF169" t="e">
        <f>AND(#REF!,"AAAAAFd6fzk=")</f>
        <v>#REF!</v>
      </c>
      <c r="BG169" t="e">
        <f>AND(#REF!,"AAAAAFd6fzo=")</f>
        <v>#REF!</v>
      </c>
      <c r="BH169" t="e">
        <f>AND(#REF!,"AAAAAFd6fzs=")</f>
        <v>#REF!</v>
      </c>
      <c r="BI169" t="e">
        <f>AND(#REF!,"AAAAAFd6fzw=")</f>
        <v>#REF!</v>
      </c>
      <c r="BJ169" t="e">
        <f>AND(#REF!,"AAAAAFd6fz0=")</f>
        <v>#REF!</v>
      </c>
      <c r="BK169" t="e">
        <f>AND(#REF!,"AAAAAFd6fz4=")</f>
        <v>#REF!</v>
      </c>
      <c r="BL169" t="e">
        <f>AND(#REF!,"AAAAAFd6fz8=")</f>
        <v>#REF!</v>
      </c>
      <c r="BM169" t="e">
        <f>AND(#REF!,"AAAAAFd6f0A=")</f>
        <v>#REF!</v>
      </c>
      <c r="BN169" t="e">
        <f>AND(#REF!,"AAAAAFd6f0E=")</f>
        <v>#REF!</v>
      </c>
      <c r="BO169" t="e">
        <f>AND(#REF!,"AAAAAFd6f0I=")</f>
        <v>#REF!</v>
      </c>
      <c r="BP169" t="e">
        <f>AND(#REF!,"AAAAAFd6f0M=")</f>
        <v>#REF!</v>
      </c>
      <c r="BQ169" t="e">
        <f>AND(#REF!,"AAAAAFd6f0Q=")</f>
        <v>#REF!</v>
      </c>
      <c r="BR169" t="e">
        <f>AND(#REF!,"AAAAAFd6f0U=")</f>
        <v>#REF!</v>
      </c>
      <c r="BS169" t="e">
        <f>AND(#REF!,"AAAAAFd6f0Y=")</f>
        <v>#REF!</v>
      </c>
      <c r="BT169" t="e">
        <f>AND(#REF!,"AAAAAFd6f0c=")</f>
        <v>#REF!</v>
      </c>
      <c r="BU169" t="e">
        <f>AND(#REF!,"AAAAAFd6f0g=")</f>
        <v>#REF!</v>
      </c>
      <c r="BV169" t="e">
        <f>AND(#REF!,"AAAAAFd6f0k=")</f>
        <v>#REF!</v>
      </c>
      <c r="BW169" t="e">
        <f>AND(#REF!,"AAAAAFd6f0o=")</f>
        <v>#REF!</v>
      </c>
      <c r="BX169" t="e">
        <f>AND(#REF!,"AAAAAFd6f0s=")</f>
        <v>#REF!</v>
      </c>
      <c r="BY169" t="e">
        <f>AND(#REF!,"AAAAAFd6f0w=")</f>
        <v>#REF!</v>
      </c>
      <c r="BZ169" t="e">
        <f>AND(#REF!,"AAAAAFd6f00=")</f>
        <v>#REF!</v>
      </c>
      <c r="CA169" t="e">
        <f>AND(#REF!,"AAAAAFd6f04=")</f>
        <v>#REF!</v>
      </c>
      <c r="CB169" t="e">
        <f>AND(#REF!,"AAAAAFd6f08=")</f>
        <v>#REF!</v>
      </c>
      <c r="CC169" t="e">
        <f>AND(#REF!,"AAAAAFd6f1A=")</f>
        <v>#REF!</v>
      </c>
      <c r="CD169" t="e">
        <f>AND(#REF!,"AAAAAFd6f1E=")</f>
        <v>#REF!</v>
      </c>
      <c r="CE169" t="e">
        <f>AND(#REF!,"AAAAAFd6f1I=")</f>
        <v>#REF!</v>
      </c>
      <c r="CF169" t="e">
        <f>IF(#REF!,"AAAAAFd6f1M=",0)</f>
        <v>#REF!</v>
      </c>
      <c r="CG169" t="e">
        <f>AND(#REF!,"AAAAAFd6f1Q=")</f>
        <v>#REF!</v>
      </c>
      <c r="CH169" t="e">
        <f>AND(#REF!,"AAAAAFd6f1U=")</f>
        <v>#REF!</v>
      </c>
      <c r="CI169" t="e">
        <f>AND(#REF!,"AAAAAFd6f1Y=")</f>
        <v>#REF!</v>
      </c>
      <c r="CJ169" t="e">
        <f>AND(#REF!,"AAAAAFd6f1c=")</f>
        <v>#REF!</v>
      </c>
      <c r="CK169" t="e">
        <f>AND(#REF!,"AAAAAFd6f1g=")</f>
        <v>#REF!</v>
      </c>
      <c r="CL169" t="e">
        <f>AND(#REF!,"AAAAAFd6f1k=")</f>
        <v>#REF!</v>
      </c>
      <c r="CM169" t="e">
        <f>AND(#REF!,"AAAAAFd6f1o=")</f>
        <v>#REF!</v>
      </c>
      <c r="CN169" t="e">
        <f>AND(#REF!,"AAAAAFd6f1s=")</f>
        <v>#REF!</v>
      </c>
      <c r="CO169" t="e">
        <f>AND(#REF!,"AAAAAFd6f1w=")</f>
        <v>#REF!</v>
      </c>
      <c r="CP169" t="e">
        <f>AND(#REF!,"AAAAAFd6f10=")</f>
        <v>#REF!</v>
      </c>
      <c r="CQ169" t="e">
        <f>AND(#REF!,"AAAAAFd6f14=")</f>
        <v>#REF!</v>
      </c>
      <c r="CR169" t="e">
        <f>AND(#REF!,"AAAAAFd6f18=")</f>
        <v>#REF!</v>
      </c>
      <c r="CS169" t="e">
        <f>AND(#REF!,"AAAAAFd6f2A=")</f>
        <v>#REF!</v>
      </c>
      <c r="CT169" t="e">
        <f>AND(#REF!,"AAAAAFd6f2E=")</f>
        <v>#REF!</v>
      </c>
      <c r="CU169" t="e">
        <f>AND(#REF!,"AAAAAFd6f2I=")</f>
        <v>#REF!</v>
      </c>
      <c r="CV169" t="e">
        <f>AND(#REF!,"AAAAAFd6f2M=")</f>
        <v>#REF!</v>
      </c>
      <c r="CW169" t="e">
        <f>AND(#REF!,"AAAAAFd6f2Q=")</f>
        <v>#REF!</v>
      </c>
      <c r="CX169" t="e">
        <f>AND(#REF!,"AAAAAFd6f2U=")</f>
        <v>#REF!</v>
      </c>
      <c r="CY169" t="e">
        <f>AND(#REF!,"AAAAAFd6f2Y=")</f>
        <v>#REF!</v>
      </c>
      <c r="CZ169" t="e">
        <f>AND(#REF!,"AAAAAFd6f2c=")</f>
        <v>#REF!</v>
      </c>
      <c r="DA169" t="e">
        <f>AND(#REF!,"AAAAAFd6f2g=")</f>
        <v>#REF!</v>
      </c>
      <c r="DB169" t="e">
        <f>AND(#REF!,"AAAAAFd6f2k=")</f>
        <v>#REF!</v>
      </c>
      <c r="DC169" t="e">
        <f>AND(#REF!,"AAAAAFd6f2o=")</f>
        <v>#REF!</v>
      </c>
      <c r="DD169" t="e">
        <f>AND(#REF!,"AAAAAFd6f2s=")</f>
        <v>#REF!</v>
      </c>
      <c r="DE169" t="e">
        <f>AND(#REF!,"AAAAAFd6f2w=")</f>
        <v>#REF!</v>
      </c>
      <c r="DF169" t="e">
        <f>AND(#REF!,"AAAAAFd6f20=")</f>
        <v>#REF!</v>
      </c>
      <c r="DG169" t="e">
        <f>AND(#REF!,"AAAAAFd6f24=")</f>
        <v>#REF!</v>
      </c>
      <c r="DH169" t="e">
        <f>AND(#REF!,"AAAAAFd6f28=")</f>
        <v>#REF!</v>
      </c>
      <c r="DI169" t="e">
        <f>AND(#REF!,"AAAAAFd6f3A=")</f>
        <v>#REF!</v>
      </c>
      <c r="DJ169" t="e">
        <f>AND(#REF!,"AAAAAFd6f3E=")</f>
        <v>#REF!</v>
      </c>
      <c r="DK169" t="e">
        <f>IF(#REF!,"AAAAAFd6f3I=",0)</f>
        <v>#REF!</v>
      </c>
      <c r="DL169" t="e">
        <f>AND(#REF!,"AAAAAFd6f3M=")</f>
        <v>#REF!</v>
      </c>
      <c r="DM169" t="e">
        <f>AND(#REF!,"AAAAAFd6f3Q=")</f>
        <v>#REF!</v>
      </c>
      <c r="DN169" t="e">
        <f>AND(#REF!,"AAAAAFd6f3U=")</f>
        <v>#REF!</v>
      </c>
      <c r="DO169" t="e">
        <f>AND(#REF!,"AAAAAFd6f3Y=")</f>
        <v>#REF!</v>
      </c>
      <c r="DP169" t="e">
        <f>AND(#REF!,"AAAAAFd6f3c=")</f>
        <v>#REF!</v>
      </c>
      <c r="DQ169" t="e">
        <f>AND(#REF!,"AAAAAFd6f3g=")</f>
        <v>#REF!</v>
      </c>
      <c r="DR169" t="e">
        <f>AND(#REF!,"AAAAAFd6f3k=")</f>
        <v>#REF!</v>
      </c>
      <c r="DS169" t="e">
        <f>AND(#REF!,"AAAAAFd6f3o=")</f>
        <v>#REF!</v>
      </c>
      <c r="DT169" t="e">
        <f>AND(#REF!,"AAAAAFd6f3s=")</f>
        <v>#REF!</v>
      </c>
      <c r="DU169" t="e">
        <f>AND(#REF!,"AAAAAFd6f3w=")</f>
        <v>#REF!</v>
      </c>
      <c r="DV169" t="e">
        <f>AND(#REF!,"AAAAAFd6f30=")</f>
        <v>#REF!</v>
      </c>
      <c r="DW169" t="e">
        <f>AND(#REF!,"AAAAAFd6f34=")</f>
        <v>#REF!</v>
      </c>
      <c r="DX169" t="e">
        <f>AND(#REF!,"AAAAAFd6f38=")</f>
        <v>#REF!</v>
      </c>
      <c r="DY169" t="e">
        <f>AND(#REF!,"AAAAAFd6f4A=")</f>
        <v>#REF!</v>
      </c>
      <c r="DZ169" t="e">
        <f>AND(#REF!,"AAAAAFd6f4E=")</f>
        <v>#REF!</v>
      </c>
      <c r="EA169" t="e">
        <f>AND(#REF!,"AAAAAFd6f4I=")</f>
        <v>#REF!</v>
      </c>
      <c r="EB169" t="e">
        <f>AND(#REF!,"AAAAAFd6f4M=")</f>
        <v>#REF!</v>
      </c>
      <c r="EC169" t="e">
        <f>AND(#REF!,"AAAAAFd6f4Q=")</f>
        <v>#REF!</v>
      </c>
      <c r="ED169" t="e">
        <f>AND(#REF!,"AAAAAFd6f4U=")</f>
        <v>#REF!</v>
      </c>
      <c r="EE169" t="e">
        <f>AND(#REF!,"AAAAAFd6f4Y=")</f>
        <v>#REF!</v>
      </c>
      <c r="EF169" t="e">
        <f>AND(#REF!,"AAAAAFd6f4c=")</f>
        <v>#REF!</v>
      </c>
      <c r="EG169" t="e">
        <f>AND(#REF!,"AAAAAFd6f4g=")</f>
        <v>#REF!</v>
      </c>
      <c r="EH169" t="e">
        <f>AND(#REF!,"AAAAAFd6f4k=")</f>
        <v>#REF!</v>
      </c>
      <c r="EI169" t="e">
        <f>AND(#REF!,"AAAAAFd6f4o=")</f>
        <v>#REF!</v>
      </c>
      <c r="EJ169" t="e">
        <f>AND(#REF!,"AAAAAFd6f4s=")</f>
        <v>#REF!</v>
      </c>
      <c r="EK169" t="e">
        <f>AND(#REF!,"AAAAAFd6f4w=")</f>
        <v>#REF!</v>
      </c>
      <c r="EL169" t="e">
        <f>AND(#REF!,"AAAAAFd6f40=")</f>
        <v>#REF!</v>
      </c>
      <c r="EM169" t="e">
        <f>AND(#REF!,"AAAAAFd6f44=")</f>
        <v>#REF!</v>
      </c>
      <c r="EN169" t="e">
        <f>AND(#REF!,"AAAAAFd6f48=")</f>
        <v>#REF!</v>
      </c>
      <c r="EO169" t="e">
        <f>AND(#REF!,"AAAAAFd6f5A=")</f>
        <v>#REF!</v>
      </c>
      <c r="EP169" t="e">
        <f>IF(#REF!,"AAAAAFd6f5E=",0)</f>
        <v>#REF!</v>
      </c>
      <c r="EQ169" t="e">
        <f>AND(#REF!,"AAAAAFd6f5I=")</f>
        <v>#REF!</v>
      </c>
      <c r="ER169" t="e">
        <f>AND(#REF!,"AAAAAFd6f5M=")</f>
        <v>#REF!</v>
      </c>
      <c r="ES169" t="e">
        <f>AND(#REF!,"AAAAAFd6f5Q=")</f>
        <v>#REF!</v>
      </c>
      <c r="ET169" t="e">
        <f>AND(#REF!,"AAAAAFd6f5U=")</f>
        <v>#REF!</v>
      </c>
      <c r="EU169" t="e">
        <f>AND(#REF!,"AAAAAFd6f5Y=")</f>
        <v>#REF!</v>
      </c>
      <c r="EV169" t="e">
        <f>AND(#REF!,"AAAAAFd6f5c=")</f>
        <v>#REF!</v>
      </c>
      <c r="EW169" t="e">
        <f>AND(#REF!,"AAAAAFd6f5g=")</f>
        <v>#REF!</v>
      </c>
      <c r="EX169" t="e">
        <f>AND(#REF!,"AAAAAFd6f5k=")</f>
        <v>#REF!</v>
      </c>
      <c r="EY169" t="e">
        <f>AND(#REF!,"AAAAAFd6f5o=")</f>
        <v>#REF!</v>
      </c>
      <c r="EZ169" t="e">
        <f>AND(#REF!,"AAAAAFd6f5s=")</f>
        <v>#REF!</v>
      </c>
      <c r="FA169" t="e">
        <f>AND(#REF!,"AAAAAFd6f5w=")</f>
        <v>#REF!</v>
      </c>
      <c r="FB169" t="e">
        <f>AND(#REF!,"AAAAAFd6f50=")</f>
        <v>#REF!</v>
      </c>
      <c r="FC169" t="e">
        <f>AND(#REF!,"AAAAAFd6f54=")</f>
        <v>#REF!</v>
      </c>
      <c r="FD169" t="e">
        <f>AND(#REF!,"AAAAAFd6f58=")</f>
        <v>#REF!</v>
      </c>
      <c r="FE169" t="e">
        <f>AND(#REF!,"AAAAAFd6f6A=")</f>
        <v>#REF!</v>
      </c>
      <c r="FF169" t="e">
        <f>AND(#REF!,"AAAAAFd6f6E=")</f>
        <v>#REF!</v>
      </c>
      <c r="FG169" t="e">
        <f>AND(#REF!,"AAAAAFd6f6I=")</f>
        <v>#REF!</v>
      </c>
      <c r="FH169" t="e">
        <f>AND(#REF!,"AAAAAFd6f6M=")</f>
        <v>#REF!</v>
      </c>
      <c r="FI169" t="e">
        <f>AND(#REF!,"AAAAAFd6f6Q=")</f>
        <v>#REF!</v>
      </c>
      <c r="FJ169" t="e">
        <f>AND(#REF!,"AAAAAFd6f6U=")</f>
        <v>#REF!</v>
      </c>
      <c r="FK169" t="e">
        <f>AND(#REF!,"AAAAAFd6f6Y=")</f>
        <v>#REF!</v>
      </c>
      <c r="FL169" t="e">
        <f>AND(#REF!,"AAAAAFd6f6c=")</f>
        <v>#REF!</v>
      </c>
      <c r="FM169" t="e">
        <f>AND(#REF!,"AAAAAFd6f6g=")</f>
        <v>#REF!</v>
      </c>
      <c r="FN169" t="e">
        <f>AND(#REF!,"AAAAAFd6f6k=")</f>
        <v>#REF!</v>
      </c>
      <c r="FO169" t="e">
        <f>AND(#REF!,"AAAAAFd6f6o=")</f>
        <v>#REF!</v>
      </c>
      <c r="FP169" t="e">
        <f>AND(#REF!,"AAAAAFd6f6s=")</f>
        <v>#REF!</v>
      </c>
      <c r="FQ169" t="e">
        <f>AND(#REF!,"AAAAAFd6f6w=")</f>
        <v>#REF!</v>
      </c>
      <c r="FR169" t="e">
        <f>AND(#REF!,"AAAAAFd6f60=")</f>
        <v>#REF!</v>
      </c>
      <c r="FS169" t="e">
        <f>AND(#REF!,"AAAAAFd6f64=")</f>
        <v>#REF!</v>
      </c>
      <c r="FT169" t="e">
        <f>AND(#REF!,"AAAAAFd6f68=")</f>
        <v>#REF!</v>
      </c>
      <c r="FU169" t="e">
        <f>IF(#REF!,"AAAAAFd6f7A=",0)</f>
        <v>#REF!</v>
      </c>
      <c r="FV169" t="e">
        <f>AND(#REF!,"AAAAAFd6f7E=")</f>
        <v>#REF!</v>
      </c>
      <c r="FW169" t="e">
        <f>AND(#REF!,"AAAAAFd6f7I=")</f>
        <v>#REF!</v>
      </c>
      <c r="FX169" t="e">
        <f>AND(#REF!,"AAAAAFd6f7M=")</f>
        <v>#REF!</v>
      </c>
      <c r="FY169" t="e">
        <f>AND(#REF!,"AAAAAFd6f7Q=")</f>
        <v>#REF!</v>
      </c>
      <c r="FZ169" t="e">
        <f>AND(#REF!,"AAAAAFd6f7U=")</f>
        <v>#REF!</v>
      </c>
      <c r="GA169" t="e">
        <f>AND(#REF!,"AAAAAFd6f7Y=")</f>
        <v>#REF!</v>
      </c>
      <c r="GB169" t="e">
        <f>AND(#REF!,"AAAAAFd6f7c=")</f>
        <v>#REF!</v>
      </c>
      <c r="GC169" t="e">
        <f>AND(#REF!,"AAAAAFd6f7g=")</f>
        <v>#REF!</v>
      </c>
      <c r="GD169" t="e">
        <f>AND(#REF!,"AAAAAFd6f7k=")</f>
        <v>#REF!</v>
      </c>
      <c r="GE169" t="e">
        <f>AND(#REF!,"AAAAAFd6f7o=")</f>
        <v>#REF!</v>
      </c>
      <c r="GF169" t="e">
        <f>AND(#REF!,"AAAAAFd6f7s=")</f>
        <v>#REF!</v>
      </c>
      <c r="GG169" t="e">
        <f>AND(#REF!,"AAAAAFd6f7w=")</f>
        <v>#REF!</v>
      </c>
      <c r="GH169" t="e">
        <f>AND(#REF!,"AAAAAFd6f70=")</f>
        <v>#REF!</v>
      </c>
      <c r="GI169" t="e">
        <f>AND(#REF!,"AAAAAFd6f74=")</f>
        <v>#REF!</v>
      </c>
      <c r="GJ169" t="e">
        <f>AND(#REF!,"AAAAAFd6f78=")</f>
        <v>#REF!</v>
      </c>
      <c r="GK169" t="e">
        <f>AND(#REF!,"AAAAAFd6f8A=")</f>
        <v>#REF!</v>
      </c>
      <c r="GL169" t="e">
        <f>AND(#REF!,"AAAAAFd6f8E=")</f>
        <v>#REF!</v>
      </c>
      <c r="GM169" t="e">
        <f>AND(#REF!,"AAAAAFd6f8I=")</f>
        <v>#REF!</v>
      </c>
      <c r="GN169" t="e">
        <f>AND(#REF!,"AAAAAFd6f8M=")</f>
        <v>#REF!</v>
      </c>
      <c r="GO169" t="e">
        <f>AND(#REF!,"AAAAAFd6f8Q=")</f>
        <v>#REF!</v>
      </c>
      <c r="GP169" t="e">
        <f>AND(#REF!,"AAAAAFd6f8U=")</f>
        <v>#REF!</v>
      </c>
      <c r="GQ169" t="e">
        <f>AND(#REF!,"AAAAAFd6f8Y=")</f>
        <v>#REF!</v>
      </c>
      <c r="GR169" t="e">
        <f>AND(#REF!,"AAAAAFd6f8c=")</f>
        <v>#REF!</v>
      </c>
      <c r="GS169" t="e">
        <f>AND(#REF!,"AAAAAFd6f8g=")</f>
        <v>#REF!</v>
      </c>
      <c r="GT169" t="e">
        <f>AND(#REF!,"AAAAAFd6f8k=")</f>
        <v>#REF!</v>
      </c>
      <c r="GU169" t="e">
        <f>AND(#REF!,"AAAAAFd6f8o=")</f>
        <v>#REF!</v>
      </c>
      <c r="GV169" t="e">
        <f>AND(#REF!,"AAAAAFd6f8s=")</f>
        <v>#REF!</v>
      </c>
      <c r="GW169" t="e">
        <f>AND(#REF!,"AAAAAFd6f8w=")</f>
        <v>#REF!</v>
      </c>
      <c r="GX169" t="e">
        <f>AND(#REF!,"AAAAAFd6f80=")</f>
        <v>#REF!</v>
      </c>
      <c r="GY169" t="e">
        <f>AND(#REF!,"AAAAAFd6f84=")</f>
        <v>#REF!</v>
      </c>
      <c r="GZ169" t="e">
        <f>IF(#REF!,"AAAAAFd6f88=",0)</f>
        <v>#REF!</v>
      </c>
      <c r="HA169" t="e">
        <f>AND(#REF!,"AAAAAFd6f9A=")</f>
        <v>#REF!</v>
      </c>
      <c r="HB169" t="e">
        <f>AND(#REF!,"AAAAAFd6f9E=")</f>
        <v>#REF!</v>
      </c>
      <c r="HC169" t="e">
        <f>AND(#REF!,"AAAAAFd6f9I=")</f>
        <v>#REF!</v>
      </c>
      <c r="HD169" t="e">
        <f>AND(#REF!,"AAAAAFd6f9M=")</f>
        <v>#REF!</v>
      </c>
      <c r="HE169" t="e">
        <f>AND(#REF!,"AAAAAFd6f9Q=")</f>
        <v>#REF!</v>
      </c>
      <c r="HF169" t="e">
        <f>AND(#REF!,"AAAAAFd6f9U=")</f>
        <v>#REF!</v>
      </c>
      <c r="HG169" t="e">
        <f>AND(#REF!,"AAAAAFd6f9Y=")</f>
        <v>#REF!</v>
      </c>
      <c r="HH169" t="e">
        <f>AND(#REF!,"AAAAAFd6f9c=")</f>
        <v>#REF!</v>
      </c>
      <c r="HI169" t="e">
        <f>AND(#REF!,"AAAAAFd6f9g=")</f>
        <v>#REF!</v>
      </c>
      <c r="HJ169" t="e">
        <f>AND(#REF!,"AAAAAFd6f9k=")</f>
        <v>#REF!</v>
      </c>
      <c r="HK169" t="e">
        <f>AND(#REF!,"AAAAAFd6f9o=")</f>
        <v>#REF!</v>
      </c>
      <c r="HL169" t="e">
        <f>AND(#REF!,"AAAAAFd6f9s=")</f>
        <v>#REF!</v>
      </c>
      <c r="HM169" t="e">
        <f>AND(#REF!,"AAAAAFd6f9w=")</f>
        <v>#REF!</v>
      </c>
      <c r="HN169" t="e">
        <f>AND(#REF!,"AAAAAFd6f90=")</f>
        <v>#REF!</v>
      </c>
      <c r="HO169" t="e">
        <f>AND(#REF!,"AAAAAFd6f94=")</f>
        <v>#REF!</v>
      </c>
      <c r="HP169" t="e">
        <f>AND(#REF!,"AAAAAFd6f98=")</f>
        <v>#REF!</v>
      </c>
      <c r="HQ169" t="e">
        <f>AND(#REF!,"AAAAAFd6f+A=")</f>
        <v>#REF!</v>
      </c>
      <c r="HR169" t="e">
        <f>AND(#REF!,"AAAAAFd6f+E=")</f>
        <v>#REF!</v>
      </c>
      <c r="HS169" t="e">
        <f>AND(#REF!,"AAAAAFd6f+I=")</f>
        <v>#REF!</v>
      </c>
      <c r="HT169" t="e">
        <f>AND(#REF!,"AAAAAFd6f+M=")</f>
        <v>#REF!</v>
      </c>
      <c r="HU169" t="e">
        <f>AND(#REF!,"AAAAAFd6f+Q=")</f>
        <v>#REF!</v>
      </c>
      <c r="HV169" t="e">
        <f>AND(#REF!,"AAAAAFd6f+U=")</f>
        <v>#REF!</v>
      </c>
      <c r="HW169" t="e">
        <f>AND(#REF!,"AAAAAFd6f+Y=")</f>
        <v>#REF!</v>
      </c>
      <c r="HX169" t="e">
        <f>AND(#REF!,"AAAAAFd6f+c=")</f>
        <v>#REF!</v>
      </c>
      <c r="HY169" t="e">
        <f>AND(#REF!,"AAAAAFd6f+g=")</f>
        <v>#REF!</v>
      </c>
      <c r="HZ169" t="e">
        <f>AND(#REF!,"AAAAAFd6f+k=")</f>
        <v>#REF!</v>
      </c>
      <c r="IA169" t="e">
        <f>AND(#REF!,"AAAAAFd6f+o=")</f>
        <v>#REF!</v>
      </c>
      <c r="IB169" t="e">
        <f>AND(#REF!,"AAAAAFd6f+s=")</f>
        <v>#REF!</v>
      </c>
      <c r="IC169" t="e">
        <f>AND(#REF!,"AAAAAFd6f+w=")</f>
        <v>#REF!</v>
      </c>
      <c r="ID169" t="e">
        <f>AND(#REF!,"AAAAAFd6f+0=")</f>
        <v>#REF!</v>
      </c>
      <c r="IE169" t="e">
        <f>IF(#REF!,"AAAAAFd6f+4=",0)</f>
        <v>#REF!</v>
      </c>
      <c r="IF169" t="e">
        <f>AND(#REF!,"AAAAAFd6f+8=")</f>
        <v>#REF!</v>
      </c>
      <c r="IG169" t="e">
        <f>AND(#REF!,"AAAAAFd6f/A=")</f>
        <v>#REF!</v>
      </c>
      <c r="IH169" t="e">
        <f>AND(#REF!,"AAAAAFd6f/E=")</f>
        <v>#REF!</v>
      </c>
      <c r="II169" t="e">
        <f>AND(#REF!,"AAAAAFd6f/I=")</f>
        <v>#REF!</v>
      </c>
      <c r="IJ169" t="e">
        <f>AND(#REF!,"AAAAAFd6f/M=")</f>
        <v>#REF!</v>
      </c>
      <c r="IK169" t="e">
        <f>AND(#REF!,"AAAAAFd6f/Q=")</f>
        <v>#REF!</v>
      </c>
      <c r="IL169" t="e">
        <f>AND(#REF!,"AAAAAFd6f/U=")</f>
        <v>#REF!</v>
      </c>
      <c r="IM169" t="e">
        <f>AND(#REF!,"AAAAAFd6f/Y=")</f>
        <v>#REF!</v>
      </c>
      <c r="IN169" t="e">
        <f>AND(#REF!,"AAAAAFd6f/c=")</f>
        <v>#REF!</v>
      </c>
      <c r="IO169" t="e">
        <f>AND(#REF!,"AAAAAFd6f/g=")</f>
        <v>#REF!</v>
      </c>
      <c r="IP169" t="e">
        <f>AND(#REF!,"AAAAAFd6f/k=")</f>
        <v>#REF!</v>
      </c>
      <c r="IQ169" t="e">
        <f>AND(#REF!,"AAAAAFd6f/o=")</f>
        <v>#REF!</v>
      </c>
      <c r="IR169" t="e">
        <f>AND(#REF!,"AAAAAFd6f/s=")</f>
        <v>#REF!</v>
      </c>
      <c r="IS169" t="e">
        <f>AND(#REF!,"AAAAAFd6f/w=")</f>
        <v>#REF!</v>
      </c>
      <c r="IT169" t="e">
        <f>AND(#REF!,"AAAAAFd6f/0=")</f>
        <v>#REF!</v>
      </c>
      <c r="IU169" t="e">
        <f>AND(#REF!,"AAAAAFd6f/4=")</f>
        <v>#REF!</v>
      </c>
      <c r="IV169" t="e">
        <f>AND(#REF!,"AAAAAFd6f/8=")</f>
        <v>#REF!</v>
      </c>
    </row>
    <row r="170" spans="1:256" x14ac:dyDescent="0.2">
      <c r="A170" t="e">
        <f>AND(#REF!,"AAAAAD+ucwA=")</f>
        <v>#REF!</v>
      </c>
      <c r="B170" t="e">
        <f>AND(#REF!,"AAAAAD+ucwE=")</f>
        <v>#REF!</v>
      </c>
      <c r="C170" t="e">
        <f>AND(#REF!,"AAAAAD+ucwI=")</f>
        <v>#REF!</v>
      </c>
      <c r="D170" t="e">
        <f>AND(#REF!,"AAAAAD+ucwM=")</f>
        <v>#REF!</v>
      </c>
      <c r="E170" t="e">
        <f>AND(#REF!,"AAAAAD+ucwQ=")</f>
        <v>#REF!</v>
      </c>
      <c r="F170" t="e">
        <f>AND(#REF!,"AAAAAD+ucwU=")</f>
        <v>#REF!</v>
      </c>
      <c r="G170" t="e">
        <f>AND(#REF!,"AAAAAD+ucwY=")</f>
        <v>#REF!</v>
      </c>
      <c r="H170" t="e">
        <f>AND(#REF!,"AAAAAD+ucwc=")</f>
        <v>#REF!</v>
      </c>
      <c r="I170" t="e">
        <f>AND(#REF!,"AAAAAD+ucwg=")</f>
        <v>#REF!</v>
      </c>
      <c r="J170" t="e">
        <f>AND(#REF!,"AAAAAD+ucwk=")</f>
        <v>#REF!</v>
      </c>
      <c r="K170" t="e">
        <f>AND(#REF!,"AAAAAD+ucwo=")</f>
        <v>#REF!</v>
      </c>
      <c r="L170" t="e">
        <f>AND(#REF!,"AAAAAD+ucws=")</f>
        <v>#REF!</v>
      </c>
      <c r="M170" t="e">
        <f>AND(#REF!,"AAAAAD+ucww=")</f>
        <v>#REF!</v>
      </c>
      <c r="N170" t="e">
        <f>IF(#REF!,"AAAAAD+ucw0=",0)</f>
        <v>#REF!</v>
      </c>
      <c r="O170" t="e">
        <f>AND(#REF!,"AAAAAD+ucw4=")</f>
        <v>#REF!</v>
      </c>
      <c r="P170" t="e">
        <f>AND(#REF!,"AAAAAD+ucw8=")</f>
        <v>#REF!</v>
      </c>
      <c r="Q170" t="e">
        <f>AND(#REF!,"AAAAAD+ucxA=")</f>
        <v>#REF!</v>
      </c>
      <c r="R170" t="e">
        <f>AND(#REF!,"AAAAAD+ucxE=")</f>
        <v>#REF!</v>
      </c>
      <c r="S170" t="e">
        <f>AND(#REF!,"AAAAAD+ucxI=")</f>
        <v>#REF!</v>
      </c>
      <c r="T170" t="e">
        <f>AND(#REF!,"AAAAAD+ucxM=")</f>
        <v>#REF!</v>
      </c>
      <c r="U170" t="e">
        <f>AND(#REF!,"AAAAAD+ucxQ=")</f>
        <v>#REF!</v>
      </c>
      <c r="V170" t="e">
        <f>AND(#REF!,"AAAAAD+ucxU=")</f>
        <v>#REF!</v>
      </c>
      <c r="W170" t="e">
        <f>AND(#REF!,"AAAAAD+ucxY=")</f>
        <v>#REF!</v>
      </c>
      <c r="X170" t="e">
        <f>AND(#REF!,"AAAAAD+ucxc=")</f>
        <v>#REF!</v>
      </c>
      <c r="Y170" t="e">
        <f>AND(#REF!,"AAAAAD+ucxg=")</f>
        <v>#REF!</v>
      </c>
      <c r="Z170" t="e">
        <f>AND(#REF!,"AAAAAD+ucxk=")</f>
        <v>#REF!</v>
      </c>
      <c r="AA170" t="e">
        <f>AND(#REF!,"AAAAAD+ucxo=")</f>
        <v>#REF!</v>
      </c>
      <c r="AB170" t="e">
        <f>AND(#REF!,"AAAAAD+ucxs=")</f>
        <v>#REF!</v>
      </c>
      <c r="AC170" t="e">
        <f>AND(#REF!,"AAAAAD+ucxw=")</f>
        <v>#REF!</v>
      </c>
      <c r="AD170" t="e">
        <f>AND(#REF!,"AAAAAD+ucx0=")</f>
        <v>#REF!</v>
      </c>
      <c r="AE170" t="e">
        <f>AND(#REF!,"AAAAAD+ucx4=")</f>
        <v>#REF!</v>
      </c>
      <c r="AF170" t="e">
        <f>AND(#REF!,"AAAAAD+ucx8=")</f>
        <v>#REF!</v>
      </c>
      <c r="AG170" t="e">
        <f>AND(#REF!,"AAAAAD+ucyA=")</f>
        <v>#REF!</v>
      </c>
      <c r="AH170" t="e">
        <f>AND(#REF!,"AAAAAD+ucyE=")</f>
        <v>#REF!</v>
      </c>
      <c r="AI170" t="e">
        <f>AND(#REF!,"AAAAAD+ucyI=")</f>
        <v>#REF!</v>
      </c>
      <c r="AJ170" t="e">
        <f>AND(#REF!,"AAAAAD+ucyM=")</f>
        <v>#REF!</v>
      </c>
      <c r="AK170" t="e">
        <f>AND(#REF!,"AAAAAD+ucyQ=")</f>
        <v>#REF!</v>
      </c>
      <c r="AL170" t="e">
        <f>AND(#REF!,"AAAAAD+ucyU=")</f>
        <v>#REF!</v>
      </c>
      <c r="AM170" t="e">
        <f>AND(#REF!,"AAAAAD+ucyY=")</f>
        <v>#REF!</v>
      </c>
      <c r="AN170" t="e">
        <f>AND(#REF!,"AAAAAD+ucyc=")</f>
        <v>#REF!</v>
      </c>
      <c r="AO170" t="e">
        <f>AND(#REF!,"AAAAAD+ucyg=")</f>
        <v>#REF!</v>
      </c>
      <c r="AP170" t="e">
        <f>AND(#REF!,"AAAAAD+ucyk=")</f>
        <v>#REF!</v>
      </c>
      <c r="AQ170" t="e">
        <f>AND(#REF!,"AAAAAD+ucyo=")</f>
        <v>#REF!</v>
      </c>
      <c r="AR170" t="e">
        <f>AND(#REF!,"AAAAAD+ucys=")</f>
        <v>#REF!</v>
      </c>
      <c r="AS170" t="e">
        <f>IF(#REF!,"AAAAAD+ucyw=",0)</f>
        <v>#REF!</v>
      </c>
      <c r="AT170" t="e">
        <f>AND(#REF!,"AAAAAD+ucy0=")</f>
        <v>#REF!</v>
      </c>
      <c r="AU170" t="e">
        <f>AND(#REF!,"AAAAAD+ucy4=")</f>
        <v>#REF!</v>
      </c>
      <c r="AV170" t="e">
        <f>AND(#REF!,"AAAAAD+ucy8=")</f>
        <v>#REF!</v>
      </c>
      <c r="AW170" t="e">
        <f>AND(#REF!,"AAAAAD+uczA=")</f>
        <v>#REF!</v>
      </c>
      <c r="AX170" t="e">
        <f>AND(#REF!,"AAAAAD+uczE=")</f>
        <v>#REF!</v>
      </c>
      <c r="AY170" t="e">
        <f>AND(#REF!,"AAAAAD+uczI=")</f>
        <v>#REF!</v>
      </c>
      <c r="AZ170" t="e">
        <f>AND(#REF!,"AAAAAD+uczM=")</f>
        <v>#REF!</v>
      </c>
      <c r="BA170" t="e">
        <f>AND(#REF!,"AAAAAD+uczQ=")</f>
        <v>#REF!</v>
      </c>
      <c r="BB170" t="e">
        <f>AND(#REF!,"AAAAAD+uczU=")</f>
        <v>#REF!</v>
      </c>
      <c r="BC170" t="e">
        <f>AND(#REF!,"AAAAAD+uczY=")</f>
        <v>#REF!</v>
      </c>
      <c r="BD170" t="e">
        <f>AND(#REF!,"AAAAAD+uczc=")</f>
        <v>#REF!</v>
      </c>
      <c r="BE170" t="e">
        <f>AND(#REF!,"AAAAAD+uczg=")</f>
        <v>#REF!</v>
      </c>
      <c r="BF170" t="e">
        <f>AND(#REF!,"AAAAAD+uczk=")</f>
        <v>#REF!</v>
      </c>
      <c r="BG170" t="e">
        <f>AND(#REF!,"AAAAAD+uczo=")</f>
        <v>#REF!</v>
      </c>
      <c r="BH170" t="e">
        <f>AND(#REF!,"AAAAAD+uczs=")</f>
        <v>#REF!</v>
      </c>
      <c r="BI170" t="e">
        <f>AND(#REF!,"AAAAAD+uczw=")</f>
        <v>#REF!</v>
      </c>
      <c r="BJ170" t="e">
        <f>AND(#REF!,"AAAAAD+ucz0=")</f>
        <v>#REF!</v>
      </c>
      <c r="BK170" t="e">
        <f>AND(#REF!,"AAAAAD+ucz4=")</f>
        <v>#REF!</v>
      </c>
      <c r="BL170" t="e">
        <f>AND(#REF!,"AAAAAD+ucz8=")</f>
        <v>#REF!</v>
      </c>
      <c r="BM170" t="e">
        <f>AND(#REF!,"AAAAAD+uc0A=")</f>
        <v>#REF!</v>
      </c>
      <c r="BN170" t="e">
        <f>AND(#REF!,"AAAAAD+uc0E=")</f>
        <v>#REF!</v>
      </c>
      <c r="BO170" t="e">
        <f>AND(#REF!,"AAAAAD+uc0I=")</f>
        <v>#REF!</v>
      </c>
      <c r="BP170" t="e">
        <f>AND(#REF!,"AAAAAD+uc0M=")</f>
        <v>#REF!</v>
      </c>
      <c r="BQ170" t="e">
        <f>AND(#REF!,"AAAAAD+uc0Q=")</f>
        <v>#REF!</v>
      </c>
      <c r="BR170" t="e">
        <f>AND(#REF!,"AAAAAD+uc0U=")</f>
        <v>#REF!</v>
      </c>
      <c r="BS170" t="e">
        <f>AND(#REF!,"AAAAAD+uc0Y=")</f>
        <v>#REF!</v>
      </c>
      <c r="BT170" t="e">
        <f>AND(#REF!,"AAAAAD+uc0c=")</f>
        <v>#REF!</v>
      </c>
      <c r="BU170" t="e">
        <f>AND(#REF!,"AAAAAD+uc0g=")</f>
        <v>#REF!</v>
      </c>
      <c r="BV170" t="e">
        <f>AND(#REF!,"AAAAAD+uc0k=")</f>
        <v>#REF!</v>
      </c>
      <c r="BW170" t="e">
        <f>AND(#REF!,"AAAAAD+uc0o=")</f>
        <v>#REF!</v>
      </c>
      <c r="BX170" t="e">
        <f>IF(#REF!,"AAAAAD+uc0s=",0)</f>
        <v>#REF!</v>
      </c>
      <c r="BY170" t="e">
        <f>AND(#REF!,"AAAAAD+uc0w=")</f>
        <v>#REF!</v>
      </c>
      <c r="BZ170" t="e">
        <f>AND(#REF!,"AAAAAD+uc00=")</f>
        <v>#REF!</v>
      </c>
      <c r="CA170" t="e">
        <f>AND(#REF!,"AAAAAD+uc04=")</f>
        <v>#REF!</v>
      </c>
      <c r="CB170" t="e">
        <f>AND(#REF!,"AAAAAD+uc08=")</f>
        <v>#REF!</v>
      </c>
      <c r="CC170" t="e">
        <f>AND(#REF!,"AAAAAD+uc1A=")</f>
        <v>#REF!</v>
      </c>
      <c r="CD170" t="e">
        <f>AND(#REF!,"AAAAAD+uc1E=")</f>
        <v>#REF!</v>
      </c>
      <c r="CE170" t="e">
        <f>AND(#REF!,"AAAAAD+uc1I=")</f>
        <v>#REF!</v>
      </c>
      <c r="CF170" t="e">
        <f>AND(#REF!,"AAAAAD+uc1M=")</f>
        <v>#REF!</v>
      </c>
      <c r="CG170" t="e">
        <f>AND(#REF!,"AAAAAD+uc1Q=")</f>
        <v>#REF!</v>
      </c>
      <c r="CH170" t="e">
        <f>AND(#REF!,"AAAAAD+uc1U=")</f>
        <v>#REF!</v>
      </c>
      <c r="CI170" t="e">
        <f>AND(#REF!,"AAAAAD+uc1Y=")</f>
        <v>#REF!</v>
      </c>
      <c r="CJ170" t="e">
        <f>AND(#REF!,"AAAAAD+uc1c=")</f>
        <v>#REF!</v>
      </c>
      <c r="CK170" t="e">
        <f>AND(#REF!,"AAAAAD+uc1g=")</f>
        <v>#REF!</v>
      </c>
      <c r="CL170" t="e">
        <f>AND(#REF!,"AAAAAD+uc1k=")</f>
        <v>#REF!</v>
      </c>
      <c r="CM170" t="e">
        <f>AND(#REF!,"AAAAAD+uc1o=")</f>
        <v>#REF!</v>
      </c>
      <c r="CN170" t="e">
        <f>AND(#REF!,"AAAAAD+uc1s=")</f>
        <v>#REF!</v>
      </c>
      <c r="CO170" t="e">
        <f>AND(#REF!,"AAAAAD+uc1w=")</f>
        <v>#REF!</v>
      </c>
      <c r="CP170" t="e">
        <f>AND(#REF!,"AAAAAD+uc10=")</f>
        <v>#REF!</v>
      </c>
      <c r="CQ170" t="e">
        <f>AND(#REF!,"AAAAAD+uc14=")</f>
        <v>#REF!</v>
      </c>
      <c r="CR170" t="e">
        <f>AND(#REF!,"AAAAAD+uc18=")</f>
        <v>#REF!</v>
      </c>
      <c r="CS170" t="e">
        <f>AND(#REF!,"AAAAAD+uc2A=")</f>
        <v>#REF!</v>
      </c>
      <c r="CT170" t="e">
        <f>AND(#REF!,"AAAAAD+uc2E=")</f>
        <v>#REF!</v>
      </c>
      <c r="CU170" t="e">
        <f>AND(#REF!,"AAAAAD+uc2I=")</f>
        <v>#REF!</v>
      </c>
      <c r="CV170" t="e">
        <f>AND(#REF!,"AAAAAD+uc2M=")</f>
        <v>#REF!</v>
      </c>
      <c r="CW170" t="e">
        <f>AND(#REF!,"AAAAAD+uc2Q=")</f>
        <v>#REF!</v>
      </c>
      <c r="CX170" t="e">
        <f>AND(#REF!,"AAAAAD+uc2U=")</f>
        <v>#REF!</v>
      </c>
      <c r="CY170" t="e">
        <f>AND(#REF!,"AAAAAD+uc2Y=")</f>
        <v>#REF!</v>
      </c>
      <c r="CZ170" t="e">
        <f>AND(#REF!,"AAAAAD+uc2c=")</f>
        <v>#REF!</v>
      </c>
      <c r="DA170" t="e">
        <f>AND(#REF!,"AAAAAD+uc2g=")</f>
        <v>#REF!</v>
      </c>
      <c r="DB170" t="e">
        <f>AND(#REF!,"AAAAAD+uc2k=")</f>
        <v>#REF!</v>
      </c>
      <c r="DC170" t="e">
        <f>IF(#REF!,"AAAAAD+uc2o=",0)</f>
        <v>#REF!</v>
      </c>
      <c r="DD170" t="e">
        <f>AND(#REF!,"AAAAAD+uc2s=")</f>
        <v>#REF!</v>
      </c>
      <c r="DE170" t="e">
        <f>AND(#REF!,"AAAAAD+uc2w=")</f>
        <v>#REF!</v>
      </c>
      <c r="DF170" t="e">
        <f>AND(#REF!,"AAAAAD+uc20=")</f>
        <v>#REF!</v>
      </c>
      <c r="DG170" t="e">
        <f>AND(#REF!,"AAAAAD+uc24=")</f>
        <v>#REF!</v>
      </c>
      <c r="DH170" t="e">
        <f>AND(#REF!,"AAAAAD+uc28=")</f>
        <v>#REF!</v>
      </c>
      <c r="DI170" t="e">
        <f>AND(#REF!,"AAAAAD+uc3A=")</f>
        <v>#REF!</v>
      </c>
      <c r="DJ170" t="e">
        <f>AND(#REF!,"AAAAAD+uc3E=")</f>
        <v>#REF!</v>
      </c>
      <c r="DK170" t="e">
        <f>AND(#REF!,"AAAAAD+uc3I=")</f>
        <v>#REF!</v>
      </c>
      <c r="DL170" t="e">
        <f>AND(#REF!,"AAAAAD+uc3M=")</f>
        <v>#REF!</v>
      </c>
      <c r="DM170" t="e">
        <f>AND(#REF!,"AAAAAD+uc3Q=")</f>
        <v>#REF!</v>
      </c>
      <c r="DN170" t="e">
        <f>AND(#REF!,"AAAAAD+uc3U=")</f>
        <v>#REF!</v>
      </c>
      <c r="DO170" t="e">
        <f>AND(#REF!,"AAAAAD+uc3Y=")</f>
        <v>#REF!</v>
      </c>
      <c r="DP170" t="e">
        <f>AND(#REF!,"AAAAAD+uc3c=")</f>
        <v>#REF!</v>
      </c>
      <c r="DQ170" t="e">
        <f>AND(#REF!,"AAAAAD+uc3g=")</f>
        <v>#REF!</v>
      </c>
      <c r="DR170" t="e">
        <f>AND(#REF!,"AAAAAD+uc3k=")</f>
        <v>#REF!</v>
      </c>
      <c r="DS170" t="e">
        <f>AND(#REF!,"AAAAAD+uc3o=")</f>
        <v>#REF!</v>
      </c>
      <c r="DT170" t="e">
        <f>AND(#REF!,"AAAAAD+uc3s=")</f>
        <v>#REF!</v>
      </c>
      <c r="DU170" t="e">
        <f>AND(#REF!,"AAAAAD+uc3w=")</f>
        <v>#REF!</v>
      </c>
      <c r="DV170" t="e">
        <f>AND(#REF!,"AAAAAD+uc30=")</f>
        <v>#REF!</v>
      </c>
      <c r="DW170" t="e">
        <f>AND(#REF!,"AAAAAD+uc34=")</f>
        <v>#REF!</v>
      </c>
      <c r="DX170" t="e">
        <f>AND(#REF!,"AAAAAD+uc38=")</f>
        <v>#REF!</v>
      </c>
      <c r="DY170" t="e">
        <f>AND(#REF!,"AAAAAD+uc4A=")</f>
        <v>#REF!</v>
      </c>
      <c r="DZ170" t="e">
        <f>AND(#REF!,"AAAAAD+uc4E=")</f>
        <v>#REF!</v>
      </c>
      <c r="EA170" t="e">
        <f>AND(#REF!,"AAAAAD+uc4I=")</f>
        <v>#REF!</v>
      </c>
      <c r="EB170" t="e">
        <f>AND(#REF!,"AAAAAD+uc4M=")</f>
        <v>#REF!</v>
      </c>
      <c r="EC170" t="e">
        <f>AND(#REF!,"AAAAAD+uc4Q=")</f>
        <v>#REF!</v>
      </c>
      <c r="ED170" t="e">
        <f>AND(#REF!,"AAAAAD+uc4U=")</f>
        <v>#REF!</v>
      </c>
      <c r="EE170" t="e">
        <f>AND(#REF!,"AAAAAD+uc4Y=")</f>
        <v>#REF!</v>
      </c>
      <c r="EF170" t="e">
        <f>AND(#REF!,"AAAAAD+uc4c=")</f>
        <v>#REF!</v>
      </c>
      <c r="EG170" t="e">
        <f>AND(#REF!,"AAAAAD+uc4g=")</f>
        <v>#REF!</v>
      </c>
      <c r="EH170" t="e">
        <f>IF(#REF!,"AAAAAD+uc4k=",0)</f>
        <v>#REF!</v>
      </c>
      <c r="EI170" t="e">
        <f>AND(#REF!,"AAAAAD+uc4o=")</f>
        <v>#REF!</v>
      </c>
      <c r="EJ170" t="e">
        <f>AND(#REF!,"AAAAAD+uc4s=")</f>
        <v>#REF!</v>
      </c>
      <c r="EK170" t="e">
        <f>AND(#REF!,"AAAAAD+uc4w=")</f>
        <v>#REF!</v>
      </c>
      <c r="EL170" t="e">
        <f>AND(#REF!,"AAAAAD+uc40=")</f>
        <v>#REF!</v>
      </c>
      <c r="EM170" t="e">
        <f>AND(#REF!,"AAAAAD+uc44=")</f>
        <v>#REF!</v>
      </c>
      <c r="EN170" t="e">
        <f>AND(#REF!,"AAAAAD+uc48=")</f>
        <v>#REF!</v>
      </c>
      <c r="EO170" t="e">
        <f>AND(#REF!,"AAAAAD+uc5A=")</f>
        <v>#REF!</v>
      </c>
      <c r="EP170" t="e">
        <f>AND(#REF!,"AAAAAD+uc5E=")</f>
        <v>#REF!</v>
      </c>
      <c r="EQ170" t="e">
        <f>AND(#REF!,"AAAAAD+uc5I=")</f>
        <v>#REF!</v>
      </c>
      <c r="ER170" t="e">
        <f>AND(#REF!,"AAAAAD+uc5M=")</f>
        <v>#REF!</v>
      </c>
      <c r="ES170" t="e">
        <f>AND(#REF!,"AAAAAD+uc5Q=")</f>
        <v>#REF!</v>
      </c>
      <c r="ET170" t="e">
        <f>AND(#REF!,"AAAAAD+uc5U=")</f>
        <v>#REF!</v>
      </c>
      <c r="EU170" t="e">
        <f>AND(#REF!,"AAAAAD+uc5Y=")</f>
        <v>#REF!</v>
      </c>
      <c r="EV170" t="e">
        <f>AND(#REF!,"AAAAAD+uc5c=")</f>
        <v>#REF!</v>
      </c>
      <c r="EW170" t="e">
        <f>AND(#REF!,"AAAAAD+uc5g=")</f>
        <v>#REF!</v>
      </c>
      <c r="EX170" t="e">
        <f>AND(#REF!,"AAAAAD+uc5k=")</f>
        <v>#REF!</v>
      </c>
      <c r="EY170" t="e">
        <f>AND(#REF!,"AAAAAD+uc5o=")</f>
        <v>#REF!</v>
      </c>
      <c r="EZ170" t="e">
        <f>AND(#REF!,"AAAAAD+uc5s=")</f>
        <v>#REF!</v>
      </c>
      <c r="FA170" t="e">
        <f>AND(#REF!,"AAAAAD+uc5w=")</f>
        <v>#REF!</v>
      </c>
      <c r="FB170" t="e">
        <f>AND(#REF!,"AAAAAD+uc50=")</f>
        <v>#REF!</v>
      </c>
      <c r="FC170" t="e">
        <f>AND(#REF!,"AAAAAD+uc54=")</f>
        <v>#REF!</v>
      </c>
      <c r="FD170" t="e">
        <f>AND(#REF!,"AAAAAD+uc58=")</f>
        <v>#REF!</v>
      </c>
      <c r="FE170" t="e">
        <f>AND(#REF!,"AAAAAD+uc6A=")</f>
        <v>#REF!</v>
      </c>
      <c r="FF170" t="e">
        <f>AND(#REF!,"AAAAAD+uc6E=")</f>
        <v>#REF!</v>
      </c>
      <c r="FG170" t="e">
        <f>AND(#REF!,"AAAAAD+uc6I=")</f>
        <v>#REF!</v>
      </c>
      <c r="FH170" t="e">
        <f>AND(#REF!,"AAAAAD+uc6M=")</f>
        <v>#REF!</v>
      </c>
      <c r="FI170" t="e">
        <f>AND(#REF!,"AAAAAD+uc6Q=")</f>
        <v>#REF!</v>
      </c>
      <c r="FJ170" t="e">
        <f>AND(#REF!,"AAAAAD+uc6U=")</f>
        <v>#REF!</v>
      </c>
      <c r="FK170" t="e">
        <f>AND(#REF!,"AAAAAD+uc6Y=")</f>
        <v>#REF!</v>
      </c>
      <c r="FL170" t="e">
        <f>AND(#REF!,"AAAAAD+uc6c=")</f>
        <v>#REF!</v>
      </c>
      <c r="FM170" t="e">
        <f>IF(#REF!,"AAAAAD+uc6g=",0)</f>
        <v>#REF!</v>
      </c>
      <c r="FN170" t="e">
        <f>AND(#REF!,"AAAAAD+uc6k=")</f>
        <v>#REF!</v>
      </c>
      <c r="FO170" t="e">
        <f>AND(#REF!,"AAAAAD+uc6o=")</f>
        <v>#REF!</v>
      </c>
      <c r="FP170" t="e">
        <f>AND(#REF!,"AAAAAD+uc6s=")</f>
        <v>#REF!</v>
      </c>
      <c r="FQ170" t="e">
        <f>AND(#REF!,"AAAAAD+uc6w=")</f>
        <v>#REF!</v>
      </c>
      <c r="FR170" t="e">
        <f>AND(#REF!,"AAAAAD+uc60=")</f>
        <v>#REF!</v>
      </c>
      <c r="FS170" t="e">
        <f>AND(#REF!,"AAAAAD+uc64=")</f>
        <v>#REF!</v>
      </c>
      <c r="FT170" t="e">
        <f>AND(#REF!,"AAAAAD+uc68=")</f>
        <v>#REF!</v>
      </c>
      <c r="FU170" t="e">
        <f>AND(#REF!,"AAAAAD+uc7A=")</f>
        <v>#REF!</v>
      </c>
      <c r="FV170" t="e">
        <f>AND(#REF!,"AAAAAD+uc7E=")</f>
        <v>#REF!</v>
      </c>
      <c r="FW170" t="e">
        <f>AND(#REF!,"AAAAAD+uc7I=")</f>
        <v>#REF!</v>
      </c>
      <c r="FX170" t="e">
        <f>AND(#REF!,"AAAAAD+uc7M=")</f>
        <v>#REF!</v>
      </c>
      <c r="FY170" t="e">
        <f>AND(#REF!,"AAAAAD+uc7Q=")</f>
        <v>#REF!</v>
      </c>
      <c r="FZ170" t="e">
        <f>AND(#REF!,"AAAAAD+uc7U=")</f>
        <v>#REF!</v>
      </c>
      <c r="GA170" t="e">
        <f>AND(#REF!,"AAAAAD+uc7Y=")</f>
        <v>#REF!</v>
      </c>
      <c r="GB170" t="e">
        <f>AND(#REF!,"AAAAAD+uc7c=")</f>
        <v>#REF!</v>
      </c>
      <c r="GC170" t="e">
        <f>AND(#REF!,"AAAAAD+uc7g=")</f>
        <v>#REF!</v>
      </c>
      <c r="GD170" t="e">
        <f>AND(#REF!,"AAAAAD+uc7k=")</f>
        <v>#REF!</v>
      </c>
      <c r="GE170" t="e">
        <f>AND(#REF!,"AAAAAD+uc7o=")</f>
        <v>#REF!</v>
      </c>
      <c r="GF170" t="e">
        <f>AND(#REF!,"AAAAAD+uc7s=")</f>
        <v>#REF!</v>
      </c>
      <c r="GG170" t="e">
        <f>AND(#REF!,"AAAAAD+uc7w=")</f>
        <v>#REF!</v>
      </c>
      <c r="GH170" t="e">
        <f>AND(#REF!,"AAAAAD+uc70=")</f>
        <v>#REF!</v>
      </c>
      <c r="GI170" t="e">
        <f>AND(#REF!,"AAAAAD+uc74=")</f>
        <v>#REF!</v>
      </c>
      <c r="GJ170" t="e">
        <f>AND(#REF!,"AAAAAD+uc78=")</f>
        <v>#REF!</v>
      </c>
      <c r="GK170" t="e">
        <f>AND(#REF!,"AAAAAD+uc8A=")</f>
        <v>#REF!</v>
      </c>
      <c r="GL170" t="e">
        <f>AND(#REF!,"AAAAAD+uc8E=")</f>
        <v>#REF!</v>
      </c>
      <c r="GM170" t="e">
        <f>AND(#REF!,"AAAAAD+uc8I=")</f>
        <v>#REF!</v>
      </c>
      <c r="GN170" t="e">
        <f>AND(#REF!,"AAAAAD+uc8M=")</f>
        <v>#REF!</v>
      </c>
      <c r="GO170" t="e">
        <f>AND(#REF!,"AAAAAD+uc8Q=")</f>
        <v>#REF!</v>
      </c>
      <c r="GP170" t="e">
        <f>AND(#REF!,"AAAAAD+uc8U=")</f>
        <v>#REF!</v>
      </c>
      <c r="GQ170" t="e">
        <f>AND(#REF!,"AAAAAD+uc8Y=")</f>
        <v>#REF!</v>
      </c>
      <c r="GR170" t="e">
        <f>IF(#REF!,"AAAAAD+uc8c=",0)</f>
        <v>#REF!</v>
      </c>
      <c r="GS170" t="e">
        <f>AND(#REF!,"AAAAAD+uc8g=")</f>
        <v>#REF!</v>
      </c>
      <c r="GT170" t="e">
        <f>AND(#REF!,"AAAAAD+uc8k=")</f>
        <v>#REF!</v>
      </c>
      <c r="GU170" t="e">
        <f>AND(#REF!,"AAAAAD+uc8o=")</f>
        <v>#REF!</v>
      </c>
      <c r="GV170" t="e">
        <f>AND(#REF!,"AAAAAD+uc8s=")</f>
        <v>#REF!</v>
      </c>
      <c r="GW170" t="e">
        <f>AND(#REF!,"AAAAAD+uc8w=")</f>
        <v>#REF!</v>
      </c>
      <c r="GX170" t="e">
        <f>AND(#REF!,"AAAAAD+uc80=")</f>
        <v>#REF!</v>
      </c>
      <c r="GY170" t="e">
        <f>AND(#REF!,"AAAAAD+uc84=")</f>
        <v>#REF!</v>
      </c>
      <c r="GZ170" t="e">
        <f>AND(#REF!,"AAAAAD+uc88=")</f>
        <v>#REF!</v>
      </c>
      <c r="HA170" t="e">
        <f>AND(#REF!,"AAAAAD+uc9A=")</f>
        <v>#REF!</v>
      </c>
      <c r="HB170" t="e">
        <f>AND(#REF!,"AAAAAD+uc9E=")</f>
        <v>#REF!</v>
      </c>
      <c r="HC170" t="e">
        <f>AND(#REF!,"AAAAAD+uc9I=")</f>
        <v>#REF!</v>
      </c>
      <c r="HD170" t="e">
        <f>AND(#REF!,"AAAAAD+uc9M=")</f>
        <v>#REF!</v>
      </c>
      <c r="HE170" t="e">
        <f>AND(#REF!,"AAAAAD+uc9Q=")</f>
        <v>#REF!</v>
      </c>
      <c r="HF170" t="e">
        <f>AND(#REF!,"AAAAAD+uc9U=")</f>
        <v>#REF!</v>
      </c>
      <c r="HG170" t="e">
        <f>AND(#REF!,"AAAAAD+uc9Y=")</f>
        <v>#REF!</v>
      </c>
      <c r="HH170" t="e">
        <f>AND(#REF!,"AAAAAD+uc9c=")</f>
        <v>#REF!</v>
      </c>
      <c r="HI170" t="e">
        <f>AND(#REF!,"AAAAAD+uc9g=")</f>
        <v>#REF!</v>
      </c>
      <c r="HJ170" t="e">
        <f>AND(#REF!,"AAAAAD+uc9k=")</f>
        <v>#REF!</v>
      </c>
      <c r="HK170" t="e">
        <f>AND(#REF!,"AAAAAD+uc9o=")</f>
        <v>#REF!</v>
      </c>
      <c r="HL170" t="e">
        <f>AND(#REF!,"AAAAAD+uc9s=")</f>
        <v>#REF!</v>
      </c>
      <c r="HM170" t="e">
        <f>AND(#REF!,"AAAAAD+uc9w=")</f>
        <v>#REF!</v>
      </c>
      <c r="HN170" t="e">
        <f>AND(#REF!,"AAAAAD+uc90=")</f>
        <v>#REF!</v>
      </c>
      <c r="HO170" t="e">
        <f>AND(#REF!,"AAAAAD+uc94=")</f>
        <v>#REF!</v>
      </c>
      <c r="HP170" t="e">
        <f>AND(#REF!,"AAAAAD+uc98=")</f>
        <v>#REF!</v>
      </c>
      <c r="HQ170" t="e">
        <f>AND(#REF!,"AAAAAD+uc+A=")</f>
        <v>#REF!</v>
      </c>
      <c r="HR170" t="e">
        <f>AND(#REF!,"AAAAAD+uc+E=")</f>
        <v>#REF!</v>
      </c>
      <c r="HS170" t="e">
        <f>AND(#REF!,"AAAAAD+uc+I=")</f>
        <v>#REF!</v>
      </c>
      <c r="HT170" t="e">
        <f>AND(#REF!,"AAAAAD+uc+M=")</f>
        <v>#REF!</v>
      </c>
      <c r="HU170" t="e">
        <f>AND(#REF!,"AAAAAD+uc+Q=")</f>
        <v>#REF!</v>
      </c>
      <c r="HV170" t="e">
        <f>AND(#REF!,"AAAAAD+uc+U=")</f>
        <v>#REF!</v>
      </c>
      <c r="HW170" t="e">
        <f>IF(#REF!,"AAAAAD+uc+Y=",0)</f>
        <v>#REF!</v>
      </c>
      <c r="HX170" t="e">
        <f>AND(#REF!,"AAAAAD+uc+c=")</f>
        <v>#REF!</v>
      </c>
      <c r="HY170" t="e">
        <f>AND(#REF!,"AAAAAD+uc+g=")</f>
        <v>#REF!</v>
      </c>
      <c r="HZ170" t="e">
        <f>AND(#REF!,"AAAAAD+uc+k=")</f>
        <v>#REF!</v>
      </c>
      <c r="IA170" t="e">
        <f>AND(#REF!,"AAAAAD+uc+o=")</f>
        <v>#REF!</v>
      </c>
      <c r="IB170" t="e">
        <f>AND(#REF!,"AAAAAD+uc+s=")</f>
        <v>#REF!</v>
      </c>
      <c r="IC170" t="e">
        <f>AND(#REF!,"AAAAAD+uc+w=")</f>
        <v>#REF!</v>
      </c>
      <c r="ID170" t="e">
        <f>AND(#REF!,"AAAAAD+uc+0=")</f>
        <v>#REF!</v>
      </c>
      <c r="IE170" t="e">
        <f>AND(#REF!,"AAAAAD+uc+4=")</f>
        <v>#REF!</v>
      </c>
      <c r="IF170" t="e">
        <f>AND(#REF!,"AAAAAD+uc+8=")</f>
        <v>#REF!</v>
      </c>
      <c r="IG170" t="e">
        <f>AND(#REF!,"AAAAAD+uc/A=")</f>
        <v>#REF!</v>
      </c>
      <c r="IH170" t="e">
        <f>AND(#REF!,"AAAAAD+uc/E=")</f>
        <v>#REF!</v>
      </c>
      <c r="II170" t="e">
        <f>AND(#REF!,"AAAAAD+uc/I=")</f>
        <v>#REF!</v>
      </c>
      <c r="IJ170" t="e">
        <f>AND(#REF!,"AAAAAD+uc/M=")</f>
        <v>#REF!</v>
      </c>
      <c r="IK170" t="e">
        <f>AND(#REF!,"AAAAAD+uc/Q=")</f>
        <v>#REF!</v>
      </c>
      <c r="IL170" t="e">
        <f>AND(#REF!,"AAAAAD+uc/U=")</f>
        <v>#REF!</v>
      </c>
      <c r="IM170" t="e">
        <f>AND(#REF!,"AAAAAD+uc/Y=")</f>
        <v>#REF!</v>
      </c>
      <c r="IN170" t="e">
        <f>AND(#REF!,"AAAAAD+uc/c=")</f>
        <v>#REF!</v>
      </c>
      <c r="IO170" t="e">
        <f>AND(#REF!,"AAAAAD+uc/g=")</f>
        <v>#REF!</v>
      </c>
      <c r="IP170" t="e">
        <f>AND(#REF!,"AAAAAD+uc/k=")</f>
        <v>#REF!</v>
      </c>
      <c r="IQ170" t="e">
        <f>AND(#REF!,"AAAAAD+uc/o=")</f>
        <v>#REF!</v>
      </c>
      <c r="IR170" t="e">
        <f>AND(#REF!,"AAAAAD+uc/s=")</f>
        <v>#REF!</v>
      </c>
      <c r="IS170" t="e">
        <f>AND(#REF!,"AAAAAD+uc/w=")</f>
        <v>#REF!</v>
      </c>
      <c r="IT170" t="e">
        <f>AND(#REF!,"AAAAAD+uc/0=")</f>
        <v>#REF!</v>
      </c>
      <c r="IU170" t="e">
        <f>AND(#REF!,"AAAAAD+uc/4=")</f>
        <v>#REF!</v>
      </c>
      <c r="IV170" t="e">
        <f>AND(#REF!,"AAAAAD+uc/8=")</f>
        <v>#REF!</v>
      </c>
    </row>
    <row r="171" spans="1:256" x14ac:dyDescent="0.2">
      <c r="A171" t="e">
        <f>AND(#REF!,"AAAAAH7/+wA=")</f>
        <v>#REF!</v>
      </c>
      <c r="B171" t="e">
        <f>AND(#REF!,"AAAAAH7/+wE=")</f>
        <v>#REF!</v>
      </c>
      <c r="C171" t="e">
        <f>AND(#REF!,"AAAAAH7/+wI=")</f>
        <v>#REF!</v>
      </c>
      <c r="D171" t="e">
        <f>AND(#REF!,"AAAAAH7/+wM=")</f>
        <v>#REF!</v>
      </c>
      <c r="E171" t="e">
        <f>AND(#REF!,"AAAAAH7/+wQ=")</f>
        <v>#REF!</v>
      </c>
      <c r="F171" t="e">
        <f>IF(#REF!,"AAAAAH7/+wU=",0)</f>
        <v>#REF!</v>
      </c>
      <c r="G171" t="e">
        <f>AND(#REF!,"AAAAAH7/+wY=")</f>
        <v>#REF!</v>
      </c>
      <c r="H171" t="e">
        <f>AND(#REF!,"AAAAAH7/+wc=")</f>
        <v>#REF!</v>
      </c>
      <c r="I171" t="e">
        <f>AND(#REF!,"AAAAAH7/+wg=")</f>
        <v>#REF!</v>
      </c>
      <c r="J171" t="e">
        <f>AND(#REF!,"AAAAAH7/+wk=")</f>
        <v>#REF!</v>
      </c>
      <c r="K171" t="e">
        <f>AND(#REF!,"AAAAAH7/+wo=")</f>
        <v>#REF!</v>
      </c>
      <c r="L171" t="e">
        <f>AND(#REF!,"AAAAAH7/+ws=")</f>
        <v>#REF!</v>
      </c>
      <c r="M171" t="e">
        <f>AND(#REF!,"AAAAAH7/+ww=")</f>
        <v>#REF!</v>
      </c>
      <c r="N171" t="e">
        <f>AND(#REF!,"AAAAAH7/+w0=")</f>
        <v>#REF!</v>
      </c>
      <c r="O171" t="e">
        <f>AND(#REF!,"AAAAAH7/+w4=")</f>
        <v>#REF!</v>
      </c>
      <c r="P171" t="e">
        <f>AND(#REF!,"AAAAAH7/+w8=")</f>
        <v>#REF!</v>
      </c>
      <c r="Q171" t="e">
        <f>AND(#REF!,"AAAAAH7/+xA=")</f>
        <v>#REF!</v>
      </c>
      <c r="R171" t="e">
        <f>AND(#REF!,"AAAAAH7/+xE=")</f>
        <v>#REF!</v>
      </c>
      <c r="S171" t="e">
        <f>AND(#REF!,"AAAAAH7/+xI=")</f>
        <v>#REF!</v>
      </c>
      <c r="T171" t="e">
        <f>AND(#REF!,"AAAAAH7/+xM=")</f>
        <v>#REF!</v>
      </c>
      <c r="U171" t="e">
        <f>AND(#REF!,"AAAAAH7/+xQ=")</f>
        <v>#REF!</v>
      </c>
      <c r="V171" t="e">
        <f>AND(#REF!,"AAAAAH7/+xU=")</f>
        <v>#REF!</v>
      </c>
      <c r="W171" t="e">
        <f>AND(#REF!,"AAAAAH7/+xY=")</f>
        <v>#REF!</v>
      </c>
      <c r="X171" t="e">
        <f>AND(#REF!,"AAAAAH7/+xc=")</f>
        <v>#REF!</v>
      </c>
      <c r="Y171" t="e">
        <f>AND(#REF!,"AAAAAH7/+xg=")</f>
        <v>#REF!</v>
      </c>
      <c r="Z171" t="e">
        <f>AND(#REF!,"AAAAAH7/+xk=")</f>
        <v>#REF!</v>
      </c>
      <c r="AA171" t="e">
        <f>AND(#REF!,"AAAAAH7/+xo=")</f>
        <v>#REF!</v>
      </c>
      <c r="AB171" t="e">
        <f>AND(#REF!,"AAAAAH7/+xs=")</f>
        <v>#REF!</v>
      </c>
      <c r="AC171" t="e">
        <f>AND(#REF!,"AAAAAH7/+xw=")</f>
        <v>#REF!</v>
      </c>
      <c r="AD171" t="e">
        <f>AND(#REF!,"AAAAAH7/+x0=")</f>
        <v>#REF!</v>
      </c>
      <c r="AE171" t="e">
        <f>AND(#REF!,"AAAAAH7/+x4=")</f>
        <v>#REF!</v>
      </c>
      <c r="AF171" t="e">
        <f>AND(#REF!,"AAAAAH7/+x8=")</f>
        <v>#REF!</v>
      </c>
      <c r="AG171" t="e">
        <f>AND(#REF!,"AAAAAH7/+yA=")</f>
        <v>#REF!</v>
      </c>
      <c r="AH171" t="e">
        <f>AND(#REF!,"AAAAAH7/+yE=")</f>
        <v>#REF!</v>
      </c>
      <c r="AI171" t="e">
        <f>AND(#REF!,"AAAAAH7/+yI=")</f>
        <v>#REF!</v>
      </c>
      <c r="AJ171" t="e">
        <f>AND(#REF!,"AAAAAH7/+yM=")</f>
        <v>#REF!</v>
      </c>
      <c r="AK171" t="e">
        <f>IF(#REF!,"AAAAAH7/+yQ=",0)</f>
        <v>#REF!</v>
      </c>
      <c r="AL171" t="e">
        <f>AND(#REF!,"AAAAAH7/+yU=")</f>
        <v>#REF!</v>
      </c>
      <c r="AM171" t="e">
        <f>AND(#REF!,"AAAAAH7/+yY=")</f>
        <v>#REF!</v>
      </c>
      <c r="AN171" t="e">
        <f>AND(#REF!,"AAAAAH7/+yc=")</f>
        <v>#REF!</v>
      </c>
      <c r="AO171" t="e">
        <f>AND(#REF!,"AAAAAH7/+yg=")</f>
        <v>#REF!</v>
      </c>
      <c r="AP171" t="e">
        <f>AND(#REF!,"AAAAAH7/+yk=")</f>
        <v>#REF!</v>
      </c>
      <c r="AQ171" t="e">
        <f>AND(#REF!,"AAAAAH7/+yo=")</f>
        <v>#REF!</v>
      </c>
      <c r="AR171" t="e">
        <f>AND(#REF!,"AAAAAH7/+ys=")</f>
        <v>#REF!</v>
      </c>
      <c r="AS171" t="e">
        <f>AND(#REF!,"AAAAAH7/+yw=")</f>
        <v>#REF!</v>
      </c>
      <c r="AT171" t="e">
        <f>AND(#REF!,"AAAAAH7/+y0=")</f>
        <v>#REF!</v>
      </c>
      <c r="AU171" t="e">
        <f>AND(#REF!,"AAAAAH7/+y4=")</f>
        <v>#REF!</v>
      </c>
      <c r="AV171" t="e">
        <f>AND(#REF!,"AAAAAH7/+y8=")</f>
        <v>#REF!</v>
      </c>
      <c r="AW171" t="e">
        <f>AND(#REF!,"AAAAAH7/+zA=")</f>
        <v>#REF!</v>
      </c>
      <c r="AX171" t="e">
        <f>AND(#REF!,"AAAAAH7/+zE=")</f>
        <v>#REF!</v>
      </c>
      <c r="AY171" t="e">
        <f>AND(#REF!,"AAAAAH7/+zI=")</f>
        <v>#REF!</v>
      </c>
      <c r="AZ171" t="e">
        <f>AND(#REF!,"AAAAAH7/+zM=")</f>
        <v>#REF!</v>
      </c>
      <c r="BA171" t="e">
        <f>AND(#REF!,"AAAAAH7/+zQ=")</f>
        <v>#REF!</v>
      </c>
      <c r="BB171" t="e">
        <f>AND(#REF!,"AAAAAH7/+zU=")</f>
        <v>#REF!</v>
      </c>
      <c r="BC171" t="e">
        <f>AND(#REF!,"AAAAAH7/+zY=")</f>
        <v>#REF!</v>
      </c>
      <c r="BD171" t="e">
        <f>AND(#REF!,"AAAAAH7/+zc=")</f>
        <v>#REF!</v>
      </c>
      <c r="BE171" t="e">
        <f>AND(#REF!,"AAAAAH7/+zg=")</f>
        <v>#REF!</v>
      </c>
      <c r="BF171" t="e">
        <f>AND(#REF!,"AAAAAH7/+zk=")</f>
        <v>#REF!</v>
      </c>
      <c r="BG171" t="e">
        <f>AND(#REF!,"AAAAAH7/+zo=")</f>
        <v>#REF!</v>
      </c>
      <c r="BH171" t="e">
        <f>AND(#REF!,"AAAAAH7/+zs=")</f>
        <v>#REF!</v>
      </c>
      <c r="BI171" t="e">
        <f>AND(#REF!,"AAAAAH7/+zw=")</f>
        <v>#REF!</v>
      </c>
      <c r="BJ171" t="e">
        <f>AND(#REF!,"AAAAAH7/+z0=")</f>
        <v>#REF!</v>
      </c>
      <c r="BK171" t="e">
        <f>AND(#REF!,"AAAAAH7/+z4=")</f>
        <v>#REF!</v>
      </c>
      <c r="BL171" t="e">
        <f>AND(#REF!,"AAAAAH7/+z8=")</f>
        <v>#REF!</v>
      </c>
      <c r="BM171" t="e">
        <f>AND(#REF!,"AAAAAH7/+0A=")</f>
        <v>#REF!</v>
      </c>
      <c r="BN171" t="e">
        <f>AND(#REF!,"AAAAAH7/+0E=")</f>
        <v>#REF!</v>
      </c>
      <c r="BO171" t="e">
        <f>AND(#REF!,"AAAAAH7/+0I=")</f>
        <v>#REF!</v>
      </c>
      <c r="BP171" t="e">
        <f>IF(#REF!,"AAAAAH7/+0M=",0)</f>
        <v>#REF!</v>
      </c>
      <c r="BQ171" t="e">
        <f>AND(#REF!,"AAAAAH7/+0Q=")</f>
        <v>#REF!</v>
      </c>
      <c r="BR171" t="e">
        <f>AND(#REF!,"AAAAAH7/+0U=")</f>
        <v>#REF!</v>
      </c>
      <c r="BS171" t="e">
        <f>AND(#REF!,"AAAAAH7/+0Y=")</f>
        <v>#REF!</v>
      </c>
      <c r="BT171" t="e">
        <f>AND(#REF!,"AAAAAH7/+0c=")</f>
        <v>#REF!</v>
      </c>
      <c r="BU171" t="e">
        <f>AND(#REF!,"AAAAAH7/+0g=")</f>
        <v>#REF!</v>
      </c>
      <c r="BV171" t="e">
        <f>AND(#REF!,"AAAAAH7/+0k=")</f>
        <v>#REF!</v>
      </c>
      <c r="BW171" t="e">
        <f>AND(#REF!,"AAAAAH7/+0o=")</f>
        <v>#REF!</v>
      </c>
      <c r="BX171" t="e">
        <f>AND(#REF!,"AAAAAH7/+0s=")</f>
        <v>#REF!</v>
      </c>
      <c r="BY171" t="e">
        <f>AND(#REF!,"AAAAAH7/+0w=")</f>
        <v>#REF!</v>
      </c>
      <c r="BZ171" t="e">
        <f>AND(#REF!,"AAAAAH7/+00=")</f>
        <v>#REF!</v>
      </c>
      <c r="CA171" t="e">
        <f>AND(#REF!,"AAAAAH7/+04=")</f>
        <v>#REF!</v>
      </c>
      <c r="CB171" t="e">
        <f>AND(#REF!,"AAAAAH7/+08=")</f>
        <v>#REF!</v>
      </c>
      <c r="CC171" t="e">
        <f>AND(#REF!,"AAAAAH7/+1A=")</f>
        <v>#REF!</v>
      </c>
      <c r="CD171" t="e">
        <f>AND(#REF!,"AAAAAH7/+1E=")</f>
        <v>#REF!</v>
      </c>
      <c r="CE171" t="e">
        <f>AND(#REF!,"AAAAAH7/+1I=")</f>
        <v>#REF!</v>
      </c>
      <c r="CF171" t="e">
        <f>AND(#REF!,"AAAAAH7/+1M=")</f>
        <v>#REF!</v>
      </c>
      <c r="CG171" t="e">
        <f>AND(#REF!,"AAAAAH7/+1Q=")</f>
        <v>#REF!</v>
      </c>
      <c r="CH171" t="e">
        <f>AND(#REF!,"AAAAAH7/+1U=")</f>
        <v>#REF!</v>
      </c>
      <c r="CI171" t="e">
        <f>AND(#REF!,"AAAAAH7/+1Y=")</f>
        <v>#REF!</v>
      </c>
      <c r="CJ171" t="e">
        <f>AND(#REF!,"AAAAAH7/+1c=")</f>
        <v>#REF!</v>
      </c>
      <c r="CK171" t="e">
        <f>AND(#REF!,"AAAAAH7/+1g=")</f>
        <v>#REF!</v>
      </c>
      <c r="CL171" t="e">
        <f>AND(#REF!,"AAAAAH7/+1k=")</f>
        <v>#REF!</v>
      </c>
      <c r="CM171" t="e">
        <f>AND(#REF!,"AAAAAH7/+1o=")</f>
        <v>#REF!</v>
      </c>
      <c r="CN171" t="e">
        <f>AND(#REF!,"AAAAAH7/+1s=")</f>
        <v>#REF!</v>
      </c>
      <c r="CO171" t="e">
        <f>AND(#REF!,"AAAAAH7/+1w=")</f>
        <v>#REF!</v>
      </c>
      <c r="CP171" t="e">
        <f>AND(#REF!,"AAAAAH7/+10=")</f>
        <v>#REF!</v>
      </c>
      <c r="CQ171" t="e">
        <f>AND(#REF!,"AAAAAH7/+14=")</f>
        <v>#REF!</v>
      </c>
      <c r="CR171" t="e">
        <f>AND(#REF!,"AAAAAH7/+18=")</f>
        <v>#REF!</v>
      </c>
      <c r="CS171" t="e">
        <f>AND(#REF!,"AAAAAH7/+2A=")</f>
        <v>#REF!</v>
      </c>
      <c r="CT171" t="e">
        <f>AND(#REF!,"AAAAAH7/+2E=")</f>
        <v>#REF!</v>
      </c>
      <c r="CU171" t="e">
        <f>IF(#REF!,"AAAAAH7/+2I=",0)</f>
        <v>#REF!</v>
      </c>
      <c r="CV171" t="e">
        <f>AND(#REF!,"AAAAAH7/+2M=")</f>
        <v>#REF!</v>
      </c>
      <c r="CW171" t="e">
        <f>AND(#REF!,"AAAAAH7/+2Q=")</f>
        <v>#REF!</v>
      </c>
      <c r="CX171" t="e">
        <f>AND(#REF!,"AAAAAH7/+2U=")</f>
        <v>#REF!</v>
      </c>
      <c r="CY171" t="e">
        <f>AND(#REF!,"AAAAAH7/+2Y=")</f>
        <v>#REF!</v>
      </c>
      <c r="CZ171" t="e">
        <f>AND(#REF!,"AAAAAH7/+2c=")</f>
        <v>#REF!</v>
      </c>
      <c r="DA171" t="e">
        <f>AND(#REF!,"AAAAAH7/+2g=")</f>
        <v>#REF!</v>
      </c>
      <c r="DB171" t="e">
        <f>AND(#REF!,"AAAAAH7/+2k=")</f>
        <v>#REF!</v>
      </c>
      <c r="DC171" t="e">
        <f>AND(#REF!,"AAAAAH7/+2o=")</f>
        <v>#REF!</v>
      </c>
      <c r="DD171" t="e">
        <f>AND(#REF!,"AAAAAH7/+2s=")</f>
        <v>#REF!</v>
      </c>
      <c r="DE171" t="e">
        <f>AND(#REF!,"AAAAAH7/+2w=")</f>
        <v>#REF!</v>
      </c>
      <c r="DF171" t="e">
        <f>AND(#REF!,"AAAAAH7/+20=")</f>
        <v>#REF!</v>
      </c>
      <c r="DG171" t="e">
        <f>AND(#REF!,"AAAAAH7/+24=")</f>
        <v>#REF!</v>
      </c>
      <c r="DH171" t="e">
        <f>AND(#REF!,"AAAAAH7/+28=")</f>
        <v>#REF!</v>
      </c>
      <c r="DI171" t="e">
        <f>AND(#REF!,"AAAAAH7/+3A=")</f>
        <v>#REF!</v>
      </c>
      <c r="DJ171" t="e">
        <f>AND(#REF!,"AAAAAH7/+3E=")</f>
        <v>#REF!</v>
      </c>
      <c r="DK171" t="e">
        <f>AND(#REF!,"AAAAAH7/+3I=")</f>
        <v>#REF!</v>
      </c>
      <c r="DL171" t="e">
        <f>AND(#REF!,"AAAAAH7/+3M=")</f>
        <v>#REF!</v>
      </c>
      <c r="DM171" t="e">
        <f>AND(#REF!,"AAAAAH7/+3Q=")</f>
        <v>#REF!</v>
      </c>
      <c r="DN171" t="e">
        <f>AND(#REF!,"AAAAAH7/+3U=")</f>
        <v>#REF!</v>
      </c>
      <c r="DO171" t="e">
        <f>AND(#REF!,"AAAAAH7/+3Y=")</f>
        <v>#REF!</v>
      </c>
      <c r="DP171" t="e">
        <f>AND(#REF!,"AAAAAH7/+3c=")</f>
        <v>#REF!</v>
      </c>
      <c r="DQ171" t="e">
        <f>AND(#REF!,"AAAAAH7/+3g=")</f>
        <v>#REF!</v>
      </c>
      <c r="DR171" t="e">
        <f>AND(#REF!,"AAAAAH7/+3k=")</f>
        <v>#REF!</v>
      </c>
      <c r="DS171" t="e">
        <f>AND(#REF!,"AAAAAH7/+3o=")</f>
        <v>#REF!</v>
      </c>
      <c r="DT171" t="e">
        <f>AND(#REF!,"AAAAAH7/+3s=")</f>
        <v>#REF!</v>
      </c>
      <c r="DU171" t="e">
        <f>AND(#REF!,"AAAAAH7/+3w=")</f>
        <v>#REF!</v>
      </c>
      <c r="DV171" t="e">
        <f>AND(#REF!,"AAAAAH7/+30=")</f>
        <v>#REF!</v>
      </c>
      <c r="DW171" t="e">
        <f>AND(#REF!,"AAAAAH7/+34=")</f>
        <v>#REF!</v>
      </c>
      <c r="DX171" t="e">
        <f>AND(#REF!,"AAAAAH7/+38=")</f>
        <v>#REF!</v>
      </c>
      <c r="DY171" t="e">
        <f>AND(#REF!,"AAAAAH7/+4A=")</f>
        <v>#REF!</v>
      </c>
      <c r="DZ171" t="e">
        <f>IF(#REF!,"AAAAAH7/+4E=",0)</f>
        <v>#REF!</v>
      </c>
      <c r="EA171" t="e">
        <f>AND(#REF!,"AAAAAH7/+4I=")</f>
        <v>#REF!</v>
      </c>
      <c r="EB171" t="e">
        <f>AND(#REF!,"AAAAAH7/+4M=")</f>
        <v>#REF!</v>
      </c>
      <c r="EC171" t="e">
        <f>AND(#REF!,"AAAAAH7/+4Q=")</f>
        <v>#REF!</v>
      </c>
      <c r="ED171" t="e">
        <f>AND(#REF!,"AAAAAH7/+4U=")</f>
        <v>#REF!</v>
      </c>
      <c r="EE171" t="e">
        <f>AND(#REF!,"AAAAAH7/+4Y=")</f>
        <v>#REF!</v>
      </c>
      <c r="EF171" t="e">
        <f>AND(#REF!,"AAAAAH7/+4c=")</f>
        <v>#REF!</v>
      </c>
      <c r="EG171" t="e">
        <f>AND(#REF!,"AAAAAH7/+4g=")</f>
        <v>#REF!</v>
      </c>
      <c r="EH171" t="e">
        <f>AND(#REF!,"AAAAAH7/+4k=")</f>
        <v>#REF!</v>
      </c>
      <c r="EI171" t="e">
        <f>AND(#REF!,"AAAAAH7/+4o=")</f>
        <v>#REF!</v>
      </c>
      <c r="EJ171" t="e">
        <f>AND(#REF!,"AAAAAH7/+4s=")</f>
        <v>#REF!</v>
      </c>
      <c r="EK171" t="e">
        <f>AND(#REF!,"AAAAAH7/+4w=")</f>
        <v>#REF!</v>
      </c>
      <c r="EL171" t="e">
        <f>AND(#REF!,"AAAAAH7/+40=")</f>
        <v>#REF!</v>
      </c>
      <c r="EM171" t="e">
        <f>AND(#REF!,"AAAAAH7/+44=")</f>
        <v>#REF!</v>
      </c>
      <c r="EN171" t="e">
        <f>AND(#REF!,"AAAAAH7/+48=")</f>
        <v>#REF!</v>
      </c>
      <c r="EO171" t="e">
        <f>AND(#REF!,"AAAAAH7/+5A=")</f>
        <v>#REF!</v>
      </c>
      <c r="EP171" t="e">
        <f>AND(#REF!,"AAAAAH7/+5E=")</f>
        <v>#REF!</v>
      </c>
      <c r="EQ171" t="e">
        <f>AND(#REF!,"AAAAAH7/+5I=")</f>
        <v>#REF!</v>
      </c>
      <c r="ER171" t="e">
        <f>AND(#REF!,"AAAAAH7/+5M=")</f>
        <v>#REF!</v>
      </c>
      <c r="ES171" t="e">
        <f>AND(#REF!,"AAAAAH7/+5Q=")</f>
        <v>#REF!</v>
      </c>
      <c r="ET171" t="e">
        <f>AND(#REF!,"AAAAAH7/+5U=")</f>
        <v>#REF!</v>
      </c>
      <c r="EU171" t="e">
        <f>AND(#REF!,"AAAAAH7/+5Y=")</f>
        <v>#REF!</v>
      </c>
      <c r="EV171" t="e">
        <f>AND(#REF!,"AAAAAH7/+5c=")</f>
        <v>#REF!</v>
      </c>
      <c r="EW171" t="e">
        <f>AND(#REF!,"AAAAAH7/+5g=")</f>
        <v>#REF!</v>
      </c>
      <c r="EX171" t="e">
        <f>AND(#REF!,"AAAAAH7/+5k=")</f>
        <v>#REF!</v>
      </c>
      <c r="EY171" t="e">
        <f>AND(#REF!,"AAAAAH7/+5o=")</f>
        <v>#REF!</v>
      </c>
      <c r="EZ171" t="e">
        <f>AND(#REF!,"AAAAAH7/+5s=")</f>
        <v>#REF!</v>
      </c>
      <c r="FA171" t="e">
        <f>AND(#REF!,"AAAAAH7/+5w=")</f>
        <v>#REF!</v>
      </c>
      <c r="FB171" t="e">
        <f>AND(#REF!,"AAAAAH7/+50=")</f>
        <v>#REF!</v>
      </c>
      <c r="FC171" t="e">
        <f>AND(#REF!,"AAAAAH7/+54=")</f>
        <v>#REF!</v>
      </c>
      <c r="FD171" t="e">
        <f>AND(#REF!,"AAAAAH7/+58=")</f>
        <v>#REF!</v>
      </c>
      <c r="FE171" t="e">
        <f>IF(#REF!,"AAAAAH7/+6A=",0)</f>
        <v>#REF!</v>
      </c>
      <c r="FF171" t="e">
        <f>AND(#REF!,"AAAAAH7/+6E=")</f>
        <v>#REF!</v>
      </c>
      <c r="FG171" t="e">
        <f>AND(#REF!,"AAAAAH7/+6I=")</f>
        <v>#REF!</v>
      </c>
      <c r="FH171" t="e">
        <f>AND(#REF!,"AAAAAH7/+6M=")</f>
        <v>#REF!</v>
      </c>
      <c r="FI171" t="e">
        <f>AND(#REF!,"AAAAAH7/+6Q=")</f>
        <v>#REF!</v>
      </c>
      <c r="FJ171" t="e">
        <f>IF(#REF!,"AAAAAH7/+6U=",0)</f>
        <v>#REF!</v>
      </c>
      <c r="FK171" t="e">
        <f>AND(#REF!,"AAAAAH7/+6Y=")</f>
        <v>#REF!</v>
      </c>
      <c r="FL171" t="e">
        <f>AND(#REF!,"AAAAAH7/+6c=")</f>
        <v>#REF!</v>
      </c>
      <c r="FM171" t="e">
        <f>AND(#REF!,"AAAAAH7/+6g=")</f>
        <v>#REF!</v>
      </c>
      <c r="FN171" t="e">
        <f>AND(#REF!,"AAAAAH7/+6k=")</f>
        <v>#REF!</v>
      </c>
      <c r="FO171" t="e">
        <f>IF(#REF!,"AAAAAH7/+6o=",0)</f>
        <v>#REF!</v>
      </c>
      <c r="FP171" t="e">
        <f>AND(#REF!,"AAAAAH7/+6s=")</f>
        <v>#REF!</v>
      </c>
      <c r="FQ171" t="e">
        <f>AND(#REF!,"AAAAAH7/+6w=")</f>
        <v>#REF!</v>
      </c>
      <c r="FR171" t="e">
        <f>AND(#REF!,"AAAAAH7/+60=")</f>
        <v>#REF!</v>
      </c>
      <c r="FS171" t="e">
        <f>AND(#REF!,"AAAAAH7/+64=")</f>
        <v>#REF!</v>
      </c>
      <c r="FT171" t="e">
        <f>IF(#REF!,"AAAAAH7/+68=",0)</f>
        <v>#REF!</v>
      </c>
      <c r="FU171" t="e">
        <f>AND(#REF!,"AAAAAH7/+7A=")</f>
        <v>#REF!</v>
      </c>
      <c r="FV171" t="e">
        <f>AND(#REF!,"AAAAAH7/+7E=")</f>
        <v>#REF!</v>
      </c>
      <c r="FW171" t="e">
        <f>AND(#REF!,"AAAAAH7/+7I=")</f>
        <v>#REF!</v>
      </c>
      <c r="FX171" t="e">
        <f>AND(#REF!,"AAAAAH7/+7M=")</f>
        <v>#REF!</v>
      </c>
      <c r="FY171" t="e">
        <f>IF(#REF!,"AAAAAH7/+7Q=",0)</f>
        <v>#REF!</v>
      </c>
      <c r="FZ171" t="e">
        <f>AND(#REF!,"AAAAAH7/+7U=")</f>
        <v>#REF!</v>
      </c>
      <c r="GA171" t="e">
        <f>AND(#REF!,"AAAAAH7/+7Y=")</f>
        <v>#REF!</v>
      </c>
      <c r="GB171" t="e">
        <f>AND(#REF!,"AAAAAH7/+7c=")</f>
        <v>#REF!</v>
      </c>
      <c r="GC171" t="e">
        <f>AND(#REF!,"AAAAAH7/+7g=")</f>
        <v>#REF!</v>
      </c>
      <c r="GD171" t="e">
        <f>IF(#REF!,"AAAAAH7/+7k=",0)</f>
        <v>#REF!</v>
      </c>
      <c r="GE171" t="e">
        <f>AND(#REF!,"AAAAAH7/+7o=")</f>
        <v>#REF!</v>
      </c>
      <c r="GF171" t="e">
        <f>AND(#REF!,"AAAAAH7/+7s=")</f>
        <v>#REF!</v>
      </c>
      <c r="GG171" t="e">
        <f>AND(#REF!,"AAAAAH7/+7w=")</f>
        <v>#REF!</v>
      </c>
      <c r="GH171" t="e">
        <f>AND(#REF!,"AAAAAH7/+70=")</f>
        <v>#REF!</v>
      </c>
      <c r="GI171" t="e">
        <f>IF(#REF!,"AAAAAH7/+74=",0)</f>
        <v>#REF!</v>
      </c>
      <c r="GJ171" t="e">
        <f>AND(#REF!,"AAAAAH7/+78=")</f>
        <v>#REF!</v>
      </c>
      <c r="GK171" t="e">
        <f>AND(#REF!,"AAAAAH7/+8A=")</f>
        <v>#REF!</v>
      </c>
      <c r="GL171" t="e">
        <f>AND(#REF!,"AAAAAH7/+8E=")</f>
        <v>#REF!</v>
      </c>
      <c r="GM171" t="e">
        <f>AND(#REF!,"AAAAAH7/+8I=")</f>
        <v>#REF!</v>
      </c>
      <c r="GN171" t="e">
        <f>IF(#REF!,"AAAAAH7/+8M=",0)</f>
        <v>#REF!</v>
      </c>
      <c r="GO171" t="e">
        <f>AND(#REF!,"AAAAAH7/+8Q=")</f>
        <v>#REF!</v>
      </c>
      <c r="GP171" t="e">
        <f>AND(#REF!,"AAAAAH7/+8U=")</f>
        <v>#REF!</v>
      </c>
      <c r="GQ171" t="e">
        <f>AND(#REF!,"AAAAAH7/+8Y=")</f>
        <v>#REF!</v>
      </c>
      <c r="GR171" t="e">
        <f>AND(#REF!,"AAAAAH7/+8c=")</f>
        <v>#REF!</v>
      </c>
      <c r="GS171" t="e">
        <f>IF(#REF!,"AAAAAH7/+8g=",0)</f>
        <v>#REF!</v>
      </c>
      <c r="GT171" t="e">
        <f>AND(#REF!,"AAAAAH7/+8k=")</f>
        <v>#REF!</v>
      </c>
      <c r="GU171" t="e">
        <f>AND(#REF!,"AAAAAH7/+8o=")</f>
        <v>#REF!</v>
      </c>
      <c r="GV171" t="e">
        <f>AND(#REF!,"AAAAAH7/+8s=")</f>
        <v>#REF!</v>
      </c>
      <c r="GW171" t="e">
        <f>AND(#REF!,"AAAAAH7/+8w=")</f>
        <v>#REF!</v>
      </c>
      <c r="GX171" t="e">
        <f>IF(#REF!,"AAAAAH7/+80=",0)</f>
        <v>#REF!</v>
      </c>
      <c r="GY171" t="e">
        <f>AND(#REF!,"AAAAAH7/+84=")</f>
        <v>#REF!</v>
      </c>
      <c r="GZ171" t="e">
        <f>AND(#REF!,"AAAAAH7/+88=")</f>
        <v>#REF!</v>
      </c>
      <c r="HA171" t="e">
        <f>AND(#REF!,"AAAAAH7/+9A=")</f>
        <v>#REF!</v>
      </c>
      <c r="HB171" t="e">
        <f>AND(#REF!,"AAAAAH7/+9E=")</f>
        <v>#REF!</v>
      </c>
      <c r="HC171" t="e">
        <f>IF(#REF!,"AAAAAH7/+9I=",0)</f>
        <v>#REF!</v>
      </c>
      <c r="HD171" t="e">
        <f>AND(#REF!,"AAAAAH7/+9M=")</f>
        <v>#REF!</v>
      </c>
      <c r="HE171" t="e">
        <f>AND(#REF!,"AAAAAH7/+9Q=")</f>
        <v>#REF!</v>
      </c>
      <c r="HF171" t="e">
        <f>AND(#REF!,"AAAAAH7/+9U=")</f>
        <v>#REF!</v>
      </c>
      <c r="HG171" t="e">
        <f>AND(#REF!,"AAAAAH7/+9Y=")</f>
        <v>#REF!</v>
      </c>
      <c r="HH171" t="e">
        <f>IF(#REF!,"AAAAAH7/+9c=",0)</f>
        <v>#REF!</v>
      </c>
      <c r="HI171" t="e">
        <f>AND(#REF!,"AAAAAH7/+9g=")</f>
        <v>#REF!</v>
      </c>
      <c r="HJ171" t="e">
        <f>AND(#REF!,"AAAAAH7/+9k=")</f>
        <v>#REF!</v>
      </c>
      <c r="HK171" t="e">
        <f>AND(#REF!,"AAAAAH7/+9o=")</f>
        <v>#REF!</v>
      </c>
      <c r="HL171" t="e">
        <f>AND(#REF!,"AAAAAH7/+9s=")</f>
        <v>#REF!</v>
      </c>
      <c r="HM171" t="e">
        <f>IF(#REF!,"AAAAAH7/+9w=",0)</f>
        <v>#REF!</v>
      </c>
      <c r="HN171" t="e">
        <f>AND(#REF!,"AAAAAH7/+90=")</f>
        <v>#REF!</v>
      </c>
      <c r="HO171" t="e">
        <f>AND(#REF!,"AAAAAH7/+94=")</f>
        <v>#REF!</v>
      </c>
      <c r="HP171" t="e">
        <f>AND(#REF!,"AAAAAH7/+98=")</f>
        <v>#REF!</v>
      </c>
      <c r="HQ171" t="e">
        <f>AND(#REF!,"AAAAAH7/++A=")</f>
        <v>#REF!</v>
      </c>
      <c r="HR171" t="e">
        <f>IF(#REF!,"AAAAAH7/++E=",0)</f>
        <v>#REF!</v>
      </c>
      <c r="HS171" t="e">
        <f>AND(#REF!,"AAAAAH7/++I=")</f>
        <v>#REF!</v>
      </c>
      <c r="HT171" t="e">
        <f>AND(#REF!,"AAAAAH7/++M=")</f>
        <v>#REF!</v>
      </c>
      <c r="HU171" t="e">
        <f>AND(#REF!,"AAAAAH7/++Q=")</f>
        <v>#REF!</v>
      </c>
      <c r="HV171" t="e">
        <f>AND(#REF!,"AAAAAH7/++U=")</f>
        <v>#REF!</v>
      </c>
      <c r="HW171" t="e">
        <f>IF(#REF!,"AAAAAH7/++Y=",0)</f>
        <v>#REF!</v>
      </c>
      <c r="HX171" t="e">
        <f>AND(#REF!,"AAAAAH7/++c=")</f>
        <v>#REF!</v>
      </c>
      <c r="HY171" t="e">
        <f>AND(#REF!,"AAAAAH7/++g=")</f>
        <v>#REF!</v>
      </c>
      <c r="HZ171" t="e">
        <f>AND(#REF!,"AAAAAH7/++k=")</f>
        <v>#REF!</v>
      </c>
      <c r="IA171" t="e">
        <f>AND(#REF!,"AAAAAH7/++o=")</f>
        <v>#REF!</v>
      </c>
      <c r="IB171" t="e">
        <f>IF(#REF!,"AAAAAH7/++s=",0)</f>
        <v>#REF!</v>
      </c>
      <c r="IC171" t="e">
        <f>AND(#REF!,"AAAAAH7/++w=")</f>
        <v>#REF!</v>
      </c>
      <c r="ID171" t="e">
        <f>AND(#REF!,"AAAAAH7/++0=")</f>
        <v>#REF!</v>
      </c>
      <c r="IE171" t="e">
        <f>AND(#REF!,"AAAAAH7/++4=")</f>
        <v>#REF!</v>
      </c>
      <c r="IF171" t="e">
        <f>AND(#REF!,"AAAAAH7/++8=")</f>
        <v>#REF!</v>
      </c>
      <c r="IG171" t="e">
        <f>IF(#REF!,"AAAAAH7/+/A=",0)</f>
        <v>#REF!</v>
      </c>
      <c r="IH171" t="e">
        <f>AND(#REF!,"AAAAAH7/+/E=")</f>
        <v>#REF!</v>
      </c>
      <c r="II171" t="e">
        <f>AND(#REF!,"AAAAAH7/+/I=")</f>
        <v>#REF!</v>
      </c>
      <c r="IJ171" t="e">
        <f>AND(#REF!,"AAAAAH7/+/M=")</f>
        <v>#REF!</v>
      </c>
      <c r="IK171" t="e">
        <f>AND(#REF!,"AAAAAH7/+/Q=")</f>
        <v>#REF!</v>
      </c>
      <c r="IL171" t="e">
        <f>IF(#REF!,"AAAAAH7/+/U=",0)</f>
        <v>#REF!</v>
      </c>
      <c r="IM171" t="e">
        <f>AND(#REF!,"AAAAAH7/+/Y=")</f>
        <v>#REF!</v>
      </c>
      <c r="IN171" t="e">
        <f>AND(#REF!,"AAAAAH7/+/c=")</f>
        <v>#REF!</v>
      </c>
      <c r="IO171" t="e">
        <f>AND(#REF!,"AAAAAH7/+/g=")</f>
        <v>#REF!</v>
      </c>
      <c r="IP171" t="e">
        <f>AND(#REF!,"AAAAAH7/+/k=")</f>
        <v>#REF!</v>
      </c>
      <c r="IQ171" t="e">
        <f>IF(#REF!,"AAAAAH7/+/o=",0)</f>
        <v>#REF!</v>
      </c>
      <c r="IR171" t="e">
        <f>AND(#REF!,"AAAAAH7/+/s=")</f>
        <v>#REF!</v>
      </c>
      <c r="IS171" t="e">
        <f>AND(#REF!,"AAAAAH7/+/w=")</f>
        <v>#REF!</v>
      </c>
      <c r="IT171" t="e">
        <f>AND(#REF!,"AAAAAH7/+/0=")</f>
        <v>#REF!</v>
      </c>
      <c r="IU171" t="e">
        <f>AND(#REF!,"AAAAAH7/+/4=")</f>
        <v>#REF!</v>
      </c>
      <c r="IV171" t="e">
        <f>IF(#REF!,"AAAAAH7/+/8=",0)</f>
        <v>#REF!</v>
      </c>
    </row>
    <row r="172" spans="1:256" x14ac:dyDescent="0.2">
      <c r="A172" t="e">
        <f>AND(#REF!,"AAAAAG9q9gA=")</f>
        <v>#REF!</v>
      </c>
      <c r="B172" t="e">
        <f>AND(#REF!,"AAAAAG9q9gE=")</f>
        <v>#REF!</v>
      </c>
      <c r="C172" t="e">
        <f>AND(#REF!,"AAAAAG9q9gI=")</f>
        <v>#REF!</v>
      </c>
      <c r="D172" t="e">
        <f>AND(#REF!,"AAAAAG9q9gM=")</f>
        <v>#REF!</v>
      </c>
      <c r="E172" t="e">
        <f>IF(#REF!,"AAAAAG9q9gQ=",0)</f>
        <v>#REF!</v>
      </c>
      <c r="F172" t="e">
        <f>AND(#REF!,"AAAAAG9q9gU=")</f>
        <v>#REF!</v>
      </c>
      <c r="G172" t="e">
        <f>AND(#REF!,"AAAAAG9q9gY=")</f>
        <v>#REF!</v>
      </c>
      <c r="H172" t="e">
        <f>AND(#REF!,"AAAAAG9q9gc=")</f>
        <v>#REF!</v>
      </c>
      <c r="I172" t="e">
        <f>AND(#REF!,"AAAAAG9q9gg=")</f>
        <v>#REF!</v>
      </c>
      <c r="J172" t="e">
        <f>IF(#REF!,"AAAAAG9q9gk=",0)</f>
        <v>#REF!</v>
      </c>
      <c r="K172" t="e">
        <f>AND(#REF!,"AAAAAG9q9go=")</f>
        <v>#REF!</v>
      </c>
      <c r="L172" t="e">
        <f>AND(#REF!,"AAAAAG9q9gs=")</f>
        <v>#REF!</v>
      </c>
      <c r="M172" t="e">
        <f>AND(#REF!,"AAAAAG9q9gw=")</f>
        <v>#REF!</v>
      </c>
      <c r="N172" t="e">
        <f>AND(#REF!,"AAAAAG9q9g0=")</f>
        <v>#REF!</v>
      </c>
      <c r="O172" t="e">
        <f>IF(#REF!,"AAAAAG9q9g4=",0)</f>
        <v>#REF!</v>
      </c>
      <c r="P172" t="e">
        <f>AND(#REF!,"AAAAAG9q9g8=")</f>
        <v>#REF!</v>
      </c>
      <c r="Q172" t="e">
        <f>AND(#REF!,"AAAAAG9q9hA=")</f>
        <v>#REF!</v>
      </c>
      <c r="R172" t="e">
        <f>AND(#REF!,"AAAAAG9q9hE=")</f>
        <v>#REF!</v>
      </c>
      <c r="S172" t="e">
        <f>AND(#REF!,"AAAAAG9q9hI=")</f>
        <v>#REF!</v>
      </c>
      <c r="T172" t="e">
        <f>IF(#REF!,"AAAAAG9q9hM=",0)</f>
        <v>#REF!</v>
      </c>
      <c r="U172" t="e">
        <f>AND(#REF!,"AAAAAG9q9hQ=")</f>
        <v>#REF!</v>
      </c>
      <c r="V172" t="e">
        <f>AND(#REF!,"AAAAAG9q9hU=")</f>
        <v>#REF!</v>
      </c>
      <c r="W172" t="e">
        <f>AND(#REF!,"AAAAAG9q9hY=")</f>
        <v>#REF!</v>
      </c>
      <c r="X172" t="e">
        <f>AND(#REF!,"AAAAAG9q9hc=")</f>
        <v>#REF!</v>
      </c>
      <c r="Y172" t="e">
        <f>IF(#REF!,"AAAAAG9q9hg=",0)</f>
        <v>#REF!</v>
      </c>
      <c r="Z172" t="e">
        <f>AND(#REF!,"AAAAAG9q9hk=")</f>
        <v>#REF!</v>
      </c>
      <c r="AA172" t="e">
        <f>AND(#REF!,"AAAAAG9q9ho=")</f>
        <v>#REF!</v>
      </c>
      <c r="AB172" t="e">
        <f>AND(#REF!,"AAAAAG9q9hs=")</f>
        <v>#REF!</v>
      </c>
      <c r="AC172" t="e">
        <f>AND(#REF!,"AAAAAG9q9hw=")</f>
        <v>#REF!</v>
      </c>
      <c r="AD172" t="e">
        <f>IF(#REF!,"AAAAAG9q9h0=",0)</f>
        <v>#REF!</v>
      </c>
      <c r="AE172" t="e">
        <f>AND(#REF!,"AAAAAG9q9h4=")</f>
        <v>#REF!</v>
      </c>
      <c r="AF172" t="e">
        <f>AND(#REF!,"AAAAAG9q9h8=")</f>
        <v>#REF!</v>
      </c>
      <c r="AG172" t="e">
        <f>AND(#REF!,"AAAAAG9q9iA=")</f>
        <v>#REF!</v>
      </c>
      <c r="AH172" t="e">
        <f>AND(#REF!,"AAAAAG9q9iE=")</f>
        <v>#REF!</v>
      </c>
      <c r="AI172" t="e">
        <f>IF(#REF!,"AAAAAG9q9iI=",0)</f>
        <v>#REF!</v>
      </c>
      <c r="AJ172" t="e">
        <f>IF(#REF!,"AAAAAG9q9iM=",0)</f>
        <v>#REF!</v>
      </c>
      <c r="AK172" t="e">
        <f>IF(#REF!,"AAAAAG9q9iQ=",0)</f>
        <v>#REF!</v>
      </c>
      <c r="AL172" t="e">
        <f>IF(#REF!,"AAAAAG9q9iU=",0)</f>
        <v>#REF!</v>
      </c>
      <c r="AM172" t="e">
        <f>IF(#REF!,"AAAAAG9q9iY=",0)</f>
        <v>#REF!</v>
      </c>
      <c r="AN172" t="e">
        <f>IF(#REF!,"AAAAAG9q9ic=",0)</f>
        <v>#REF!</v>
      </c>
      <c r="AO172" t="e">
        <f>IF(#REF!,"AAAAAG9q9ig=",0)</f>
        <v>#REF!</v>
      </c>
      <c r="AP172" t="e">
        <f>IF(#REF!,"AAAAAG9q9ik=",0)</f>
        <v>#REF!</v>
      </c>
      <c r="AQ172" t="e">
        <f>IF(#REF!,"AAAAAG9q9io=",0)</f>
        <v>#REF!</v>
      </c>
      <c r="AR172" t="e">
        <f>IF(#REF!,"AAAAAG9q9is=",0)</f>
        <v>#REF!</v>
      </c>
      <c r="AS172" t="e">
        <f>IF(#REF!,"AAAAAG9q9iw=",0)</f>
        <v>#REF!</v>
      </c>
      <c r="AT172" t="e">
        <f>IF(#REF!,"AAAAAG9q9i0=",0)</f>
        <v>#REF!</v>
      </c>
      <c r="AU172" t="e">
        <f>IF(#REF!,"AAAAAG9q9i4=",0)</f>
        <v>#REF!</v>
      </c>
      <c r="AV172" t="e">
        <f>IF(#REF!,"AAAAAG9q9i8=",0)</f>
        <v>#REF!</v>
      </c>
      <c r="AW172" t="e">
        <f>IF(#REF!,"AAAAAG9q9jA=",0)</f>
        <v>#REF!</v>
      </c>
      <c r="AX172" t="e">
        <f>IF(#REF!,"AAAAAG9q9jE=",0)</f>
        <v>#REF!</v>
      </c>
      <c r="AY172" t="e">
        <f>IF(#REF!,"AAAAAG9q9jI=",0)</f>
        <v>#REF!</v>
      </c>
      <c r="AZ172" t="e">
        <f>IF(#REF!,"AAAAAG9q9jM=",0)</f>
        <v>#REF!</v>
      </c>
      <c r="BA172" t="e">
        <f>IF(#REF!,"AAAAAG9q9jQ=",0)</f>
        <v>#REF!</v>
      </c>
      <c r="BB172" t="e">
        <f>IF(#REF!,"AAAAAG9q9jU=",0)</f>
        <v>#REF!</v>
      </c>
      <c r="BC172" t="e">
        <f>IF(#REF!,"AAAAAG9q9jY=",0)</f>
        <v>#REF!</v>
      </c>
      <c r="BD172" t="e">
        <f>IF(#REF!,"AAAAAG9q9jc=",0)</f>
        <v>#REF!</v>
      </c>
      <c r="BE172" t="e">
        <f>IF(#REF!,"AAAAAG9q9jg=",0)</f>
        <v>#REF!</v>
      </c>
      <c r="BF172" t="e">
        <f>IF(#REF!,"AAAAAG9q9jk=",0)</f>
        <v>#REF!</v>
      </c>
      <c r="BG172" t="e">
        <f>IF(#REF!,"AAAAAG9q9jo=",0)</f>
        <v>#REF!</v>
      </c>
      <c r="BH172" t="e">
        <f>IF(#REF!,"AAAAAG9q9js=",0)</f>
        <v>#REF!</v>
      </c>
      <c r="BI172" t="e">
        <f>IF(#REF!,"AAAAAG9q9jw=",0)</f>
        <v>#REF!</v>
      </c>
      <c r="BJ172" t="e">
        <f>IF(#REF!,"AAAAAG9q9j0=",0)</f>
        <v>#REF!</v>
      </c>
      <c r="BK172" t="e">
        <f>IF(#REF!,"AAAAAG9q9j4=",0)</f>
        <v>#REF!</v>
      </c>
      <c r="BL172" t="e">
        <f>IF(#REF!,"AAAAAG9q9j8=",0)</f>
        <v>#REF!</v>
      </c>
      <c r="BM172" t="e">
        <f>IF(#REF!,"AAAAAG9q9kA=",0)</f>
        <v>#REF!</v>
      </c>
      <c r="BN172" t="e">
        <f>AND(#REF!,"AAAAAG9q9kE=")</f>
        <v>#REF!</v>
      </c>
      <c r="BO172" t="e">
        <f>IF(#REF!,"AAAAAG9q9kI=",0)</f>
        <v>#REF!</v>
      </c>
      <c r="BP172" t="s">
        <v>1</v>
      </c>
    </row>
    <row r="173" spans="1:256" x14ac:dyDescent="0.2">
      <c r="A173" t="e">
        <f>AND(Liste!#REF!,"AAAAAD/gNwA=")</f>
        <v>#REF!</v>
      </c>
      <c r="B173" t="e">
        <f>AND(Liste!#REF!,"AAAAAD/gNwE=")</f>
        <v>#REF!</v>
      </c>
      <c r="C173" t="e">
        <f>AND(Liste!#REF!,"AAAAAD/gNwI=")</f>
        <v>#REF!</v>
      </c>
      <c r="D173" t="e">
        <f>AND(Liste!#REF!,"AAAAAD/gNwM=")</f>
        <v>#REF!</v>
      </c>
      <c r="E173" t="e">
        <f>AND(Liste!#REF!,"AAAAAD/gNwQ=")</f>
        <v>#REF!</v>
      </c>
      <c r="F173" t="e">
        <f>AND(Liste!#REF!,"AAAAAD/gNwU=")</f>
        <v>#REF!</v>
      </c>
      <c r="G173" t="e">
        <f>AND(Liste!#REF!,"AAAAAD/gNwY=")</f>
        <v>#REF!</v>
      </c>
      <c r="H173" t="e">
        <f>AND(Liste!#REF!,"AAAAAD/gNwc=")</f>
        <v>#REF!</v>
      </c>
      <c r="I173" t="e">
        <f>AND(Liste!#REF!,"AAAAAD/gNwg=")</f>
        <v>#REF!</v>
      </c>
      <c r="J173" t="e">
        <f>AND(Liste!#REF!,"AAAAAD/gNwk=")</f>
        <v>#REF!</v>
      </c>
      <c r="K173" t="e">
        <f>AND(Liste!#REF!,"AAAAAD/gNwo=")</f>
        <v>#REF!</v>
      </c>
      <c r="L173" t="e">
        <f>AND(Liste!#REF!,"AAAAAD/gNws=")</f>
        <v>#REF!</v>
      </c>
      <c r="M173" t="e">
        <f>AND(Liste!#REF!,"AAAAAD/gNww=")</f>
        <v>#REF!</v>
      </c>
      <c r="N173" t="e">
        <f>AND(Liste!#REF!,"AAAAAD/gNw0=")</f>
        <v>#REF!</v>
      </c>
      <c r="O173" t="e">
        <f>AND(Liste!#REF!,"AAAAAD/gNw4=")</f>
        <v>#REF!</v>
      </c>
      <c r="P173" t="e">
        <f>AND(Liste!#REF!,"AAAAAD/gNw8=")</f>
        <v>#REF!</v>
      </c>
      <c r="Q173" t="e">
        <f>AND(Liste!#REF!,"AAAAAD/gNxA=")</f>
        <v>#REF!</v>
      </c>
      <c r="R173" t="e">
        <f>AND(Liste!#REF!,"AAAAAD/gNxE=")</f>
        <v>#REF!</v>
      </c>
      <c r="S173" t="e">
        <f>AND(Liste!#REF!,"AAAAAD/gNxI=")</f>
        <v>#REF!</v>
      </c>
      <c r="T173" t="e">
        <f>AND(Liste!#REF!,"AAAAAD/gNxM=")</f>
        <v>#REF!</v>
      </c>
      <c r="U173" t="e">
        <f>AND(Liste!#REF!,"AAAAAD/gNxQ=")</f>
        <v>#REF!</v>
      </c>
      <c r="V173" t="e">
        <f>AND(Liste!#REF!,"AAAAAD/gNxU=")</f>
        <v>#REF!</v>
      </c>
      <c r="W173" t="e">
        <f>AND(Liste!#REF!,"AAAAAD/gNxY=")</f>
        <v>#REF!</v>
      </c>
      <c r="X173" t="e">
        <f>AND(Liste!#REF!,"AAAAAD/gNxc=")</f>
        <v>#REF!</v>
      </c>
      <c r="Y173" t="e">
        <f>AND(Liste!#REF!,"AAAAAD/gNxg=")</f>
        <v>#REF!</v>
      </c>
      <c r="Z173" t="e">
        <f>AND(Liste!#REF!,"AAAAAD/gNxk=")</f>
        <v>#REF!</v>
      </c>
      <c r="AA173" t="e">
        <f>AND(Liste!#REF!,"AAAAAD/gNxo=")</f>
        <v>#REF!</v>
      </c>
      <c r="AB173" t="e">
        <f>AND(Liste!#REF!,"AAAAAD/gNxs=")</f>
        <v>#REF!</v>
      </c>
      <c r="AC173" t="e">
        <f>AND(Liste!#REF!,"AAAAAD/gNxw=")</f>
        <v>#REF!</v>
      </c>
      <c r="AD173" t="e">
        <f>AND(Liste!#REF!,"AAAAAD/gNx0=")</f>
        <v>#REF!</v>
      </c>
      <c r="AE173" t="e">
        <f>AND(Liste!#REF!,"AAAAAD/gNx4=")</f>
        <v>#REF!</v>
      </c>
      <c r="AF173" t="e">
        <f>AND(Liste!#REF!,"AAAAAD/gNx8=")</f>
        <v>#REF!</v>
      </c>
      <c r="AG173" t="e">
        <f>AND(Liste!#REF!,"AAAAAD/gNyA=")</f>
        <v>#REF!</v>
      </c>
      <c r="AH173" t="e">
        <f>AND(Liste!#REF!,"AAAAAD/gNyE=")</f>
        <v>#REF!</v>
      </c>
      <c r="AI173" t="e">
        <f>AND(Liste!#REF!,"AAAAAD/gNyI=")</f>
        <v>#REF!</v>
      </c>
      <c r="AJ173" t="e">
        <f>AND(Liste!#REF!,"AAAAAD/gNyM=")</f>
        <v>#REF!</v>
      </c>
      <c r="AK173" t="e">
        <f>AND(Liste!#REF!,"AAAAAD/gNyQ=")</f>
        <v>#REF!</v>
      </c>
      <c r="AL173" t="e">
        <f>AND(Liste!#REF!,"AAAAAD/gNyU=")</f>
        <v>#REF!</v>
      </c>
      <c r="AM173" t="e">
        <f>AND(Liste!#REF!,"AAAAAD/gNyY=")</f>
        <v>#REF!</v>
      </c>
      <c r="AN173" t="e">
        <f>AND(Liste!#REF!,"AAAAAD/gNyc=")</f>
        <v>#REF!</v>
      </c>
      <c r="AO173" t="e">
        <f>AND(Liste!#REF!,"AAAAAD/gNyg=")</f>
        <v>#REF!</v>
      </c>
      <c r="AP173" t="e">
        <f>AND(Liste!#REF!,"AAAAAD/gNyk=")</f>
        <v>#REF!</v>
      </c>
      <c r="AQ173" t="e">
        <f>AND(Liste!#REF!,"AAAAAD/gNyo=")</f>
        <v>#REF!</v>
      </c>
      <c r="AR173" t="e">
        <f>AND(Liste!#REF!,"AAAAAD/gNys=")</f>
        <v>#REF!</v>
      </c>
      <c r="AS173" t="e">
        <f>AND(Liste!#REF!,"AAAAAD/gNyw=")</f>
        <v>#REF!</v>
      </c>
      <c r="AT173" t="e">
        <f>AND(Liste!#REF!,"AAAAAD/gNy0=")</f>
        <v>#REF!</v>
      </c>
      <c r="AU173" t="e">
        <f>AND(Liste!#REF!,"AAAAAD/gNy4=")</f>
        <v>#REF!</v>
      </c>
      <c r="AV173" t="e">
        <f>AND(Liste!#REF!,"AAAAAD/gNy8=")</f>
        <v>#REF!</v>
      </c>
      <c r="AW173" t="e">
        <f>AND(Liste!#REF!,"AAAAAD/gNzA=")</f>
        <v>#REF!</v>
      </c>
      <c r="AX173" t="e">
        <f>AND(Liste!#REF!,"AAAAAD/gNzE=")</f>
        <v>#REF!</v>
      </c>
      <c r="AY173" t="e">
        <f>AND(Liste!#REF!,"AAAAAD/gNzI=")</f>
        <v>#REF!</v>
      </c>
      <c r="AZ173" t="e">
        <f>AND(Liste!#REF!,"AAAAAD/gNzM=")</f>
        <v>#REF!</v>
      </c>
      <c r="BA173" t="e">
        <f>AND(Liste!#REF!,"AAAAAD/gNzQ=")</f>
        <v>#REF!</v>
      </c>
      <c r="BB173" t="e">
        <f>AND(Liste!#REF!,"AAAAAD/gNzU=")</f>
        <v>#REF!</v>
      </c>
      <c r="BC173" t="e">
        <f>AND(Liste!#REF!,"AAAAAD/gNzY=")</f>
        <v>#REF!</v>
      </c>
      <c r="BD173" t="e">
        <f>AND(Liste!#REF!,"AAAAAD/gNzc=")</f>
        <v>#REF!</v>
      </c>
      <c r="BE173" t="e">
        <f>AND(Liste!#REF!,"AAAAAD/gNzg=")</f>
        <v>#REF!</v>
      </c>
      <c r="BF173" t="e">
        <f>AND(Liste!#REF!,"AAAAAD/gNzk=")</f>
        <v>#REF!</v>
      </c>
      <c r="BG173" t="e">
        <f>AND(Liste!#REF!,"AAAAAD/gNzo=")</f>
        <v>#REF!</v>
      </c>
      <c r="BH173" t="e">
        <f>AND(Liste!#REF!,"AAAAAD/gNzs=")</f>
        <v>#REF!</v>
      </c>
      <c r="BI173" t="e">
        <f>AND(Liste!#REF!,"AAAAAD/gNzw=")</f>
        <v>#REF!</v>
      </c>
      <c r="BJ173" t="e">
        <f>AND(Liste!#REF!,"AAAAAD/gNz0=")</f>
        <v>#REF!</v>
      </c>
      <c r="BK173" t="e">
        <f>AND(Liste!#REF!,"AAAAAD/gNz4=")</f>
        <v>#REF!</v>
      </c>
      <c r="BL173" t="e">
        <f>AND(Liste!#REF!,"AAAAAD/gNz8=")</f>
        <v>#REF!</v>
      </c>
      <c r="BM173" t="e">
        <f>AND(Liste!#REF!,"AAAAAD/gN0A=")</f>
        <v>#REF!</v>
      </c>
      <c r="BN173" t="e">
        <f>AND(Liste!#REF!,"AAAAAD/gN0E=")</f>
        <v>#REF!</v>
      </c>
      <c r="BO173" t="e">
        <f>AND(Liste!#REF!,"AAAAAD/gN0I=")</f>
        <v>#REF!</v>
      </c>
      <c r="BP173" t="e">
        <f>AND(Liste!#REF!,"AAAAAD/gN0M=")</f>
        <v>#REF!</v>
      </c>
      <c r="BQ173" t="e">
        <f>AND(Liste!#REF!,"AAAAAD/gN0Q=")</f>
        <v>#REF!</v>
      </c>
      <c r="BR173" t="e">
        <f>AND(Liste!#REF!,"AAAAAD/gN0U=")</f>
        <v>#REF!</v>
      </c>
      <c r="BS173" t="e">
        <f>AND(Liste!#REF!,"AAAAAD/gN0Y=")</f>
        <v>#REF!</v>
      </c>
      <c r="BT173" t="e">
        <f>AND(Liste!#REF!,"AAAAAD/gN0c=")</f>
        <v>#REF!</v>
      </c>
      <c r="BU173" t="e">
        <f>AND(Liste!#REF!,"AAAAAD/gN0g=")</f>
        <v>#REF!</v>
      </c>
      <c r="BV173" t="e">
        <f>AND(Liste!#REF!,"AAAAAD/gN0k=")</f>
        <v>#REF!</v>
      </c>
      <c r="BW173" t="e">
        <f>AND(Liste!#REF!,"AAAAAD/gN0o=")</f>
        <v>#REF!</v>
      </c>
      <c r="BX173" t="e">
        <f>AND(Liste!#REF!,"AAAAAD/gN0s=")</f>
        <v>#REF!</v>
      </c>
      <c r="BY173" t="e">
        <f>AND(Liste!#REF!,"AAAAAD/gN0w=")</f>
        <v>#REF!</v>
      </c>
      <c r="BZ173" t="e">
        <f>AND(Liste!#REF!,"AAAAAD/gN00=")</f>
        <v>#REF!</v>
      </c>
      <c r="CA173" t="e">
        <f>AND(Liste!#REF!,"AAAAAD/gN04=")</f>
        <v>#REF!</v>
      </c>
      <c r="CB173" t="e">
        <f>AND(Liste!#REF!,"AAAAAD/gN08=")</f>
        <v>#REF!</v>
      </c>
      <c r="CC173" t="e">
        <f>AND(Liste!#REF!,"AAAAAD/gN1A=")</f>
        <v>#REF!</v>
      </c>
      <c r="CD173" t="e">
        <f>AND(Liste!#REF!,"AAAAAD/gN1E=")</f>
        <v>#REF!</v>
      </c>
      <c r="CE173" t="e">
        <f>AND(Liste!#REF!,"AAAAAD/gN1I=")</f>
        <v>#REF!</v>
      </c>
      <c r="CF173" t="e">
        <f>AND(Liste!#REF!,"AAAAAD/gN1M=")</f>
        <v>#REF!</v>
      </c>
      <c r="CG173" t="e">
        <f>AND(Liste!#REF!,"AAAAAD/gN1Q=")</f>
        <v>#REF!</v>
      </c>
      <c r="CH173" t="e">
        <f>AND(Liste!#REF!,"AAAAAD/gN1U=")</f>
        <v>#REF!</v>
      </c>
      <c r="CI173" t="e">
        <f>AND(Liste!#REF!,"AAAAAD/gN1Y=")</f>
        <v>#REF!</v>
      </c>
      <c r="CJ173" t="e">
        <f>AND(Liste!#REF!,"AAAAAD/gN1c=")</f>
        <v>#REF!</v>
      </c>
      <c r="CK173" t="e">
        <f>AND(Liste!#REF!,"AAAAAD/gN1g=")</f>
        <v>#REF!</v>
      </c>
      <c r="CL173" t="e">
        <f>AND(Liste!#REF!,"AAAAAD/gN1k=")</f>
        <v>#REF!</v>
      </c>
      <c r="CM173" t="e">
        <f>AND(Liste!#REF!,"AAAAAD/gN1o=")</f>
        <v>#REF!</v>
      </c>
      <c r="CN173" t="e">
        <f>AND(Liste!#REF!,"AAAAAD/gN1s=")</f>
        <v>#REF!</v>
      </c>
      <c r="CO173" t="e">
        <f>AND(Liste!#REF!,"AAAAAD/gN1w=")</f>
        <v>#REF!</v>
      </c>
      <c r="CP173" t="e">
        <f>AND(Liste!#REF!,"AAAAAD/gN10=")</f>
        <v>#REF!</v>
      </c>
      <c r="CQ173" t="e">
        <f>AND(Liste!#REF!,"AAAAAD/gN14=")</f>
        <v>#REF!</v>
      </c>
      <c r="CR173" t="e">
        <f>AND(Liste!#REF!,"AAAAAD/gN18=")</f>
        <v>#REF!</v>
      </c>
      <c r="CS173" t="e">
        <f>AND(Liste!#REF!,"AAAAAD/gN2A=")</f>
        <v>#REF!</v>
      </c>
      <c r="CT173" t="e">
        <f>AND(Liste!#REF!,"AAAAAD/gN2E=")</f>
        <v>#REF!</v>
      </c>
      <c r="CU173" t="e">
        <f>AND(Liste!#REF!,"AAAAAD/gN2I=")</f>
        <v>#REF!</v>
      </c>
      <c r="CV173" t="e">
        <f>AND(Liste!#REF!,"AAAAAD/gN2M=")</f>
        <v>#REF!</v>
      </c>
      <c r="CW173" t="e">
        <f>AND(Liste!#REF!,"AAAAAD/gN2Q=")</f>
        <v>#REF!</v>
      </c>
      <c r="CX173" t="e">
        <f>AND(Liste!#REF!,"AAAAAD/gN2U=")</f>
        <v>#REF!</v>
      </c>
      <c r="CY173" t="e">
        <f>AND(Liste!#REF!,"AAAAAD/gN2Y=")</f>
        <v>#REF!</v>
      </c>
      <c r="CZ173" t="e">
        <f>AND(Liste!#REF!,"AAAAAD/gN2c=")</f>
        <v>#REF!</v>
      </c>
      <c r="DA173" t="e">
        <f>AND(Liste!#REF!,"AAAAAD/gN2g=")</f>
        <v>#REF!</v>
      </c>
      <c r="DB173" t="e">
        <f>AND(Liste!#REF!,"AAAAAD/gN2k=")</f>
        <v>#REF!</v>
      </c>
      <c r="DC173" t="e">
        <f>AND(Liste!#REF!,"AAAAAD/gN2o=")</f>
        <v>#REF!</v>
      </c>
      <c r="DD173" t="e">
        <f>AND(Liste!#REF!,"AAAAAD/gN2s=")</f>
        <v>#REF!</v>
      </c>
      <c r="DE173" t="e">
        <f>AND(Liste!#REF!,"AAAAAD/gN2w=")</f>
        <v>#REF!</v>
      </c>
      <c r="DF173" t="e">
        <f>AND(Liste!#REF!,"AAAAAD/gN20=")</f>
        <v>#REF!</v>
      </c>
      <c r="DG173" t="e">
        <f>AND(Liste!#REF!,"AAAAAD/gN24=")</f>
        <v>#REF!</v>
      </c>
      <c r="DH173" t="e">
        <f>AND(Liste!#REF!,"AAAAAD/gN28=")</f>
        <v>#REF!</v>
      </c>
      <c r="DI173" t="e">
        <f>AND(Liste!#REF!,"AAAAAD/gN3A=")</f>
        <v>#REF!</v>
      </c>
      <c r="DJ173" t="e">
        <f>AND(Liste!#REF!,"AAAAAD/gN3E=")</f>
        <v>#REF!</v>
      </c>
      <c r="DK173" t="e">
        <f>AND(Liste!#REF!,"AAAAAD/gN3I=")</f>
        <v>#REF!</v>
      </c>
      <c r="DL173" t="e">
        <f>AND(Liste!#REF!,"AAAAAD/gN3M=")</f>
        <v>#REF!</v>
      </c>
      <c r="DM173" t="e">
        <f>AND(Liste!#REF!,"AAAAAD/gN3Q=")</f>
        <v>#REF!</v>
      </c>
      <c r="DN173" t="e">
        <f>AND(Liste!#REF!,"AAAAAD/gN3U=")</f>
        <v>#REF!</v>
      </c>
      <c r="DO173" t="e">
        <f>AND(Liste!#REF!,"AAAAAD/gN3Y=")</f>
        <v>#REF!</v>
      </c>
      <c r="DP173" t="e">
        <f>AND(Liste!#REF!,"AAAAAD/gN3c=")</f>
        <v>#REF!</v>
      </c>
      <c r="DQ173" t="e">
        <f>AND(Liste!#REF!,"AAAAAD/gN3g=")</f>
        <v>#REF!</v>
      </c>
      <c r="DR173" t="e">
        <f>AND(Liste!#REF!,"AAAAAD/gN3k=")</f>
        <v>#REF!</v>
      </c>
      <c r="DS173" t="e">
        <f>AND(Liste!#REF!,"AAAAAD/gN3o=")</f>
        <v>#REF!</v>
      </c>
      <c r="DT173" t="e">
        <f>AND(Liste!#REF!,"AAAAAD/gN3s=")</f>
        <v>#REF!</v>
      </c>
      <c r="DU173" t="e">
        <f>AND(Liste!#REF!,"AAAAAD/gN3w=")</f>
        <v>#REF!</v>
      </c>
      <c r="DV173" t="e">
        <f>AND(Liste!#REF!,"AAAAAD/gN30=")</f>
        <v>#REF!</v>
      </c>
      <c r="DW173" t="e">
        <f>AND(Liste!#REF!,"AAAAAD/gN34=")</f>
        <v>#REF!</v>
      </c>
      <c r="DX173" t="e">
        <f>AND(Liste!#REF!,"AAAAAD/gN38=")</f>
        <v>#REF!</v>
      </c>
      <c r="DY173" t="e">
        <f>AND(Liste!#REF!,"AAAAAD/gN4A=")</f>
        <v>#REF!</v>
      </c>
      <c r="DZ173" t="e">
        <f>AND(Liste!#REF!,"AAAAAD/gN4E=")</f>
        <v>#REF!</v>
      </c>
      <c r="EA173" t="e">
        <f>AND(Liste!#REF!,"AAAAAD/gN4I=")</f>
        <v>#REF!</v>
      </c>
      <c r="EB173" t="e">
        <f>AND(Liste!#REF!,"AAAAAD/gN4M=")</f>
        <v>#REF!</v>
      </c>
      <c r="EC173" t="e">
        <f>AND(Liste!#REF!,"AAAAAD/gN4Q=")</f>
        <v>#REF!</v>
      </c>
      <c r="ED173" t="e">
        <f>AND(Liste!#REF!,"AAAAAD/gN4U=")</f>
        <v>#REF!</v>
      </c>
      <c r="EE173" t="e">
        <f>AND(Liste!#REF!,"AAAAAD/gN4Y=")</f>
        <v>#REF!</v>
      </c>
      <c r="EF173" t="e">
        <f>AND(Liste!#REF!,"AAAAAD/gN4c=")</f>
        <v>#REF!</v>
      </c>
      <c r="EG173" t="e">
        <f>AND(Liste!#REF!,"AAAAAD/gN4g=")</f>
        <v>#REF!</v>
      </c>
      <c r="EH173" t="e">
        <f>AND(Liste!#REF!,"AAAAAD/gN4k=")</f>
        <v>#REF!</v>
      </c>
      <c r="EI173" t="e">
        <f>AND(Liste!#REF!,"AAAAAD/gN4o=")</f>
        <v>#REF!</v>
      </c>
      <c r="EJ173" t="e">
        <f>AND(Liste!#REF!,"AAAAAD/gN4s=")</f>
        <v>#REF!</v>
      </c>
      <c r="EK173" t="e">
        <f>AND(Liste!#REF!,"AAAAAD/gN4w=")</f>
        <v>#REF!</v>
      </c>
      <c r="EL173" t="e">
        <f>AND(Liste!#REF!,"AAAAAD/gN40=")</f>
        <v>#REF!</v>
      </c>
      <c r="EM173" t="e">
        <f>AND(Liste!#REF!,"AAAAAD/gN44=")</f>
        <v>#REF!</v>
      </c>
      <c r="EN173" t="e">
        <f>AND(Liste!#REF!,"AAAAAD/gN48=")</f>
        <v>#REF!</v>
      </c>
      <c r="EO173" t="e">
        <f>AND(Liste!#REF!,"AAAAAD/gN5A=")</f>
        <v>#REF!</v>
      </c>
      <c r="EP173" t="e">
        <f>AND(Liste!#REF!,"AAAAAD/gN5E=")</f>
        <v>#REF!</v>
      </c>
      <c r="EQ173" t="e">
        <f>AND(Liste!#REF!,"AAAAAD/gN5I=")</f>
        <v>#REF!</v>
      </c>
      <c r="ER173" t="e">
        <f>AND(Liste!#REF!,"AAAAAD/gN5M=")</f>
        <v>#REF!</v>
      </c>
      <c r="ES173" t="e">
        <f>AND(Liste!#REF!,"AAAAAD/gN5Q=")</f>
        <v>#REF!</v>
      </c>
      <c r="ET173" t="e">
        <f>AND(Liste!#REF!,"AAAAAD/gN5U=")</f>
        <v>#REF!</v>
      </c>
      <c r="EU173" t="e">
        <f>AND(Liste!#REF!,"AAAAAD/gN5Y=")</f>
        <v>#REF!</v>
      </c>
      <c r="EV173" t="e">
        <f>AND(Liste!#REF!,"AAAAAD/gN5c=")</f>
        <v>#REF!</v>
      </c>
      <c r="EW173" t="e">
        <f>AND(Liste!#REF!,"AAAAAD/gN5g=")</f>
        <v>#REF!</v>
      </c>
      <c r="EX173" t="e">
        <f>AND(Liste!#REF!,"AAAAAD/gN5k=")</f>
        <v>#REF!</v>
      </c>
      <c r="EY173" t="e">
        <f>AND(Liste!#REF!,"AAAAAD/gN5o=")</f>
        <v>#REF!</v>
      </c>
      <c r="EZ173" t="e">
        <f>AND(Liste!#REF!,"AAAAAD/gN5s=")</f>
        <v>#REF!</v>
      </c>
      <c r="FA173" t="e">
        <f>AND(Liste!#REF!,"AAAAAD/gN5w=")</f>
        <v>#REF!</v>
      </c>
      <c r="FB173" t="e">
        <f>AND(Liste!#REF!,"AAAAAD/gN50=")</f>
        <v>#REF!</v>
      </c>
      <c r="FC173" t="e">
        <f>AND(Liste!#REF!,"AAAAAD/gN54=")</f>
        <v>#REF!</v>
      </c>
      <c r="FD173" t="e">
        <f>AND(Liste!C114,"AAAAAD/gN58=")</f>
        <v>#VALUE!</v>
      </c>
      <c r="FE173" t="e">
        <f>AND(Liste!D114,"AAAAAD/gN6A=")</f>
        <v>#VALUE!</v>
      </c>
      <c r="FF173" t="e">
        <f>AND(Liste!E114,"AAAAAD/gN6E=")</f>
        <v>#VALUE!</v>
      </c>
      <c r="FG173" t="e">
        <f>AND(Liste!#REF!,"AAAAAD/gN6I=")</f>
        <v>#REF!</v>
      </c>
      <c r="FH173" t="e">
        <f>AND(Liste!#REF!,"AAAAAD/gN6M=")</f>
        <v>#REF!</v>
      </c>
      <c r="FI173" t="e">
        <f>AND(Liste!#REF!,"AAAAAD/gN6Q=")</f>
        <v>#REF!</v>
      </c>
      <c r="FJ173" t="e">
        <f>AND(Liste!#REF!,"AAAAAD/gN6U=")</f>
        <v>#REF!</v>
      </c>
      <c r="FK173" t="e">
        <f>AND(Liste!#REF!,"AAAAAD/gN6Y=")</f>
        <v>#REF!</v>
      </c>
      <c r="FL173" t="e">
        <f>AND(Liste!#REF!,"AAAAAD/gN6c=")</f>
        <v>#REF!</v>
      </c>
      <c r="FM173" t="e">
        <f>AND(Liste!#REF!,"AAAAAD/gN6g=")</f>
        <v>#REF!</v>
      </c>
      <c r="FN173" t="e">
        <f>AND(Liste!#REF!,"AAAAAD/gN6k=")</f>
        <v>#REF!</v>
      </c>
      <c r="FO173" t="e">
        <f>AND(Liste!#REF!,"AAAAAD/gN6o=")</f>
        <v>#REF!</v>
      </c>
      <c r="FP173" t="e">
        <f>AND(Liste!#REF!,"AAAAAD/gN6s=")</f>
        <v>#REF!</v>
      </c>
      <c r="FQ173" t="e">
        <f>AND(Liste!#REF!,"AAAAAD/gN6w=")</f>
        <v>#REF!</v>
      </c>
      <c r="FR173" t="e">
        <f>AND(Liste!#REF!,"AAAAAD/gN60=")</f>
        <v>#REF!</v>
      </c>
      <c r="FS173" t="e">
        <f>AND(Liste!#REF!,"AAAAAD/gN64=")</f>
        <v>#REF!</v>
      </c>
      <c r="FT173" t="e">
        <f>AND(Liste!#REF!,"AAAAAD/gN68=")</f>
        <v>#REF!</v>
      </c>
      <c r="FU173" t="e">
        <f>AND(Liste!#REF!,"AAAAAD/gN7A=")</f>
        <v>#REF!</v>
      </c>
      <c r="FV173" t="e">
        <f>AND(Liste!#REF!,"AAAAAD/gN7E=")</f>
        <v>#REF!</v>
      </c>
      <c r="FW173" t="e">
        <f>AND(Liste!#REF!,"AAAAAD/gN7I=")</f>
        <v>#REF!</v>
      </c>
      <c r="FX173" t="e">
        <f>AND(Liste!#REF!,"AAAAAD/gN7M=")</f>
        <v>#REF!</v>
      </c>
      <c r="FY173" t="e">
        <f>AND(Liste!#REF!,"AAAAAD/gN7Q=")</f>
        <v>#REF!</v>
      </c>
      <c r="FZ173" t="e">
        <f>AND(Liste!#REF!,"AAAAAD/gN7U=")</f>
        <v>#REF!</v>
      </c>
      <c r="GA173" t="e">
        <f>AND(Liste!#REF!,"AAAAAD/gN7Y=")</f>
        <v>#REF!</v>
      </c>
      <c r="GB173" t="e">
        <f>AND(Liste!#REF!,"AAAAAD/gN7c=")</f>
        <v>#REF!</v>
      </c>
      <c r="GC173" t="e">
        <f>AND(Liste!#REF!,"AAAAAD/gN7g=")</f>
        <v>#REF!</v>
      </c>
      <c r="GD173" t="e">
        <f>AND(Liste!#REF!,"AAAAAD/gN7k=")</f>
        <v>#REF!</v>
      </c>
      <c r="GE173" t="e">
        <f>AND(Liste!#REF!,"AAAAAD/gN7o=")</f>
        <v>#REF!</v>
      </c>
      <c r="GF173" t="e">
        <f>AND(Liste!#REF!,"AAAAAD/gN7s=")</f>
        <v>#REF!</v>
      </c>
      <c r="GG173" t="e">
        <f>AND(Liste!#REF!,"AAAAAD/gN7w=")</f>
        <v>#REF!</v>
      </c>
      <c r="GH173" t="e">
        <f>AND(Liste!#REF!,"AAAAAD/gN70=")</f>
        <v>#REF!</v>
      </c>
      <c r="GI173" t="e">
        <f>AND(Liste!#REF!,"AAAAAD/gN74=")</f>
        <v>#REF!</v>
      </c>
      <c r="GJ173" t="e">
        <f>AND(Liste!#REF!,"AAAAAD/gN78=")</f>
        <v>#REF!</v>
      </c>
      <c r="GK173" t="e">
        <f>AND(Liste!#REF!,"AAAAAD/gN8A=")</f>
        <v>#REF!</v>
      </c>
      <c r="GL173" t="e">
        <f>AND(Liste!#REF!,"AAAAAD/gN8E=")</f>
        <v>#REF!</v>
      </c>
      <c r="GM173" t="e">
        <f>AND(Liste!#REF!,"AAAAAD/gN8I=")</f>
        <v>#REF!</v>
      </c>
      <c r="GN173" t="e">
        <f>AND(Liste!#REF!,"AAAAAD/gN8M=")</f>
        <v>#REF!</v>
      </c>
      <c r="GO173" t="e">
        <f>AND(Liste!#REF!,"AAAAAD/gN8Q=")</f>
        <v>#REF!</v>
      </c>
      <c r="GP173" t="e">
        <f>AND(Liste!#REF!,"AAAAAD/gN8U=")</f>
        <v>#REF!</v>
      </c>
      <c r="GQ173" t="e">
        <f>AND(Liste!#REF!,"AAAAAD/gN8Y=")</f>
        <v>#REF!</v>
      </c>
      <c r="GR173" t="e">
        <f>AND(Liste!#REF!,"AAAAAD/gN8c=")</f>
        <v>#REF!</v>
      </c>
      <c r="GS173" t="e">
        <f>AND(Liste!#REF!,"AAAAAD/gN8g=")</f>
        <v>#REF!</v>
      </c>
      <c r="GT173" t="e">
        <f>AND(Liste!#REF!,"AAAAAD/gN8k=")</f>
        <v>#REF!</v>
      </c>
      <c r="GU173" t="e">
        <f>AND(Liste!#REF!,"AAAAAD/gN8o=")</f>
        <v>#REF!</v>
      </c>
      <c r="GV173" t="e">
        <f>AND(Liste!#REF!,"AAAAAD/gN8s=")</f>
        <v>#REF!</v>
      </c>
      <c r="GW173" t="e">
        <f>AND(Liste!#REF!,"AAAAAD/gN8w=")</f>
        <v>#REF!</v>
      </c>
      <c r="GX173" t="e">
        <f>AND(Liste!#REF!,"AAAAAD/gN80=")</f>
        <v>#REF!</v>
      </c>
      <c r="GY173" t="e">
        <f>AND(Liste!#REF!,"AAAAAD/gN84=")</f>
        <v>#REF!</v>
      </c>
      <c r="GZ173" t="e">
        <f>AND(Liste!#REF!,"AAAAAD/gN88=")</f>
        <v>#REF!</v>
      </c>
      <c r="HA173" t="e">
        <f>AND(Liste!#REF!,"AAAAAD/gN9A=")</f>
        <v>#REF!</v>
      </c>
      <c r="HB173" t="e">
        <f>AND(Liste!#REF!,"AAAAAD/gN9E=")</f>
        <v>#REF!</v>
      </c>
      <c r="HC173" t="e">
        <f>AND(Liste!#REF!,"AAAAAD/gN9I=")</f>
        <v>#REF!</v>
      </c>
      <c r="HD173" t="e">
        <f>AND(Liste!#REF!,"AAAAAD/gN9M=")</f>
        <v>#REF!</v>
      </c>
      <c r="HE173" t="e">
        <f>AND(Liste!#REF!,"AAAAAD/gN9Q=")</f>
        <v>#REF!</v>
      </c>
      <c r="HF173" t="e">
        <f>AND(Liste!#REF!,"AAAAAD/gN9U=")</f>
        <v>#REF!</v>
      </c>
      <c r="HG173" t="e">
        <f>AND(Liste!#REF!,"AAAAAD/gN9Y=")</f>
        <v>#REF!</v>
      </c>
      <c r="HH173" t="e">
        <f>AND(Liste!#REF!,"AAAAAD/gN9c=")</f>
        <v>#REF!</v>
      </c>
      <c r="HI173" t="e">
        <f>AND(Liste!#REF!,"AAAAAD/gN9g=")</f>
        <v>#REF!</v>
      </c>
      <c r="HJ173" t="e">
        <f>AND(Liste!#REF!,"AAAAAD/gN9k=")</f>
        <v>#REF!</v>
      </c>
      <c r="HK173" t="e">
        <f>AND(Liste!#REF!,"AAAAAD/gN9o=")</f>
        <v>#REF!</v>
      </c>
      <c r="HL173" t="e">
        <f>AND(Liste!#REF!,"AAAAAD/gN9s=")</f>
        <v>#REF!</v>
      </c>
      <c r="HM173" t="e">
        <f>AND(Liste!#REF!,"AAAAAD/gN9w=")</f>
        <v>#REF!</v>
      </c>
      <c r="HN173" t="e">
        <f>AND(Liste!#REF!,"AAAAAD/gN90=")</f>
        <v>#REF!</v>
      </c>
      <c r="HO173" t="e">
        <f>AND(Liste!#REF!,"AAAAAD/gN94=")</f>
        <v>#REF!</v>
      </c>
      <c r="HP173" t="e">
        <f>AND(Liste!#REF!,"AAAAAD/gN98=")</f>
        <v>#REF!</v>
      </c>
      <c r="HQ173" t="e">
        <f>AND(Liste!#REF!,"AAAAAD/gN+A=")</f>
        <v>#REF!</v>
      </c>
      <c r="HR173" t="e">
        <f>AND(Liste!#REF!,"AAAAAD/gN+E=")</f>
        <v>#REF!</v>
      </c>
      <c r="HS173" t="e">
        <f>AND(Liste!#REF!,"AAAAAD/gN+I=")</f>
        <v>#REF!</v>
      </c>
      <c r="HT173" t="e">
        <f>AND(Liste!#REF!,"AAAAAD/gN+M=")</f>
        <v>#REF!</v>
      </c>
      <c r="HU173" t="e">
        <f>AND(Liste!#REF!,"AAAAAD/gN+Q=")</f>
        <v>#REF!</v>
      </c>
      <c r="HV173" t="e">
        <f>AND(Liste!#REF!,"AAAAAD/gN+U=")</f>
        <v>#REF!</v>
      </c>
      <c r="HW173" t="e">
        <f>AND(Liste!#REF!,"AAAAAD/gN+Y=")</f>
        <v>#REF!</v>
      </c>
      <c r="HX173" t="e">
        <f>AND(Liste!#REF!,"AAAAAD/gN+c=")</f>
        <v>#REF!</v>
      </c>
      <c r="HY173" t="e">
        <f>AND(Liste!#REF!,"AAAAAD/gN+g=")</f>
        <v>#REF!</v>
      </c>
      <c r="HZ173" t="e">
        <f>AND(Liste!#REF!,"AAAAAD/gN+k=")</f>
        <v>#REF!</v>
      </c>
      <c r="IA173" t="e">
        <f>AND(Liste!#REF!,"AAAAAD/gN+o=")</f>
        <v>#REF!</v>
      </c>
      <c r="IB173" t="e">
        <f>AND(Liste!#REF!,"AAAAAD/gN+s=")</f>
        <v>#REF!</v>
      </c>
      <c r="IC173" t="e">
        <f>AND(Liste!#REF!,"AAAAAD/gN+w=")</f>
        <v>#REF!</v>
      </c>
      <c r="ID173" t="e">
        <f>AND(Liste!#REF!,"AAAAAD/gN+0=")</f>
        <v>#REF!</v>
      </c>
      <c r="IE173" t="e">
        <f>AND(Liste!#REF!,"AAAAAD/gN+4=")</f>
        <v>#REF!</v>
      </c>
      <c r="IF173" t="e">
        <f>AND(Liste!#REF!,"AAAAAD/gN+8=")</f>
        <v>#REF!</v>
      </c>
      <c r="IG173" t="e">
        <f>AND(Liste!#REF!,"AAAAAD/gN/A=")</f>
        <v>#REF!</v>
      </c>
      <c r="IH173" t="e">
        <f>AND(Liste!#REF!,"AAAAAD/gN/E=")</f>
        <v>#REF!</v>
      </c>
      <c r="II173" t="e">
        <f>AND(Liste!#REF!,"AAAAAD/gN/I=")</f>
        <v>#REF!</v>
      </c>
      <c r="IJ173" t="e">
        <f>AND(Liste!#REF!,"AAAAAD/gN/M=")</f>
        <v>#REF!</v>
      </c>
      <c r="IK173" t="e">
        <f>AND(Liste!#REF!,"AAAAAD/gN/Q=")</f>
        <v>#REF!</v>
      </c>
      <c r="IL173" t="e">
        <f>AND(Liste!#REF!,"AAAAAD/gN/U=")</f>
        <v>#REF!</v>
      </c>
      <c r="IM173" t="e">
        <f>AND(Liste!C142,"AAAAAD/gN/Y=")</f>
        <v>#VALUE!</v>
      </c>
      <c r="IN173" t="e">
        <f>AND(Liste!D142,"AAAAAD/gN/c=")</f>
        <v>#VALUE!</v>
      </c>
      <c r="IO173" t="e">
        <f>AND(Liste!E142,"AAAAAD/gN/g=")</f>
        <v>#VALUE!</v>
      </c>
      <c r="IP173" t="e">
        <f>AND(Liste!#REF!,"AAAAAD/gN/k=")</f>
        <v>#REF!</v>
      </c>
      <c r="IQ173" t="e">
        <f>AND(Liste!#REF!,"AAAAAD/gN/o=")</f>
        <v>#REF!</v>
      </c>
      <c r="IR173" t="e">
        <f>AND(Liste!#REF!,"AAAAAD/gN/s=")</f>
        <v>#REF!</v>
      </c>
      <c r="IS173" t="e">
        <f>AND(Liste!#REF!,"AAAAAD/gN/w=")</f>
        <v>#REF!</v>
      </c>
      <c r="IT173" t="e">
        <f>AND(Liste!#REF!,"AAAAAD/gN/0=")</f>
        <v>#REF!</v>
      </c>
      <c r="IU173" t="e">
        <f>AND(Liste!#REF!,"AAAAAD/gN/4=")</f>
        <v>#REF!</v>
      </c>
      <c r="IV173" t="e">
        <f>AND(Liste!#REF!,"AAAAAD/gN/8=")</f>
        <v>#REF!</v>
      </c>
    </row>
    <row r="174" spans="1:256" x14ac:dyDescent="0.2">
      <c r="A174" t="e">
        <f>AND(Liste!#REF!,"AAAAAH93/wA=")</f>
        <v>#REF!</v>
      </c>
      <c r="B174" t="e">
        <f>AND(Liste!#REF!,"AAAAAH93/wE=")</f>
        <v>#REF!</v>
      </c>
      <c r="C174" t="e">
        <f>AND(Liste!#REF!,"AAAAAH93/wI=")</f>
        <v>#REF!</v>
      </c>
      <c r="D174" t="e">
        <f>AND(Liste!#REF!,"AAAAAH93/wM=")</f>
        <v>#REF!</v>
      </c>
      <c r="E174" t="e">
        <f>AND(Liste!#REF!,"AAAAAH93/wQ=")</f>
        <v>#REF!</v>
      </c>
      <c r="F174" t="e">
        <f>AND(Liste!#REF!,"AAAAAH93/wU=")</f>
        <v>#REF!</v>
      </c>
      <c r="G174" t="e">
        <f>AND(Liste!#REF!,"AAAAAH93/wY=")</f>
        <v>#REF!</v>
      </c>
      <c r="H174" t="e">
        <f>AND(Liste!#REF!,"AAAAAH93/wc=")</f>
        <v>#REF!</v>
      </c>
      <c r="I174" t="e">
        <f>AND(Liste!#REF!,"AAAAAH93/wg=")</f>
        <v>#REF!</v>
      </c>
      <c r="J174" t="e">
        <f>AND(Liste!#REF!,"AAAAAH93/wk=")</f>
        <v>#REF!</v>
      </c>
      <c r="K174" t="e">
        <f>AND(Liste!#REF!,"AAAAAH93/wo=")</f>
        <v>#REF!</v>
      </c>
      <c r="L174" t="e">
        <f>AND(Liste!#REF!,"AAAAAH93/ws=")</f>
        <v>#REF!</v>
      </c>
      <c r="M174" t="e">
        <f>AND(Liste!#REF!,"AAAAAH93/ww=")</f>
        <v>#REF!</v>
      </c>
      <c r="N174" t="e">
        <f>AND(Liste!#REF!,"AAAAAH93/w0=")</f>
        <v>#REF!</v>
      </c>
      <c r="O174" t="e">
        <f>AND(Liste!#REF!,"AAAAAH93/w4=")</f>
        <v>#REF!</v>
      </c>
      <c r="P174" t="e">
        <f>AND(Liste!#REF!,"AAAAAH93/w8=")</f>
        <v>#REF!</v>
      </c>
      <c r="Q174" t="e">
        <f>AND(Liste!#REF!,"AAAAAH93/xA=")</f>
        <v>#REF!</v>
      </c>
      <c r="R174" t="e">
        <f>AND(Liste!#REF!,"AAAAAH93/xE=")</f>
        <v>#REF!</v>
      </c>
      <c r="S174" t="e">
        <f>AND(Liste!#REF!,"AAAAAH93/xI=")</f>
        <v>#REF!</v>
      </c>
      <c r="T174" t="e">
        <f>AND(Liste!#REF!,"AAAAAH93/xM=")</f>
        <v>#REF!</v>
      </c>
      <c r="U174" t="e">
        <f>AND(Liste!#REF!,"AAAAAH93/xQ=")</f>
        <v>#REF!</v>
      </c>
      <c r="V174" t="e">
        <f>AND(Liste!#REF!,"AAAAAH93/xU=")</f>
        <v>#REF!</v>
      </c>
      <c r="W174" t="e">
        <f>AND(Liste!#REF!,"AAAAAH93/xY=")</f>
        <v>#REF!</v>
      </c>
      <c r="X174" t="e">
        <f>AND(Liste!#REF!,"AAAAAH93/xc=")</f>
        <v>#REF!</v>
      </c>
      <c r="Y174" t="e">
        <f>AND(Liste!#REF!,"AAAAAH93/xg=")</f>
        <v>#REF!</v>
      </c>
      <c r="Z174" t="e">
        <f>AND(Liste!#REF!,"AAAAAH93/xk=")</f>
        <v>#REF!</v>
      </c>
      <c r="AA174" t="e">
        <f>AND(Liste!#REF!,"AAAAAH93/xo=")</f>
        <v>#REF!</v>
      </c>
      <c r="AB174" t="e">
        <f>AND(Liste!#REF!,"AAAAAH93/xs=")</f>
        <v>#REF!</v>
      </c>
      <c r="AC174" t="e">
        <f>AND(Liste!#REF!,"AAAAAH93/xw=")</f>
        <v>#REF!</v>
      </c>
      <c r="AD174" t="e">
        <f>AND(Liste!#REF!,"AAAAAH93/x0=")</f>
        <v>#REF!</v>
      </c>
      <c r="AE174" t="e">
        <f>AND(Liste!#REF!,"AAAAAH93/x4=")</f>
        <v>#REF!</v>
      </c>
      <c r="AF174" t="e">
        <f>AND(Liste!#REF!,"AAAAAH93/x8=")</f>
        <v>#REF!</v>
      </c>
      <c r="AG174" t="e">
        <f>AND(Liste!#REF!,"AAAAAH93/yA=")</f>
        <v>#REF!</v>
      </c>
      <c r="AH174" t="e">
        <f>AND(Liste!#REF!,"AAAAAH93/yE=")</f>
        <v>#REF!</v>
      </c>
      <c r="AI174" t="e">
        <f>AND(Liste!#REF!,"AAAAAH93/yI=")</f>
        <v>#REF!</v>
      </c>
      <c r="AJ174" t="e">
        <f>AND(Liste!#REF!,"AAAAAH93/yM=")</f>
        <v>#REF!</v>
      </c>
      <c r="AK174" t="e">
        <f>AND(Liste!#REF!,"AAAAAH93/yQ=")</f>
        <v>#REF!</v>
      </c>
      <c r="AL174" t="e">
        <f>AND(Liste!#REF!,"AAAAAH93/yU=")</f>
        <v>#REF!</v>
      </c>
      <c r="AM174" t="e">
        <f>AND(Liste!#REF!,"AAAAAH93/yY=")</f>
        <v>#REF!</v>
      </c>
      <c r="AN174" t="e">
        <f>AND(Liste!#REF!,"AAAAAH93/yc=")</f>
        <v>#REF!</v>
      </c>
      <c r="AO174" t="e">
        <f>AND(Liste!#REF!,"AAAAAH93/yg=")</f>
        <v>#REF!</v>
      </c>
      <c r="AP174" t="e">
        <f>AND(Liste!#REF!,"AAAAAH93/yk=")</f>
        <v>#REF!</v>
      </c>
      <c r="AQ174" t="e">
        <f>AND(Liste!#REF!,"AAAAAH93/yo=")</f>
        <v>#REF!</v>
      </c>
      <c r="AR174" t="e">
        <f>AND(Liste!#REF!,"AAAAAH93/ys=")</f>
        <v>#REF!</v>
      </c>
      <c r="AS174" t="e">
        <f>AND(Liste!#REF!,"AAAAAH93/yw=")</f>
        <v>#REF!</v>
      </c>
      <c r="AT174" t="e">
        <f>AND(Liste!#REF!,"AAAAAH93/y0=")</f>
        <v>#REF!</v>
      </c>
      <c r="AU174" t="e">
        <f>AND(Liste!#REF!,"AAAAAH93/y4=")</f>
        <v>#REF!</v>
      </c>
      <c r="AV174" t="e">
        <f>AND(Liste!#REF!,"AAAAAH93/y8=")</f>
        <v>#REF!</v>
      </c>
      <c r="AW174" t="e">
        <f>AND(Liste!#REF!,"AAAAAH93/zA=")</f>
        <v>#REF!</v>
      </c>
      <c r="AX174" t="e">
        <f>AND(Liste!#REF!,"AAAAAH93/zE=")</f>
        <v>#REF!</v>
      </c>
      <c r="AY174" t="e">
        <f>AND(Liste!#REF!,"AAAAAH93/zI=")</f>
        <v>#REF!</v>
      </c>
      <c r="AZ174" t="e">
        <f>AND(Liste!#REF!,"AAAAAH93/zM=")</f>
        <v>#REF!</v>
      </c>
      <c r="BA174" t="e">
        <f>AND(Liste!#REF!,"AAAAAH93/zQ=")</f>
        <v>#REF!</v>
      </c>
      <c r="BB174" t="e">
        <f>AND(Liste!#REF!,"AAAAAH93/zU=")</f>
        <v>#REF!</v>
      </c>
      <c r="BC174" t="e">
        <f>AND(Liste!#REF!,"AAAAAH93/zY=")</f>
        <v>#REF!</v>
      </c>
      <c r="BD174" t="e">
        <f>AND(Liste!#REF!,"AAAAAH93/zc=")</f>
        <v>#REF!</v>
      </c>
      <c r="BE174" t="e">
        <f>AND(Liste!#REF!,"AAAAAH93/zg=")</f>
        <v>#REF!</v>
      </c>
      <c r="BF174" t="e">
        <f>AND(Liste!#REF!,"AAAAAH93/zk=")</f>
        <v>#REF!</v>
      </c>
      <c r="BG174" t="e">
        <f>AND(Liste!#REF!,"AAAAAH93/zo=")</f>
        <v>#REF!</v>
      </c>
      <c r="BH174" t="e">
        <f>AND(Liste!#REF!,"AAAAAH93/zs=")</f>
        <v>#REF!</v>
      </c>
      <c r="BI174" t="e">
        <f>AND(Liste!#REF!,"AAAAAH93/zw=")</f>
        <v>#REF!</v>
      </c>
      <c r="BJ174" t="e">
        <f>AND(Liste!#REF!,"AAAAAH93/z0=")</f>
        <v>#REF!</v>
      </c>
      <c r="BK174" t="e">
        <f>AND(Liste!#REF!,"AAAAAH93/z4=")</f>
        <v>#REF!</v>
      </c>
      <c r="BL174" t="e">
        <f>AND(Liste!#REF!,"AAAAAH93/z8=")</f>
        <v>#REF!</v>
      </c>
      <c r="BM174" t="e">
        <f>AND(Liste!#REF!,"AAAAAH93/0A=")</f>
        <v>#REF!</v>
      </c>
      <c r="BN174" t="e">
        <f>AND(Liste!#REF!,"AAAAAH93/0E=")</f>
        <v>#REF!</v>
      </c>
      <c r="BO174" t="e">
        <f>AND(Liste!#REF!,"AAAAAH93/0I=")</f>
        <v>#REF!</v>
      </c>
      <c r="BP174" t="e">
        <f>AND(Liste!#REF!,"AAAAAH93/0M=")</f>
        <v>#REF!</v>
      </c>
      <c r="BQ174" t="e">
        <f>AND(Liste!#REF!,"AAAAAH93/0Q=")</f>
        <v>#REF!</v>
      </c>
      <c r="BR174" t="e">
        <f>AND(Liste!#REF!,"AAAAAH93/0U=")</f>
        <v>#REF!</v>
      </c>
      <c r="BS174" t="e">
        <f>AND(Liste!#REF!,"AAAAAH93/0Y=")</f>
        <v>#REF!</v>
      </c>
      <c r="BT174" t="e">
        <f>AND(Liste!#REF!,"AAAAAH93/0c=")</f>
        <v>#REF!</v>
      </c>
      <c r="BU174" t="e">
        <f>AND(Liste!#REF!,"AAAAAH93/0g=")</f>
        <v>#REF!</v>
      </c>
      <c r="BV174" t="e">
        <f>AND(Liste!#REF!,"AAAAAH93/0k=")</f>
        <v>#REF!</v>
      </c>
      <c r="BW174" t="e">
        <f>AND(Liste!#REF!,"AAAAAH93/0o=")</f>
        <v>#REF!</v>
      </c>
      <c r="BX174" t="e">
        <f>AND(Liste!#REF!,"AAAAAH93/0s=")</f>
        <v>#REF!</v>
      </c>
      <c r="BY174" t="e">
        <f>AND(Liste!#REF!,"AAAAAH93/0w=")</f>
        <v>#REF!</v>
      </c>
      <c r="BZ174" t="e">
        <f>AND(Liste!#REF!,"AAAAAH93/00=")</f>
        <v>#REF!</v>
      </c>
      <c r="CA174" t="e">
        <f>AND(Liste!#REF!,"AAAAAH93/04=")</f>
        <v>#REF!</v>
      </c>
      <c r="CB174" t="e">
        <f>AND(Liste!#REF!,"AAAAAH93/08=")</f>
        <v>#REF!</v>
      </c>
      <c r="CC174" t="e">
        <f>AND(Liste!#REF!,"AAAAAH93/1A=")</f>
        <v>#REF!</v>
      </c>
      <c r="CD174" t="e">
        <f>AND(Liste!#REF!,"AAAAAH93/1E=")</f>
        <v>#REF!</v>
      </c>
      <c r="CE174" t="e">
        <f>AND(Liste!#REF!,"AAAAAH93/1I=")</f>
        <v>#REF!</v>
      </c>
      <c r="CF174" t="e">
        <f>AND(Liste!#REF!,"AAAAAH93/1M=")</f>
        <v>#REF!</v>
      </c>
      <c r="CG174" t="e">
        <f>AND(Liste!#REF!,"AAAAAH93/1Q=")</f>
        <v>#REF!</v>
      </c>
      <c r="CH174" t="e">
        <f>AND(Liste!#REF!,"AAAAAH93/1U=")</f>
        <v>#REF!</v>
      </c>
      <c r="CI174" t="e">
        <f>AND(Liste!#REF!,"AAAAAH93/1Y=")</f>
        <v>#REF!</v>
      </c>
      <c r="CJ174" t="e">
        <f>AND(Liste!#REF!,"AAAAAH93/1c=")</f>
        <v>#REF!</v>
      </c>
      <c r="CK174" t="e">
        <f>AND(Liste!#REF!,"AAAAAH93/1g=")</f>
        <v>#REF!</v>
      </c>
      <c r="CL174" t="e">
        <f>AND(Liste!#REF!,"AAAAAH93/1k=")</f>
        <v>#REF!</v>
      </c>
      <c r="CM174" t="e">
        <f>AND(Liste!#REF!,"AAAAAH93/1o=")</f>
        <v>#REF!</v>
      </c>
      <c r="CN174" t="e">
        <f>AND(Liste!#REF!,"AAAAAH93/1s=")</f>
        <v>#REF!</v>
      </c>
      <c r="CO174" t="e">
        <f>AND(Liste!#REF!,"AAAAAH93/1w=")</f>
        <v>#REF!</v>
      </c>
      <c r="CP174" t="e">
        <f>AND(Liste!#REF!,"AAAAAH93/10=")</f>
        <v>#REF!</v>
      </c>
      <c r="CQ174" t="e">
        <f>AND(Liste!#REF!,"AAAAAH93/14=")</f>
        <v>#REF!</v>
      </c>
      <c r="CR174" t="e">
        <f>AND(Liste!#REF!,"AAAAAH93/18=")</f>
        <v>#REF!</v>
      </c>
      <c r="CS174" t="e">
        <f>AND(Liste!#REF!,"AAAAAH93/2A=")</f>
        <v>#REF!</v>
      </c>
      <c r="CT174" t="e">
        <f>AND(Liste!#REF!,"AAAAAH93/2E=")</f>
        <v>#REF!</v>
      </c>
      <c r="CU174" t="e">
        <f>AND(Liste!#REF!,"AAAAAH93/2I=")</f>
        <v>#REF!</v>
      </c>
      <c r="CV174" t="e">
        <f>AND(Liste!#REF!,"AAAAAH93/2M=")</f>
        <v>#REF!</v>
      </c>
      <c r="CW174" t="e">
        <f>AND(Liste!#REF!,"AAAAAH93/2Q=")</f>
        <v>#REF!</v>
      </c>
      <c r="CX174" t="e">
        <f>AND(Liste!#REF!,"AAAAAH93/2U=")</f>
        <v>#REF!</v>
      </c>
      <c r="CY174" t="e">
        <f>AND(Liste!#REF!,"AAAAAH93/2Y=")</f>
        <v>#REF!</v>
      </c>
      <c r="CZ174" t="e">
        <f>AND(Liste!#REF!,"AAAAAH93/2c=")</f>
        <v>#REF!</v>
      </c>
      <c r="DA174" t="e">
        <f>AND(Liste!#REF!,"AAAAAH93/2g=")</f>
        <v>#REF!</v>
      </c>
      <c r="DB174" t="e">
        <f>AND(Liste!#REF!,"AAAAAH93/2k=")</f>
        <v>#REF!</v>
      </c>
      <c r="DC174" t="e">
        <f>AND(Liste!#REF!,"AAAAAH93/2o=")</f>
        <v>#REF!</v>
      </c>
      <c r="DD174" t="e">
        <f>AND(Liste!#REF!,"AAAAAH93/2s=")</f>
        <v>#REF!</v>
      </c>
      <c r="DE174" t="e">
        <f>AND(Liste!#REF!,"AAAAAH93/2w=")</f>
        <v>#REF!</v>
      </c>
      <c r="DF174" t="e">
        <f>AND(Liste!#REF!,"AAAAAH93/20=")</f>
        <v>#REF!</v>
      </c>
      <c r="DG174" t="e">
        <f>AND(Liste!#REF!,"AAAAAH93/24=")</f>
        <v>#REF!</v>
      </c>
      <c r="DH174" t="e">
        <f>AND(Liste!#REF!,"AAAAAH93/28=")</f>
        <v>#REF!</v>
      </c>
      <c r="DI174" t="e">
        <f>AND(Liste!#REF!,"AAAAAH93/3A=")</f>
        <v>#REF!</v>
      </c>
      <c r="DJ174" t="e">
        <f>AND(Liste!#REF!,"AAAAAH93/3E=")</f>
        <v>#REF!</v>
      </c>
      <c r="DK174" t="e">
        <f>AND(Liste!#REF!,"AAAAAH93/3I=")</f>
        <v>#REF!</v>
      </c>
      <c r="DL174" t="e">
        <f>AND(Liste!#REF!,"AAAAAH93/3M=")</f>
        <v>#REF!</v>
      </c>
      <c r="DM174" t="e">
        <f>AND(Liste!#REF!,"AAAAAH93/3Q=")</f>
        <v>#REF!</v>
      </c>
      <c r="DN174" t="e">
        <f>AND(Liste!#REF!,"AAAAAH93/3U=")</f>
        <v>#REF!</v>
      </c>
      <c r="DO174" t="e">
        <f>AND(Liste!#REF!,"AAAAAH93/3Y=")</f>
        <v>#REF!</v>
      </c>
      <c r="DP174" t="e">
        <f>AND(Liste!#REF!,"AAAAAH93/3c=")</f>
        <v>#REF!</v>
      </c>
      <c r="DQ174" t="e">
        <f>AND(Liste!#REF!,"AAAAAH93/3g=")</f>
        <v>#REF!</v>
      </c>
      <c r="DR174" t="e">
        <f>AND(Liste!#REF!,"AAAAAH93/3k=")</f>
        <v>#REF!</v>
      </c>
      <c r="DS174" t="e">
        <f>AND(Liste!#REF!,"AAAAAH93/3o=")</f>
        <v>#REF!</v>
      </c>
      <c r="DT174" t="e">
        <f>AND(Liste!#REF!,"AAAAAH93/3s=")</f>
        <v>#REF!</v>
      </c>
      <c r="DU174" t="e">
        <f>AND(Liste!#REF!,"AAAAAH93/3w=")</f>
        <v>#REF!</v>
      </c>
      <c r="DV174" t="e">
        <f>AND(Liste!#REF!,"AAAAAH93/30=")</f>
        <v>#REF!</v>
      </c>
      <c r="DW174" t="e">
        <f>AND(Liste!#REF!,"AAAAAH93/34=")</f>
        <v>#REF!</v>
      </c>
      <c r="DX174" t="e">
        <f>AND(Liste!#REF!,"AAAAAH93/38=")</f>
        <v>#REF!</v>
      </c>
      <c r="DY174" t="e">
        <f>AND(Liste!#REF!,"AAAAAH93/4A=")</f>
        <v>#REF!</v>
      </c>
      <c r="DZ174" t="e">
        <f>AND(Liste!#REF!,"AAAAAH93/4E=")</f>
        <v>#REF!</v>
      </c>
      <c r="EA174" t="e">
        <f>AND(Liste!#REF!,"AAAAAH93/4I=")</f>
        <v>#REF!</v>
      </c>
      <c r="EB174" t="e">
        <f>AND(Liste!#REF!,"AAAAAH93/4M=")</f>
        <v>#REF!</v>
      </c>
      <c r="EC174" t="e">
        <f>AND(Liste!#REF!,"AAAAAH93/4Q=")</f>
        <v>#REF!</v>
      </c>
      <c r="ED174" t="e">
        <f>AND(Liste!#REF!,"AAAAAH93/4U=")</f>
        <v>#REF!</v>
      </c>
      <c r="EE174" t="e">
        <f>AND(Liste!#REF!,"AAAAAH93/4Y=")</f>
        <v>#REF!</v>
      </c>
      <c r="EF174" t="e">
        <f>AND(Liste!#REF!,"AAAAAH93/4c=")</f>
        <v>#REF!</v>
      </c>
      <c r="EG174" t="e">
        <f>AND(Liste!#REF!,"AAAAAH93/4g=")</f>
        <v>#REF!</v>
      </c>
      <c r="EH174" t="e">
        <f>AND(Liste!#REF!,"AAAAAH93/4k=")</f>
        <v>#REF!</v>
      </c>
      <c r="EI174" t="e">
        <f>AND(Liste!#REF!,"AAAAAH93/4o=")</f>
        <v>#REF!</v>
      </c>
      <c r="EJ174" t="e">
        <f>AND(Liste!#REF!,"AAAAAH93/4s=")</f>
        <v>#REF!</v>
      </c>
      <c r="EK174" t="e">
        <f>AND(Liste!#REF!,"AAAAAH93/4w=")</f>
        <v>#REF!</v>
      </c>
      <c r="EL174" t="e">
        <f>AND(Liste!#REF!,"AAAAAH93/40=")</f>
        <v>#REF!</v>
      </c>
      <c r="EM174" t="e">
        <f>AND(Liste!#REF!,"AAAAAH93/44=")</f>
        <v>#REF!</v>
      </c>
      <c r="EN174" t="e">
        <f>AND(Liste!#REF!,"AAAAAH93/48=")</f>
        <v>#REF!</v>
      </c>
      <c r="EO174" t="e">
        <f>AND(Liste!#REF!,"AAAAAH93/5A=")</f>
        <v>#REF!</v>
      </c>
      <c r="EP174" t="e">
        <f>AND(Liste!#REF!,"AAAAAH93/5E=")</f>
        <v>#REF!</v>
      </c>
      <c r="EQ174" t="e">
        <f>AND(Liste!#REF!,"AAAAAH93/5I=")</f>
        <v>#REF!</v>
      </c>
      <c r="ER174" t="e">
        <f>AND(Liste!#REF!,"AAAAAH93/5M=")</f>
        <v>#REF!</v>
      </c>
      <c r="ES174" t="e">
        <f>AND(Liste!#REF!,"AAAAAH93/5Q=")</f>
        <v>#REF!</v>
      </c>
      <c r="ET174" t="e">
        <f>AND(Liste!#REF!,"AAAAAH93/5U=")</f>
        <v>#REF!</v>
      </c>
      <c r="EU174" t="e">
        <f>AND(Liste!#REF!,"AAAAAH93/5Y=")</f>
        <v>#REF!</v>
      </c>
      <c r="EV174" t="e">
        <f>AND(Liste!#REF!,"AAAAAH93/5c=")</f>
        <v>#REF!</v>
      </c>
      <c r="EW174" t="e">
        <f>AND(Liste!#REF!,"AAAAAH93/5g=")</f>
        <v>#REF!</v>
      </c>
      <c r="EX174" t="e">
        <f>AND(Liste!#REF!,"AAAAAH93/5k=")</f>
        <v>#REF!</v>
      </c>
      <c r="EY174" t="e">
        <f>AND(Liste!#REF!,"AAAAAH93/5o=")</f>
        <v>#REF!</v>
      </c>
      <c r="EZ174" t="e">
        <f>AND(Liste!#REF!,"AAAAAH93/5s=")</f>
        <v>#REF!</v>
      </c>
      <c r="FA174" t="e">
        <f>AND(Liste!#REF!,"AAAAAH93/5w=")</f>
        <v>#REF!</v>
      </c>
      <c r="FB174" t="e">
        <f>AND(Liste!#REF!,"AAAAAH93/50=")</f>
        <v>#REF!</v>
      </c>
      <c r="FC174" t="e">
        <f>AND(Liste!#REF!,"AAAAAH93/54=")</f>
        <v>#REF!</v>
      </c>
      <c r="FD174" t="e">
        <f>AND(Liste!#REF!,"AAAAAH93/58=")</f>
        <v>#REF!</v>
      </c>
      <c r="FE174" t="e">
        <f>AND(Liste!#REF!,"AAAAAH93/6A=")</f>
        <v>#REF!</v>
      </c>
      <c r="FF174" t="e">
        <f>AND(Liste!#REF!,"AAAAAH93/6E=")</f>
        <v>#REF!</v>
      </c>
      <c r="FG174" t="e">
        <f>AND(Liste!#REF!,"AAAAAH93/6I=")</f>
        <v>#REF!</v>
      </c>
      <c r="FH174" t="e">
        <f>AND(Liste!#REF!,"AAAAAH93/6M=")</f>
        <v>#REF!</v>
      </c>
      <c r="FI174" t="e">
        <f>AND(Liste!#REF!,"AAAAAH93/6Q=")</f>
        <v>#REF!</v>
      </c>
      <c r="FJ174" t="e">
        <f>AND(Liste!#REF!,"AAAAAH93/6U=")</f>
        <v>#REF!</v>
      </c>
      <c r="FK174" t="e">
        <f>AND(Liste!#REF!,"AAAAAH93/6Y=")</f>
        <v>#REF!</v>
      </c>
      <c r="FL174" t="e">
        <f>AND(Liste!#REF!,"AAAAAH93/6c=")</f>
        <v>#REF!</v>
      </c>
      <c r="FM174" t="e">
        <f>AND(Liste!#REF!,"AAAAAH93/6g=")</f>
        <v>#REF!</v>
      </c>
      <c r="FN174" t="e">
        <f>AND(Liste!#REF!,"AAAAAH93/6k=")</f>
        <v>#REF!</v>
      </c>
      <c r="FO174" t="e">
        <f>AND(Liste!#REF!,"AAAAAH93/6o=")</f>
        <v>#REF!</v>
      </c>
      <c r="FP174" t="e">
        <f>AND(Liste!#REF!,"AAAAAH93/6s=")</f>
        <v>#REF!</v>
      </c>
      <c r="FQ174" t="e">
        <f>AND(Liste!#REF!,"AAAAAH93/6w=")</f>
        <v>#REF!</v>
      </c>
      <c r="FR174" t="e">
        <f>AND(Liste!#REF!,"AAAAAH93/60=")</f>
        <v>#REF!</v>
      </c>
      <c r="FS174" t="e">
        <f>AND(Liste!#REF!,"AAAAAH93/64=")</f>
        <v>#REF!</v>
      </c>
      <c r="FT174" t="e">
        <f>AND(Liste!#REF!,"AAAAAH93/68=")</f>
        <v>#REF!</v>
      </c>
      <c r="FU174" t="e">
        <f>AND(Liste!#REF!,"AAAAAH93/7A=")</f>
        <v>#REF!</v>
      </c>
      <c r="FV174" t="e">
        <f>AND(Liste!#REF!,"AAAAAH93/7E=")</f>
        <v>#REF!</v>
      </c>
      <c r="FW174" t="e">
        <f>AND(Liste!#REF!,"AAAAAH93/7I=")</f>
        <v>#REF!</v>
      </c>
      <c r="FX174" t="e">
        <f>AND(Liste!#REF!,"AAAAAH93/7M=")</f>
        <v>#REF!</v>
      </c>
      <c r="FY174" t="e">
        <f>AND(Liste!#REF!,"AAAAAH93/7Q=")</f>
        <v>#REF!</v>
      </c>
      <c r="FZ174" t="e">
        <f>AND(Liste!#REF!,"AAAAAH93/7U=")</f>
        <v>#REF!</v>
      </c>
      <c r="GA174" t="e">
        <f>AND(Liste!#REF!,"AAAAAH93/7Y=")</f>
        <v>#REF!</v>
      </c>
      <c r="GB174" t="e">
        <f>AND(Liste!#REF!,"AAAAAH93/7c=")</f>
        <v>#REF!</v>
      </c>
      <c r="GC174" t="e">
        <f>AND(Liste!#REF!,"AAAAAH93/7g=")</f>
        <v>#REF!</v>
      </c>
      <c r="GD174" t="e">
        <f>AND(Liste!#REF!,"AAAAAH93/7k=")</f>
        <v>#REF!</v>
      </c>
      <c r="GE174" t="e">
        <f>AND(Liste!#REF!,"AAAAAH93/7o=")</f>
        <v>#REF!</v>
      </c>
      <c r="GF174" t="e">
        <f>AND(Liste!#REF!,"AAAAAH93/7s=")</f>
        <v>#REF!</v>
      </c>
      <c r="GG174" t="e">
        <f>AND(Liste!#REF!,"AAAAAH93/7w=")</f>
        <v>#REF!</v>
      </c>
      <c r="GH174" t="e">
        <f>AND(Liste!#REF!,"AAAAAH93/70=")</f>
        <v>#REF!</v>
      </c>
      <c r="GI174" t="e">
        <f>AND(Liste!#REF!,"AAAAAH93/74=")</f>
        <v>#REF!</v>
      </c>
      <c r="GJ174" t="e">
        <f>AND(Liste!#REF!,"AAAAAH93/78=")</f>
        <v>#REF!</v>
      </c>
      <c r="GK174" t="e">
        <f>AND(Liste!#REF!,"AAAAAH93/8A=")</f>
        <v>#REF!</v>
      </c>
      <c r="GL174" t="e">
        <f>AND(Liste!#REF!,"AAAAAH93/8E=")</f>
        <v>#REF!</v>
      </c>
      <c r="GM174" t="e">
        <f>AND(Liste!#REF!,"AAAAAH93/8I=")</f>
        <v>#REF!</v>
      </c>
      <c r="GN174" t="e">
        <f>AND(Liste!#REF!,"AAAAAH93/8M=")</f>
        <v>#REF!</v>
      </c>
      <c r="GO174" t="e">
        <f>AND(Liste!#REF!,"AAAAAH93/8Q=")</f>
        <v>#REF!</v>
      </c>
      <c r="GP174" t="e">
        <f>AND(Liste!#REF!,"AAAAAH93/8U=")</f>
        <v>#REF!</v>
      </c>
      <c r="GQ174" t="e">
        <f>AND(Liste!#REF!,"AAAAAH93/8Y=")</f>
        <v>#REF!</v>
      </c>
      <c r="GR174" t="e">
        <f>AND(Liste!#REF!,"AAAAAH93/8c=")</f>
        <v>#REF!</v>
      </c>
      <c r="GS174" t="e">
        <f>AND(Liste!#REF!,"AAAAAH93/8g=")</f>
        <v>#REF!</v>
      </c>
      <c r="GT174" t="e">
        <f>AND(Liste!#REF!,"AAAAAH93/8k=")</f>
        <v>#REF!</v>
      </c>
      <c r="GU174" t="e">
        <f>AND(Liste!#REF!,"AAAAAH93/8o=")</f>
        <v>#REF!</v>
      </c>
      <c r="GV174" t="e">
        <f>AND(Liste!#REF!,"AAAAAH93/8s=")</f>
        <v>#REF!</v>
      </c>
      <c r="GW174" t="e">
        <f>AND(Liste!#REF!,"AAAAAH93/8w=")</f>
        <v>#REF!</v>
      </c>
      <c r="GX174" t="e">
        <f>AND(Liste!#REF!,"AAAAAH93/80=")</f>
        <v>#REF!</v>
      </c>
      <c r="GY174" t="e">
        <f>AND(Liste!#REF!,"AAAAAH93/84=")</f>
        <v>#REF!</v>
      </c>
      <c r="GZ174" t="e">
        <f>AND(Liste!#REF!,"AAAAAH93/88=")</f>
        <v>#REF!</v>
      </c>
      <c r="HA174" t="e">
        <f>AND(Liste!#REF!,"AAAAAH93/9A=")</f>
        <v>#REF!</v>
      </c>
      <c r="HB174" t="e">
        <f>AND(Liste!#REF!,"AAAAAH93/9E=")</f>
        <v>#REF!</v>
      </c>
      <c r="HC174" t="e">
        <f>AND(Liste!#REF!,"AAAAAH93/9I=")</f>
        <v>#REF!</v>
      </c>
      <c r="HD174" t="e">
        <f>AND(Liste!#REF!,"AAAAAH93/9M=")</f>
        <v>#REF!</v>
      </c>
      <c r="HE174" t="e">
        <f>AND(Liste!#REF!,"AAAAAH93/9Q=")</f>
        <v>#REF!</v>
      </c>
      <c r="HF174" t="e">
        <f>AND(Liste!#REF!,"AAAAAH93/9U=")</f>
        <v>#REF!</v>
      </c>
      <c r="HG174" t="e">
        <f>AND(Liste!#REF!,"AAAAAH93/9Y=")</f>
        <v>#REF!</v>
      </c>
      <c r="HH174" t="e">
        <f>AND(Liste!#REF!,"AAAAAH93/9c=")</f>
        <v>#REF!</v>
      </c>
      <c r="HI174" t="e">
        <f>AND(Liste!#REF!,"AAAAAH93/9g=")</f>
        <v>#REF!</v>
      </c>
      <c r="HJ174" t="e">
        <f>AND(Liste!#REF!,"AAAAAH93/9k=")</f>
        <v>#REF!</v>
      </c>
      <c r="HK174" t="e">
        <f>AND(Liste!#REF!,"AAAAAH93/9o=")</f>
        <v>#REF!</v>
      </c>
      <c r="HL174" t="e">
        <f>AND(Liste!#REF!,"AAAAAH93/9s=")</f>
        <v>#REF!</v>
      </c>
      <c r="HM174" t="e">
        <f>AND(Liste!#REF!,"AAAAAH93/9w=")</f>
        <v>#REF!</v>
      </c>
      <c r="HN174" t="e">
        <f>AND(Liste!#REF!,"AAAAAH93/90=")</f>
        <v>#REF!</v>
      </c>
      <c r="HO174" t="e">
        <f>AND(Liste!#REF!,"AAAAAH93/94=")</f>
        <v>#REF!</v>
      </c>
      <c r="HP174" t="e">
        <f>AND(Liste!#REF!,"AAAAAH93/98=")</f>
        <v>#REF!</v>
      </c>
      <c r="HQ174" t="e">
        <f>AND(Liste!#REF!,"AAAAAH93/+A=")</f>
        <v>#REF!</v>
      </c>
      <c r="HR174" t="e">
        <f>AND(Liste!#REF!,"AAAAAH93/+E=")</f>
        <v>#REF!</v>
      </c>
      <c r="HS174" t="e">
        <f>AND(Liste!#REF!,"AAAAAH93/+I=")</f>
        <v>#REF!</v>
      </c>
      <c r="HT174" t="e">
        <f>AND(Liste!#REF!,"AAAAAH93/+M=")</f>
        <v>#REF!</v>
      </c>
      <c r="HU174" t="e">
        <f>AND(Liste!#REF!,"AAAAAH93/+Q=")</f>
        <v>#REF!</v>
      </c>
      <c r="HV174" t="e">
        <f>AND(Liste!#REF!,"AAAAAH93/+U=")</f>
        <v>#REF!</v>
      </c>
      <c r="HW174" t="e">
        <f>AND(Liste!#REF!,"AAAAAH93/+Y=")</f>
        <v>#REF!</v>
      </c>
      <c r="HX174" t="e">
        <f>AND(Liste!#REF!,"AAAAAH93/+c=")</f>
        <v>#REF!</v>
      </c>
      <c r="HY174" t="e">
        <f>AND(Liste!#REF!,"AAAAAH93/+g=")</f>
        <v>#REF!</v>
      </c>
      <c r="HZ174" t="e">
        <f>AND(Liste!#REF!,"AAAAAH93/+k=")</f>
        <v>#REF!</v>
      </c>
      <c r="IA174" t="e">
        <f>AND(Liste!#REF!,"AAAAAH93/+o=")</f>
        <v>#REF!</v>
      </c>
      <c r="IB174" t="e">
        <f>AND(Liste!#REF!,"AAAAAH93/+s=")</f>
        <v>#REF!</v>
      </c>
      <c r="IC174" t="e">
        <f>AND(Liste!#REF!,"AAAAAH93/+w=")</f>
        <v>#REF!</v>
      </c>
      <c r="ID174" t="e">
        <f>AND(Liste!#REF!,"AAAAAH93/+0=")</f>
        <v>#REF!</v>
      </c>
      <c r="IE174" t="e">
        <f>AND(Liste!#REF!,"AAAAAH93/+4=")</f>
        <v>#REF!</v>
      </c>
      <c r="IF174" t="e">
        <f>AND(Liste!#REF!,"AAAAAH93/+8=")</f>
        <v>#REF!</v>
      </c>
      <c r="IG174" t="e">
        <f>AND(Liste!#REF!,"AAAAAH93//A=")</f>
        <v>#REF!</v>
      </c>
      <c r="IH174" t="e">
        <f>AND(Liste!#REF!,"AAAAAH93//E=")</f>
        <v>#REF!</v>
      </c>
      <c r="II174" t="e">
        <f>AND(Liste!#REF!,"AAAAAH93//I=")</f>
        <v>#REF!</v>
      </c>
      <c r="IJ174" t="e">
        <f>AND(Liste!#REF!,"AAAAAH93//M=")</f>
        <v>#REF!</v>
      </c>
      <c r="IK174" t="e">
        <f>AND(Liste!#REF!,"AAAAAH93//Q=")</f>
        <v>#REF!</v>
      </c>
      <c r="IL174" t="e">
        <f>AND(Liste!#REF!,"AAAAAH93//U=")</f>
        <v>#REF!</v>
      </c>
      <c r="IM174" t="e">
        <f>AND(Liste!#REF!,"AAAAAH93//Y=")</f>
        <v>#REF!</v>
      </c>
      <c r="IN174" t="e">
        <f>AND(Liste!#REF!,"AAAAAH93//c=")</f>
        <v>#REF!</v>
      </c>
      <c r="IO174" t="e">
        <f>AND(Liste!#REF!,"AAAAAH93//g=")</f>
        <v>#REF!</v>
      </c>
      <c r="IP174" t="e">
        <f>AND(Liste!#REF!,"AAAAAH93//k=")</f>
        <v>#REF!</v>
      </c>
      <c r="IQ174" t="e">
        <f>AND(Liste!#REF!,"AAAAAH93//o=")</f>
        <v>#REF!</v>
      </c>
      <c r="IR174" t="e">
        <f>AND(Liste!#REF!,"AAAAAH93//s=")</f>
        <v>#REF!</v>
      </c>
      <c r="IS174" t="e">
        <f>AND(Liste!#REF!,"AAAAAH93//w=")</f>
        <v>#REF!</v>
      </c>
      <c r="IT174" t="e">
        <f>AND(Liste!#REF!,"AAAAAH93//0=")</f>
        <v>#REF!</v>
      </c>
      <c r="IU174" t="e">
        <f>AND(Liste!#REF!,"AAAAAH93//4=")</f>
        <v>#REF!</v>
      </c>
      <c r="IV174" t="e">
        <f>AND(Liste!#REF!,"AAAAAH93//8=")</f>
        <v>#REF!</v>
      </c>
    </row>
    <row r="175" spans="1:256" x14ac:dyDescent="0.2">
      <c r="A175" t="e">
        <f>AND(Liste!#REF!,"AAAAAHfd8QA=")</f>
        <v>#REF!</v>
      </c>
      <c r="B175" t="e">
        <f>AND(Liste!#REF!,"AAAAAHfd8QE=")</f>
        <v>#REF!</v>
      </c>
      <c r="C175" t="e">
        <f>AND(Liste!#REF!,"AAAAAHfd8QI=")</f>
        <v>#REF!</v>
      </c>
      <c r="D175" t="e">
        <f>AND(Liste!#REF!,"AAAAAHfd8QM=")</f>
        <v>#REF!</v>
      </c>
      <c r="E175" t="e">
        <f>AND(Liste!#REF!,"AAAAAHfd8QQ=")</f>
        <v>#REF!</v>
      </c>
      <c r="F175" t="e">
        <f>AND(Liste!#REF!,"AAAAAHfd8QU=")</f>
        <v>#REF!</v>
      </c>
      <c r="G175" t="e">
        <f>AND(Liste!#REF!,"AAAAAHfd8QY=")</f>
        <v>#REF!</v>
      </c>
      <c r="H175" t="e">
        <f>AND(Liste!#REF!,"AAAAAHfd8Qc=")</f>
        <v>#REF!</v>
      </c>
      <c r="I175" t="e">
        <f>AND(Liste!#REF!,"AAAAAHfd8Qg=")</f>
        <v>#REF!</v>
      </c>
      <c r="J175" t="e">
        <f>AND(Liste!#REF!,"AAAAAHfd8Qk=")</f>
        <v>#REF!</v>
      </c>
      <c r="K175" t="e">
        <f>AND(Liste!#REF!,"AAAAAHfd8Qo=")</f>
        <v>#REF!</v>
      </c>
      <c r="L175" t="e">
        <f>AND(Liste!#REF!,"AAAAAHfd8Qs=")</f>
        <v>#REF!</v>
      </c>
      <c r="M175" t="e">
        <f>AND(Liste!#REF!,"AAAAAHfd8Qw=")</f>
        <v>#REF!</v>
      </c>
      <c r="N175" t="e">
        <f>AND(Liste!#REF!,"AAAAAHfd8Q0=")</f>
        <v>#REF!</v>
      </c>
      <c r="O175" t="e">
        <f>AND(Liste!#REF!,"AAAAAHfd8Q4=")</f>
        <v>#REF!</v>
      </c>
      <c r="P175" t="e">
        <f>AND(Liste!#REF!,"AAAAAHfd8Q8=")</f>
        <v>#REF!</v>
      </c>
      <c r="Q175" t="e">
        <f>AND(Liste!#REF!,"AAAAAHfd8RA=")</f>
        <v>#REF!</v>
      </c>
      <c r="R175" t="e">
        <f>AND(Liste!#REF!,"AAAAAHfd8RE=")</f>
        <v>#REF!</v>
      </c>
      <c r="S175" t="e">
        <f>AND(Liste!#REF!,"AAAAAHfd8RI=")</f>
        <v>#REF!</v>
      </c>
      <c r="T175" t="e">
        <f>AND(Liste!#REF!,"AAAAAHfd8RM=")</f>
        <v>#REF!</v>
      </c>
      <c r="U175" t="e">
        <f>AND(Liste!#REF!,"AAAAAHfd8RQ=")</f>
        <v>#REF!</v>
      </c>
      <c r="V175" t="e">
        <f>AND(Liste!#REF!,"AAAAAHfd8RU=")</f>
        <v>#REF!</v>
      </c>
      <c r="W175" t="e">
        <f>AND(Liste!#REF!,"AAAAAHfd8RY=")</f>
        <v>#REF!</v>
      </c>
      <c r="X175" t="e">
        <f>AND(Liste!#REF!,"AAAAAHfd8Rc=")</f>
        <v>#REF!</v>
      </c>
      <c r="Y175" t="e">
        <f>AND(Liste!#REF!,"AAAAAHfd8Rg=")</f>
        <v>#REF!</v>
      </c>
      <c r="Z175" t="e">
        <f>AND(Liste!#REF!,"AAAAAHfd8Rk=")</f>
        <v>#REF!</v>
      </c>
      <c r="AA175" t="e">
        <f>AND(Liste!#REF!,"AAAAAHfd8Ro=")</f>
        <v>#REF!</v>
      </c>
      <c r="AB175" t="e">
        <f>AND(Liste!#REF!,"AAAAAHfd8Rs=")</f>
        <v>#REF!</v>
      </c>
      <c r="AC175" t="e">
        <f>AND(Liste!#REF!,"AAAAAHfd8Rw=")</f>
        <v>#REF!</v>
      </c>
      <c r="AD175" t="e">
        <f>AND(Liste!#REF!,"AAAAAHfd8R0=")</f>
        <v>#REF!</v>
      </c>
      <c r="AE175" t="e">
        <f>AND(Liste!#REF!,"AAAAAHfd8R4=")</f>
        <v>#REF!</v>
      </c>
      <c r="AF175" t="e">
        <f>AND(Liste!#REF!,"AAAAAHfd8R8=")</f>
        <v>#REF!</v>
      </c>
      <c r="AG175" t="e">
        <f>AND(Liste!#REF!,"AAAAAHfd8SA=")</f>
        <v>#REF!</v>
      </c>
      <c r="AH175" t="e">
        <f>AND(Liste!#REF!,"AAAAAHfd8SE=")</f>
        <v>#REF!</v>
      </c>
      <c r="AI175" t="e">
        <f>AND(Liste!#REF!,"AAAAAHfd8SI=")</f>
        <v>#REF!</v>
      </c>
      <c r="AJ175" t="e">
        <f>AND(Liste!#REF!,"AAAAAHfd8SM=")</f>
        <v>#REF!</v>
      </c>
      <c r="AK175" t="e">
        <f>AND(Liste!#REF!,"AAAAAHfd8SQ=")</f>
        <v>#REF!</v>
      </c>
      <c r="AL175" t="e">
        <f>AND(Liste!#REF!,"AAAAAHfd8SU=")</f>
        <v>#REF!</v>
      </c>
      <c r="AM175" t="e">
        <f>AND(Liste!#REF!,"AAAAAHfd8SY=")</f>
        <v>#REF!</v>
      </c>
      <c r="AN175" t="e">
        <f>AND(Liste!#REF!,"AAAAAHfd8Sc=")</f>
        <v>#REF!</v>
      </c>
      <c r="AO175" t="e">
        <f>AND(Liste!#REF!,"AAAAAHfd8Sg=")</f>
        <v>#REF!</v>
      </c>
      <c r="AP175" t="e">
        <f>AND(Liste!#REF!,"AAAAAHfd8Sk=")</f>
        <v>#REF!</v>
      </c>
      <c r="AQ175" t="e">
        <f>AND(Liste!#REF!,"AAAAAHfd8So=")</f>
        <v>#REF!</v>
      </c>
      <c r="AR175" t="e">
        <f>AND(Liste!#REF!,"AAAAAHfd8Ss=")</f>
        <v>#REF!</v>
      </c>
      <c r="AS175" t="e">
        <f>AND(Liste!#REF!,"AAAAAHfd8Sw=")</f>
        <v>#REF!</v>
      </c>
      <c r="AT175" t="e">
        <f>AND(Liste!#REF!,"AAAAAHfd8S0=")</f>
        <v>#REF!</v>
      </c>
      <c r="AU175" t="e">
        <f>AND(Liste!#REF!,"AAAAAHfd8S4=")</f>
        <v>#REF!</v>
      </c>
      <c r="AV175" t="e">
        <f>AND(Liste!#REF!,"AAAAAHfd8S8=")</f>
        <v>#REF!</v>
      </c>
      <c r="AW175" t="e">
        <f>AND(Liste!#REF!,"AAAAAHfd8TA=")</f>
        <v>#REF!</v>
      </c>
      <c r="AX175" t="e">
        <f>AND(Liste!#REF!,"AAAAAHfd8TE=")</f>
        <v>#REF!</v>
      </c>
      <c r="AY175" t="e">
        <f>AND(Liste!#REF!,"AAAAAHfd8TI=")</f>
        <v>#REF!</v>
      </c>
      <c r="AZ175" t="e">
        <f>AND(Liste!#REF!,"AAAAAHfd8TM=")</f>
        <v>#REF!</v>
      </c>
      <c r="BA175" t="e">
        <f>AND(Liste!#REF!,"AAAAAHfd8TQ=")</f>
        <v>#REF!</v>
      </c>
      <c r="BB175" t="e">
        <f>AND(Liste!#REF!,"AAAAAHfd8TU=")</f>
        <v>#REF!</v>
      </c>
      <c r="BC175" t="e">
        <f>AND(Liste!#REF!,"AAAAAHfd8TY=")</f>
        <v>#REF!</v>
      </c>
      <c r="BD175" t="e">
        <f>AND(Liste!#REF!,"AAAAAHfd8Tc=")</f>
        <v>#REF!</v>
      </c>
      <c r="BE175" t="e">
        <f>AND(Liste!#REF!,"AAAAAHfd8Tg=")</f>
        <v>#REF!</v>
      </c>
      <c r="BF175" t="e">
        <f>AND(Liste!#REF!,"AAAAAHfd8Tk=")</f>
        <v>#REF!</v>
      </c>
      <c r="BG175" t="e">
        <f>AND(Liste!#REF!,"AAAAAHfd8To=")</f>
        <v>#REF!</v>
      </c>
      <c r="BH175" t="e">
        <f>AND(Liste!#REF!,"AAAAAHfd8Ts=")</f>
        <v>#REF!</v>
      </c>
      <c r="BI175" t="e">
        <f>AND(Liste!#REF!,"AAAAAHfd8Tw=")</f>
        <v>#REF!</v>
      </c>
      <c r="BJ175" t="e">
        <f>AND(Liste!#REF!,"AAAAAHfd8T0=")</f>
        <v>#REF!</v>
      </c>
      <c r="BK175" t="e">
        <f>AND(Liste!#REF!,"AAAAAHfd8T4=")</f>
        <v>#REF!</v>
      </c>
      <c r="BL175" t="e">
        <f>AND(Liste!#REF!,"AAAAAHfd8T8=")</f>
        <v>#REF!</v>
      </c>
      <c r="BM175" t="e">
        <f>AND(Liste!#REF!,"AAAAAHfd8UA=")</f>
        <v>#REF!</v>
      </c>
      <c r="BN175" t="e">
        <f>AND(Liste!#REF!,"AAAAAHfd8UE=")</f>
        <v>#REF!</v>
      </c>
      <c r="BO175" t="e">
        <f>AND(Liste!#REF!,"AAAAAHfd8UI=")</f>
        <v>#REF!</v>
      </c>
      <c r="BP175" t="e">
        <f>AND(Liste!#REF!,"AAAAAHfd8UM=")</f>
        <v>#REF!</v>
      </c>
      <c r="BQ175" t="e">
        <f>AND(Liste!#REF!,"AAAAAHfd8UQ=")</f>
        <v>#REF!</v>
      </c>
      <c r="BR175" t="e">
        <f>AND(Liste!#REF!,"AAAAAHfd8UU=")</f>
        <v>#REF!</v>
      </c>
      <c r="BS175" t="e">
        <f>AND(Liste!#REF!,"AAAAAHfd8UY=")</f>
        <v>#REF!</v>
      </c>
      <c r="BT175" t="e">
        <f>AND(Liste!#REF!,"AAAAAHfd8Uc=")</f>
        <v>#REF!</v>
      </c>
      <c r="BU175" t="e">
        <f>AND(Liste!#REF!,"AAAAAHfd8Ug=")</f>
        <v>#REF!</v>
      </c>
      <c r="BV175" t="e">
        <f>AND(Liste!#REF!,"AAAAAHfd8Uk=")</f>
        <v>#REF!</v>
      </c>
      <c r="BW175" t="e">
        <f>AND(Liste!#REF!,"AAAAAHfd8Uo=")</f>
        <v>#REF!</v>
      </c>
      <c r="BX175" t="e">
        <f>AND(Liste!#REF!,"AAAAAHfd8Us=")</f>
        <v>#REF!</v>
      </c>
      <c r="BY175" t="e">
        <f>AND(Liste!#REF!,"AAAAAHfd8Uw=")</f>
        <v>#REF!</v>
      </c>
      <c r="BZ175" t="e">
        <f>AND(Liste!#REF!,"AAAAAHfd8U0=")</f>
        <v>#REF!</v>
      </c>
      <c r="CA175" t="e">
        <f>AND(Liste!#REF!,"AAAAAHfd8U4=")</f>
        <v>#REF!</v>
      </c>
      <c r="CB175" t="e">
        <f>AND(Liste!#REF!,"AAAAAHfd8U8=")</f>
        <v>#REF!</v>
      </c>
      <c r="CC175" t="e">
        <f>AND(Liste!#REF!,"AAAAAHfd8VA=")</f>
        <v>#REF!</v>
      </c>
      <c r="CD175" t="e">
        <f>AND(Liste!#REF!,"AAAAAHfd8VE=")</f>
        <v>#REF!</v>
      </c>
      <c r="CE175" t="e">
        <f>AND(Liste!#REF!,"AAAAAHfd8VI=")</f>
        <v>#REF!</v>
      </c>
      <c r="CF175" t="e">
        <f>AND(Liste!#REF!,"AAAAAHfd8VM=")</f>
        <v>#REF!</v>
      </c>
      <c r="CG175" t="e">
        <f>AND(Liste!#REF!,"AAAAAHfd8VQ=")</f>
        <v>#REF!</v>
      </c>
      <c r="CH175" t="e">
        <f>AND(Liste!#REF!,"AAAAAHfd8VU=")</f>
        <v>#REF!</v>
      </c>
      <c r="CI175" t="e">
        <f>AND(Liste!#REF!,"AAAAAHfd8VY=")</f>
        <v>#REF!</v>
      </c>
      <c r="CJ175" t="e">
        <f>AND(Liste!#REF!,"AAAAAHfd8Vc=")</f>
        <v>#REF!</v>
      </c>
      <c r="CK175" t="e">
        <f>AND(Liste!#REF!,"AAAAAHfd8Vg=")</f>
        <v>#REF!</v>
      </c>
      <c r="CL175" t="e">
        <f>AND(Liste!#REF!,"AAAAAHfd8Vk=")</f>
        <v>#REF!</v>
      </c>
      <c r="CM175" t="e">
        <f>AND(Liste!#REF!,"AAAAAHfd8Vo=")</f>
        <v>#REF!</v>
      </c>
      <c r="CN175" t="e">
        <f>AND(Liste!#REF!,"AAAAAHfd8Vs=")</f>
        <v>#REF!</v>
      </c>
      <c r="CO175" t="e">
        <f>AND(Liste!#REF!,"AAAAAHfd8Vw=")</f>
        <v>#REF!</v>
      </c>
      <c r="CP175" t="e">
        <f>AND(Liste!#REF!,"AAAAAHfd8V0=")</f>
        <v>#REF!</v>
      </c>
      <c r="CQ175" t="e">
        <f>AND(Liste!#REF!,"AAAAAHfd8V4=")</f>
        <v>#REF!</v>
      </c>
      <c r="CR175" t="e">
        <f>AND(Liste!#REF!,"AAAAAHfd8V8=")</f>
        <v>#REF!</v>
      </c>
      <c r="CS175" t="e">
        <f>AND(Liste!#REF!,"AAAAAHfd8WA=")</f>
        <v>#REF!</v>
      </c>
      <c r="CT175" t="e">
        <f>AND(Liste!#REF!,"AAAAAHfd8WE=")</f>
        <v>#REF!</v>
      </c>
      <c r="CU175" t="e">
        <f>AND(Liste!#REF!,"AAAAAHfd8WI=")</f>
        <v>#REF!</v>
      </c>
      <c r="CV175" t="e">
        <f>AND(Liste!#REF!,"AAAAAHfd8WM=")</f>
        <v>#REF!</v>
      </c>
      <c r="CW175" t="e">
        <f>AND(Liste!#REF!,"AAAAAHfd8WQ=")</f>
        <v>#REF!</v>
      </c>
      <c r="CX175" t="e">
        <f>AND(Liste!#REF!,"AAAAAHfd8WU=")</f>
        <v>#REF!</v>
      </c>
      <c r="CY175" t="e">
        <f>AND(Liste!#REF!,"AAAAAHfd8WY=")</f>
        <v>#REF!</v>
      </c>
      <c r="CZ175" t="e">
        <f>AND(Liste!#REF!,"AAAAAHfd8Wc=")</f>
        <v>#REF!</v>
      </c>
      <c r="DA175" t="e">
        <f>AND(Liste!#REF!,"AAAAAHfd8Wg=")</f>
        <v>#REF!</v>
      </c>
      <c r="DB175" t="e">
        <f>AND(Liste!#REF!,"AAAAAHfd8Wk=")</f>
        <v>#REF!</v>
      </c>
      <c r="DC175" t="e">
        <f>AND(Liste!#REF!,"AAAAAHfd8Wo=")</f>
        <v>#REF!</v>
      </c>
      <c r="DD175" t="e">
        <f>AND(Liste!#REF!,"AAAAAHfd8Ws=")</f>
        <v>#REF!</v>
      </c>
      <c r="DE175" t="e">
        <f>AND(Liste!#REF!,"AAAAAHfd8Ww=")</f>
        <v>#REF!</v>
      </c>
      <c r="DF175" t="e">
        <f>AND(Liste!#REF!,"AAAAAHfd8W0=")</f>
        <v>#REF!</v>
      </c>
      <c r="DG175" t="e">
        <f>AND(Liste!#REF!,"AAAAAHfd8W4=")</f>
        <v>#REF!</v>
      </c>
      <c r="DH175" t="e">
        <f>AND(Liste!#REF!,"AAAAAHfd8W8=")</f>
        <v>#REF!</v>
      </c>
      <c r="DI175" t="e">
        <f>AND(Liste!#REF!,"AAAAAHfd8XA=")</f>
        <v>#REF!</v>
      </c>
      <c r="DJ175" t="e">
        <f>AND(Liste!#REF!,"AAAAAHfd8XE=")</f>
        <v>#REF!</v>
      </c>
      <c r="DK175" t="e">
        <f>AND(Liste!#REF!,"AAAAAHfd8XI=")</f>
        <v>#REF!</v>
      </c>
      <c r="DL175" t="e">
        <f>AND(Liste!#REF!,"AAAAAHfd8XM=")</f>
        <v>#REF!</v>
      </c>
      <c r="DM175" t="e">
        <f>AND(Liste!#REF!,"AAAAAHfd8XQ=")</f>
        <v>#REF!</v>
      </c>
      <c r="DN175" t="e">
        <f>AND(Liste!#REF!,"AAAAAHfd8XU=")</f>
        <v>#REF!</v>
      </c>
      <c r="DO175" t="e">
        <f>AND(Liste!#REF!,"AAAAAHfd8XY=")</f>
        <v>#REF!</v>
      </c>
      <c r="DP175" t="e">
        <f>AND(Liste!#REF!,"AAAAAHfd8Xc=")</f>
        <v>#REF!</v>
      </c>
      <c r="DQ175" t="e">
        <f>AND(Liste!#REF!,"AAAAAHfd8Xg=")</f>
        <v>#REF!</v>
      </c>
      <c r="DR175" t="e">
        <f>AND(Liste!#REF!,"AAAAAHfd8Xk=")</f>
        <v>#REF!</v>
      </c>
      <c r="DS175" t="e">
        <f>AND(Liste!#REF!,"AAAAAHfd8Xo=")</f>
        <v>#REF!</v>
      </c>
      <c r="DT175" t="e">
        <f>AND(Liste!#REF!,"AAAAAHfd8Xs=")</f>
        <v>#REF!</v>
      </c>
      <c r="DU175" t="e">
        <f>AND(Liste!#REF!,"AAAAAHfd8Xw=")</f>
        <v>#REF!</v>
      </c>
      <c r="DV175" t="e">
        <f>AND(Liste!#REF!,"AAAAAHfd8X0=")</f>
        <v>#REF!</v>
      </c>
      <c r="DW175" t="e">
        <f>AND(Liste!#REF!,"AAAAAHfd8X4=")</f>
        <v>#REF!</v>
      </c>
      <c r="DX175" t="e">
        <f>AND(Liste!#REF!,"AAAAAHfd8X8=")</f>
        <v>#REF!</v>
      </c>
      <c r="DY175" t="e">
        <f>AND(Liste!#REF!,"AAAAAHfd8YA=")</f>
        <v>#REF!</v>
      </c>
      <c r="DZ175" t="e">
        <f>AND(Liste!#REF!,"AAAAAHfd8YE=")</f>
        <v>#REF!</v>
      </c>
      <c r="EA175" t="e">
        <f>AND(Liste!#REF!,"AAAAAHfd8YI=")</f>
        <v>#REF!</v>
      </c>
      <c r="EB175" t="e">
        <f>AND(Liste!#REF!,"AAAAAHfd8YM=")</f>
        <v>#REF!</v>
      </c>
      <c r="EC175" t="e">
        <f>AND(Liste!#REF!,"AAAAAHfd8YQ=")</f>
        <v>#REF!</v>
      </c>
      <c r="ED175" t="e">
        <f>AND(Liste!#REF!,"AAAAAHfd8YU=")</f>
        <v>#REF!</v>
      </c>
      <c r="EE175" t="e">
        <f>AND(Liste!#REF!,"AAAAAHfd8YY=")</f>
        <v>#REF!</v>
      </c>
      <c r="EF175" t="e">
        <f>AND(Liste!#REF!,"AAAAAHfd8Yc=")</f>
        <v>#REF!</v>
      </c>
      <c r="EG175" t="e">
        <f>AND(Liste!#REF!,"AAAAAHfd8Yg=")</f>
        <v>#REF!</v>
      </c>
      <c r="EH175" t="e">
        <f>AND(Liste!#REF!,"AAAAAHfd8Yk=")</f>
        <v>#REF!</v>
      </c>
      <c r="EI175" t="e">
        <f>AND(Liste!#REF!,"AAAAAHfd8Yo=")</f>
        <v>#REF!</v>
      </c>
      <c r="EJ175" t="e">
        <f>AND(Liste!#REF!,"AAAAAHfd8Ys=")</f>
        <v>#REF!</v>
      </c>
      <c r="EK175" t="e">
        <f>AND(Liste!#REF!,"AAAAAHfd8Yw=")</f>
        <v>#REF!</v>
      </c>
      <c r="EL175" t="e">
        <f>AND(Liste!#REF!,"AAAAAHfd8Y0=")</f>
        <v>#REF!</v>
      </c>
      <c r="EM175" t="e">
        <f>AND(Liste!#REF!,"AAAAAHfd8Y4=")</f>
        <v>#REF!</v>
      </c>
      <c r="EN175" t="e">
        <f>AND(Liste!#REF!,"AAAAAHfd8Y8=")</f>
        <v>#REF!</v>
      </c>
      <c r="EO175" t="e">
        <f>AND(Liste!#REF!,"AAAAAHfd8ZA=")</f>
        <v>#REF!</v>
      </c>
      <c r="EP175" t="e">
        <f>AND(Liste!#REF!,"AAAAAHfd8ZE=")</f>
        <v>#REF!</v>
      </c>
      <c r="EQ175" t="e">
        <f>AND(Liste!#REF!,"AAAAAHfd8ZI=")</f>
        <v>#REF!</v>
      </c>
      <c r="ER175" t="e">
        <f>AND(Liste!#REF!,"AAAAAHfd8ZM=")</f>
        <v>#REF!</v>
      </c>
      <c r="ES175" t="e">
        <f>AND(Liste!#REF!,"AAAAAHfd8ZQ=")</f>
        <v>#REF!</v>
      </c>
      <c r="ET175" t="e">
        <f>AND(Liste!#REF!,"AAAAAHfd8ZU=")</f>
        <v>#REF!</v>
      </c>
      <c r="EU175" t="e">
        <f>AND(Liste!#REF!,"AAAAAHfd8ZY=")</f>
        <v>#REF!</v>
      </c>
      <c r="EV175" t="e">
        <f>AND(Liste!#REF!,"AAAAAHfd8Zc=")</f>
        <v>#REF!</v>
      </c>
      <c r="EW175" t="e">
        <f>AND(Liste!#REF!,"AAAAAHfd8Zg=")</f>
        <v>#REF!</v>
      </c>
      <c r="EX175" t="e">
        <f>AND(Liste!#REF!,"AAAAAHfd8Zk=")</f>
        <v>#REF!</v>
      </c>
      <c r="EY175" t="e">
        <f>AND(Liste!#REF!,"AAAAAHfd8Zo=")</f>
        <v>#REF!</v>
      </c>
      <c r="EZ175" t="e">
        <f>AND(Liste!#REF!,"AAAAAHfd8Zs=")</f>
        <v>#REF!</v>
      </c>
      <c r="FA175" t="e">
        <f>AND(Liste!#REF!,"AAAAAHfd8Zw=")</f>
        <v>#REF!</v>
      </c>
      <c r="FB175" t="e">
        <f>AND(Liste!#REF!,"AAAAAHfd8Z0=")</f>
        <v>#REF!</v>
      </c>
      <c r="FC175" t="e">
        <f>AND(Liste!#REF!,"AAAAAHfd8Z4=")</f>
        <v>#REF!</v>
      </c>
      <c r="FD175" t="e">
        <f>AND(Liste!#REF!,"AAAAAHfd8Z8=")</f>
        <v>#REF!</v>
      </c>
      <c r="FE175" t="e">
        <f>AND(Liste!#REF!,"AAAAAHfd8aA=")</f>
        <v>#REF!</v>
      </c>
      <c r="FF175" t="e">
        <f>AND(Liste!#REF!,"AAAAAHfd8aE=")</f>
        <v>#REF!</v>
      </c>
      <c r="FG175" t="e">
        <f>AND(Liste!#REF!,"AAAAAHfd8aI=")</f>
        <v>#REF!</v>
      </c>
      <c r="FH175" t="e">
        <f>AND(Liste!#REF!,"AAAAAHfd8aM=")</f>
        <v>#REF!</v>
      </c>
      <c r="FI175" t="e">
        <f>AND(Liste!#REF!,"AAAAAHfd8aQ=")</f>
        <v>#REF!</v>
      </c>
      <c r="FJ175" t="e">
        <f>AND(Liste!#REF!,"AAAAAHfd8aU=")</f>
        <v>#REF!</v>
      </c>
      <c r="FK175" t="e">
        <f>AND(Liste!#REF!,"AAAAAHfd8aY=")</f>
        <v>#REF!</v>
      </c>
      <c r="FL175" t="e">
        <f>AND(Liste!#REF!,"AAAAAHfd8ac=")</f>
        <v>#REF!</v>
      </c>
      <c r="FM175" t="e">
        <f>AND(Liste!#REF!,"AAAAAHfd8ag=")</f>
        <v>#REF!</v>
      </c>
      <c r="FN175" t="e">
        <f>AND(Liste!C282,"AAAAAHfd8ak=")</f>
        <v>#VALUE!</v>
      </c>
      <c r="FO175" t="e">
        <f>AND(Liste!D282,"AAAAAHfd8ao=")</f>
        <v>#VALUE!</v>
      </c>
      <c r="FP175" t="e">
        <f>AND(Liste!E282,"AAAAAHfd8as=")</f>
        <v>#VALUE!</v>
      </c>
      <c r="FQ175" t="e">
        <f>AND(Liste!#REF!,"AAAAAHfd8aw=")</f>
        <v>#REF!</v>
      </c>
      <c r="FR175" t="e">
        <f>AND(Liste!#REF!,"AAAAAHfd8a0=")</f>
        <v>#REF!</v>
      </c>
      <c r="FS175" t="e">
        <f>AND(Liste!#REF!,"AAAAAHfd8a4=")</f>
        <v>#REF!</v>
      </c>
      <c r="FT175" t="e">
        <f>AND(Liste!#REF!,"AAAAAHfd8a8=")</f>
        <v>#REF!</v>
      </c>
      <c r="FU175" t="e">
        <f>AND(Liste!#REF!,"AAAAAHfd8bA=")</f>
        <v>#REF!</v>
      </c>
      <c r="FV175" t="e">
        <f>AND(Liste!#REF!,"AAAAAHfd8bE=")</f>
        <v>#REF!</v>
      </c>
      <c r="FW175" t="e">
        <f>AND(Liste!#REF!,"AAAAAHfd8bI=")</f>
        <v>#REF!</v>
      </c>
      <c r="FX175" t="e">
        <f>AND(Liste!#REF!,"AAAAAHfd8bM=")</f>
        <v>#REF!</v>
      </c>
      <c r="FY175" t="e">
        <f>AND(Liste!#REF!,"AAAAAHfd8bQ=")</f>
        <v>#REF!</v>
      </c>
      <c r="FZ175" t="e">
        <f>AND(Liste!#REF!,"AAAAAHfd8bU=")</f>
        <v>#REF!</v>
      </c>
      <c r="GA175" t="e">
        <f>AND(Liste!#REF!,"AAAAAHfd8bY=")</f>
        <v>#REF!</v>
      </c>
      <c r="GB175" t="e">
        <f>AND(Liste!#REF!,"AAAAAHfd8bc=")</f>
        <v>#REF!</v>
      </c>
      <c r="GC175" t="e">
        <f>AND(Liste!#REF!,"AAAAAHfd8bg=")</f>
        <v>#REF!</v>
      </c>
      <c r="GD175" t="e">
        <f>AND(Liste!#REF!,"AAAAAHfd8bk=")</f>
        <v>#REF!</v>
      </c>
      <c r="GE175" t="e">
        <f>AND(Liste!#REF!,"AAAAAHfd8bo=")</f>
        <v>#REF!</v>
      </c>
      <c r="GF175" t="e">
        <f>AND(Liste!#REF!,"AAAAAHfd8bs=")</f>
        <v>#REF!</v>
      </c>
      <c r="GG175" t="e">
        <f>AND(Liste!#REF!,"AAAAAHfd8bw=")</f>
        <v>#REF!</v>
      </c>
      <c r="GH175" t="e">
        <f>AND(Liste!#REF!,"AAAAAHfd8b0=")</f>
        <v>#REF!</v>
      </c>
      <c r="GI175" t="e">
        <f>AND(Liste!#REF!,"AAAAAHfd8b4=")</f>
        <v>#REF!</v>
      </c>
      <c r="GJ175" t="e">
        <f>AND(Liste!#REF!,"AAAAAHfd8b8=")</f>
        <v>#REF!</v>
      </c>
      <c r="GK175" t="e">
        <f>AND(Liste!#REF!,"AAAAAHfd8cA=")</f>
        <v>#REF!</v>
      </c>
      <c r="GL175" t="e">
        <f>AND(Liste!#REF!,"AAAAAHfd8cE=")</f>
        <v>#REF!</v>
      </c>
      <c r="GM175" t="e">
        <f>AND(Liste!#REF!,"AAAAAHfd8cI=")</f>
        <v>#REF!</v>
      </c>
      <c r="GN175" t="e">
        <f>AND(Liste!#REF!,"AAAAAHfd8cM=")</f>
        <v>#REF!</v>
      </c>
      <c r="GO175" t="e">
        <f>AND(Liste!#REF!,"AAAAAHfd8cQ=")</f>
        <v>#REF!</v>
      </c>
      <c r="GP175" t="e">
        <f>AND(Liste!#REF!,"AAAAAHfd8cU=")</f>
        <v>#REF!</v>
      </c>
      <c r="GQ175" t="e">
        <f>AND(Liste!#REF!,"AAAAAHfd8cY=")</f>
        <v>#REF!</v>
      </c>
      <c r="GR175" t="e">
        <f>AND(Liste!#REF!,"AAAAAHfd8cc=")</f>
        <v>#REF!</v>
      </c>
      <c r="GS175" t="e">
        <f>AND(Liste!#REF!,"AAAAAHfd8cg=")</f>
        <v>#REF!</v>
      </c>
      <c r="GT175" t="e">
        <f>AND(Liste!#REF!,"AAAAAHfd8ck=")</f>
        <v>#REF!</v>
      </c>
      <c r="GU175" t="e">
        <f>AND(Liste!#REF!,"AAAAAHfd8co=")</f>
        <v>#REF!</v>
      </c>
      <c r="GV175" t="e">
        <f>AND(Liste!#REF!,"AAAAAHfd8cs=")</f>
        <v>#REF!</v>
      </c>
      <c r="GW175" t="e">
        <f>AND(Liste!#REF!,"AAAAAHfd8cw=")</f>
        <v>#REF!</v>
      </c>
      <c r="GX175" t="e">
        <f>AND(Liste!#REF!,"AAAAAHfd8c0=")</f>
        <v>#REF!</v>
      </c>
      <c r="GY175" t="e">
        <f>AND(Liste!#REF!,"AAAAAHfd8c4=")</f>
        <v>#REF!</v>
      </c>
      <c r="GZ175" t="e">
        <f>AND(Liste!#REF!,"AAAAAHfd8c8=")</f>
        <v>#REF!</v>
      </c>
      <c r="HA175" t="e">
        <f>AND(Liste!#REF!,"AAAAAHfd8dA=")</f>
        <v>#REF!</v>
      </c>
      <c r="HB175" t="e">
        <f>AND(Liste!#REF!,"AAAAAHfd8dE=")</f>
        <v>#REF!</v>
      </c>
      <c r="HC175" t="e">
        <f>AND(Liste!#REF!,"AAAAAHfd8dI=")</f>
        <v>#REF!</v>
      </c>
      <c r="HD175" t="e">
        <f>AND(Liste!#REF!,"AAAAAHfd8dM=")</f>
        <v>#REF!</v>
      </c>
      <c r="HE175" t="e">
        <f>AND(Liste!#REF!,"AAAAAHfd8dQ=")</f>
        <v>#REF!</v>
      </c>
      <c r="HF175" t="e">
        <f>AND(Liste!#REF!,"AAAAAHfd8dU=")</f>
        <v>#REF!</v>
      </c>
      <c r="HG175" t="e">
        <f>AND(Liste!#REF!,"AAAAAHfd8dY=")</f>
        <v>#REF!</v>
      </c>
      <c r="HH175" t="e">
        <f>AND(Liste!#REF!,"AAAAAHfd8dc=")</f>
        <v>#REF!</v>
      </c>
      <c r="HI175" t="e">
        <f>AND(Liste!#REF!,"AAAAAHfd8dg=")</f>
        <v>#REF!</v>
      </c>
      <c r="HJ175" t="e">
        <f>AND(Liste!#REF!,"AAAAAHfd8dk=")</f>
        <v>#REF!</v>
      </c>
      <c r="HK175" t="e">
        <f>AND(Liste!#REF!,"AAAAAHfd8do=")</f>
        <v>#REF!</v>
      </c>
      <c r="HL175" t="e">
        <f>AND(Liste!#REF!,"AAAAAHfd8ds=")</f>
        <v>#REF!</v>
      </c>
      <c r="HM175" t="e">
        <f>AND(Liste!#REF!,"AAAAAHfd8dw=")</f>
        <v>#REF!</v>
      </c>
      <c r="HN175" t="e">
        <f>AND(Liste!#REF!,"AAAAAHfd8d0=")</f>
        <v>#REF!</v>
      </c>
      <c r="HO175" t="e">
        <f>AND(Liste!#REF!,"AAAAAHfd8d4=")</f>
        <v>#REF!</v>
      </c>
      <c r="HP175" t="e">
        <f>AND(Liste!#REF!,"AAAAAHfd8d8=")</f>
        <v>#REF!</v>
      </c>
      <c r="HQ175" t="e">
        <f>AND(Liste!#REF!,"AAAAAHfd8eA=")</f>
        <v>#REF!</v>
      </c>
      <c r="HR175" t="e">
        <f>AND(Liste!#REF!,"AAAAAHfd8eE=")</f>
        <v>#REF!</v>
      </c>
      <c r="HS175" t="e">
        <f>AND(Liste!#REF!,"AAAAAHfd8eI=")</f>
        <v>#REF!</v>
      </c>
      <c r="HT175" t="e">
        <f>AND(Liste!#REF!,"AAAAAHfd8eM=")</f>
        <v>#REF!</v>
      </c>
      <c r="HU175" t="e">
        <f>AND(Liste!#REF!,"AAAAAHfd8eQ=")</f>
        <v>#REF!</v>
      </c>
      <c r="HV175" t="e">
        <f>AND(Liste!#REF!,"AAAAAHfd8eU=")</f>
        <v>#REF!</v>
      </c>
      <c r="HW175" t="e">
        <f>AND(Liste!#REF!,"AAAAAHfd8eY=")</f>
        <v>#REF!</v>
      </c>
      <c r="HX175" t="e">
        <f>AND(Liste!#REF!,"AAAAAHfd8ec=")</f>
        <v>#REF!</v>
      </c>
      <c r="HY175" t="e">
        <f>AND(Liste!#REF!,"AAAAAHfd8eg=")</f>
        <v>#REF!</v>
      </c>
      <c r="HZ175" t="e">
        <f>AND(Liste!#REF!,"AAAAAHfd8ek=")</f>
        <v>#REF!</v>
      </c>
      <c r="IA175" t="e">
        <f>AND(Liste!#REF!,"AAAAAHfd8eo=")</f>
        <v>#REF!</v>
      </c>
      <c r="IB175" t="e">
        <f>AND(Liste!#REF!,"AAAAAHfd8es=")</f>
        <v>#REF!</v>
      </c>
      <c r="IC175" t="e">
        <f>AND(Liste!#REF!,"AAAAAHfd8ew=")</f>
        <v>#REF!</v>
      </c>
      <c r="ID175" t="e">
        <f>AND(Liste!#REF!,"AAAAAHfd8e0=")</f>
        <v>#REF!</v>
      </c>
      <c r="IE175" t="e">
        <f>AND(Liste!#REF!,"AAAAAHfd8e4=")</f>
        <v>#REF!</v>
      </c>
      <c r="IF175" t="e">
        <f>AND(Liste!#REF!,"AAAAAHfd8e8=")</f>
        <v>#REF!</v>
      </c>
      <c r="IG175" t="e">
        <f>AND(Liste!#REF!,"AAAAAHfd8fA=")</f>
        <v>#REF!</v>
      </c>
      <c r="IH175" t="e">
        <f>AND(Liste!#REF!,"AAAAAHfd8fE=")</f>
        <v>#REF!</v>
      </c>
      <c r="II175" t="e">
        <f>AND(Liste!#REF!,"AAAAAHfd8fI=")</f>
        <v>#REF!</v>
      </c>
      <c r="IJ175" t="e">
        <f>AND(Liste!#REF!,"AAAAAHfd8fM=")</f>
        <v>#REF!</v>
      </c>
      <c r="IK175" t="e">
        <f>AND(Liste!#REF!,"AAAAAHfd8fQ=")</f>
        <v>#REF!</v>
      </c>
      <c r="IL175" t="e">
        <f>AND(Liste!#REF!,"AAAAAHfd8fU=")</f>
        <v>#REF!</v>
      </c>
      <c r="IM175" t="e">
        <f>AND(Liste!#REF!,"AAAAAHfd8fY=")</f>
        <v>#REF!</v>
      </c>
      <c r="IN175" t="e">
        <f>AND(Liste!#REF!,"AAAAAHfd8fc=")</f>
        <v>#REF!</v>
      </c>
      <c r="IO175" t="e">
        <f>AND(Liste!#REF!,"AAAAAHfd8fg=")</f>
        <v>#REF!</v>
      </c>
      <c r="IP175" t="e">
        <f>AND(Liste!#REF!,"AAAAAHfd8fk=")</f>
        <v>#REF!</v>
      </c>
      <c r="IQ175" t="e">
        <f>AND(Liste!#REF!,"AAAAAHfd8fo=")</f>
        <v>#REF!</v>
      </c>
      <c r="IR175" t="e">
        <f>AND(Liste!#REF!,"AAAAAHfd8fs=")</f>
        <v>#REF!</v>
      </c>
      <c r="IS175" t="e">
        <f>AND(Liste!#REF!,"AAAAAHfd8fw=")</f>
        <v>#REF!</v>
      </c>
      <c r="IT175" t="e">
        <f>AND(Liste!#REF!,"AAAAAHfd8f0=")</f>
        <v>#REF!</v>
      </c>
      <c r="IU175" t="e">
        <f>AND(Liste!#REF!,"AAAAAHfd8f4=")</f>
        <v>#REF!</v>
      </c>
      <c r="IV175" t="e">
        <f>AND(Liste!#REF!,"AAAAAHfd8f8=")</f>
        <v>#REF!</v>
      </c>
    </row>
    <row r="176" spans="1:256" x14ac:dyDescent="0.2">
      <c r="A176" t="e">
        <f>AND(Liste!#REF!,"AAAAAAP/vwA=")</f>
        <v>#REF!</v>
      </c>
      <c r="B176" t="e">
        <f>AND(Liste!#REF!,"AAAAAAP/vwE=")</f>
        <v>#REF!</v>
      </c>
      <c r="C176" t="e">
        <f>AND(Liste!#REF!,"AAAAAAP/vwI=")</f>
        <v>#REF!</v>
      </c>
      <c r="D176" t="e">
        <f>AND(Liste!C310,"AAAAAAP/vwM=")</f>
        <v>#VALUE!</v>
      </c>
      <c r="E176" t="e">
        <f>AND(Liste!D310,"AAAAAAP/vwQ=")</f>
        <v>#VALUE!</v>
      </c>
      <c r="F176" t="e">
        <f>AND(Liste!E310,"AAAAAAP/vwU=")</f>
        <v>#VALUE!</v>
      </c>
      <c r="G176" t="e">
        <f>AND(Liste!#REF!,"AAAAAAP/vwY=")</f>
        <v>#REF!</v>
      </c>
      <c r="H176" t="e">
        <f>AND(Liste!#REF!,"AAAAAAP/vwc=")</f>
        <v>#REF!</v>
      </c>
      <c r="I176" t="e">
        <f>AND(Liste!#REF!,"AAAAAAP/vwg=")</f>
        <v>#REF!</v>
      </c>
      <c r="J176" t="e">
        <f>AND(Liste!#REF!,"AAAAAAP/vwk=")</f>
        <v>#REF!</v>
      </c>
      <c r="K176" t="e">
        <f>AND(Liste!#REF!,"AAAAAAP/vwo=")</f>
        <v>#REF!</v>
      </c>
      <c r="L176" t="e">
        <f>AND(Liste!#REF!,"AAAAAAP/vws=")</f>
        <v>#REF!</v>
      </c>
      <c r="M176" t="e">
        <f>AND(Liste!#REF!,"AAAAAAP/vww=")</f>
        <v>#REF!</v>
      </c>
      <c r="N176" t="e">
        <f>AND(Liste!#REF!,"AAAAAAP/vw0=")</f>
        <v>#REF!</v>
      </c>
      <c r="O176" t="e">
        <f>AND(Liste!#REF!,"AAAAAAP/vw4=")</f>
        <v>#REF!</v>
      </c>
      <c r="P176" t="e">
        <f>AND(Liste!#REF!,"AAAAAAP/vw8=")</f>
        <v>#REF!</v>
      </c>
      <c r="Q176" t="e">
        <f>AND(Liste!#REF!,"AAAAAAP/vxA=")</f>
        <v>#REF!</v>
      </c>
      <c r="R176" t="e">
        <f>AND(Liste!#REF!,"AAAAAAP/vxE=")</f>
        <v>#REF!</v>
      </c>
      <c r="S176" t="e">
        <f>AND(Liste!#REF!,"AAAAAAP/vxI=")</f>
        <v>#REF!</v>
      </c>
      <c r="T176" t="e">
        <f>AND(Liste!#REF!,"AAAAAAP/vxM=")</f>
        <v>#REF!</v>
      </c>
      <c r="U176" t="e">
        <f>AND(Liste!#REF!,"AAAAAAP/vxQ=")</f>
        <v>#REF!</v>
      </c>
      <c r="V176" t="e">
        <f>AND(Liste!#REF!,"AAAAAAP/vxU=")</f>
        <v>#REF!</v>
      </c>
      <c r="W176" t="e">
        <f>AND(Liste!#REF!,"AAAAAAP/vxY=")</f>
        <v>#REF!</v>
      </c>
      <c r="X176" t="e">
        <f>AND(Liste!#REF!,"AAAAAAP/vxc=")</f>
        <v>#REF!</v>
      </c>
      <c r="Y176" t="e">
        <f>AND(Liste!#REF!,"AAAAAAP/vxg=")</f>
        <v>#REF!</v>
      </c>
      <c r="Z176" t="e">
        <f>AND(Liste!#REF!,"AAAAAAP/vxk=")</f>
        <v>#REF!</v>
      </c>
      <c r="AA176" t="e">
        <f>AND(Liste!#REF!,"AAAAAAP/vxo=")</f>
        <v>#REF!</v>
      </c>
      <c r="AB176" t="e">
        <f>AND(Liste!#REF!,"AAAAAAP/vxs=")</f>
        <v>#REF!</v>
      </c>
      <c r="AC176" t="e">
        <f>AND(Liste!#REF!,"AAAAAAP/vxw=")</f>
        <v>#REF!</v>
      </c>
      <c r="AD176" t="e">
        <f>AND(Liste!#REF!,"AAAAAAP/vx0=")</f>
        <v>#REF!</v>
      </c>
      <c r="AE176" t="e">
        <f>AND(Liste!#REF!,"AAAAAAP/vx4=")</f>
        <v>#REF!</v>
      </c>
      <c r="AF176" t="e">
        <f>AND(Liste!#REF!,"AAAAAAP/vx8=")</f>
        <v>#REF!</v>
      </c>
      <c r="AG176" t="e">
        <f>AND(Liste!#REF!,"AAAAAAP/vyA=")</f>
        <v>#REF!</v>
      </c>
      <c r="AH176" t="e">
        <f>AND(Liste!#REF!,"AAAAAAP/vyE=")</f>
        <v>#REF!</v>
      </c>
      <c r="AI176" t="e">
        <f>AND(Liste!#REF!,"AAAAAAP/vyI=")</f>
        <v>#REF!</v>
      </c>
      <c r="AJ176" t="e">
        <f>AND(Liste!#REF!,"AAAAAAP/vyM=")</f>
        <v>#REF!</v>
      </c>
      <c r="AK176" t="e">
        <f>AND(Liste!#REF!,"AAAAAAP/vyQ=")</f>
        <v>#REF!</v>
      </c>
      <c r="AL176" t="e">
        <f>AND(Liste!#REF!,"AAAAAAP/vyU=")</f>
        <v>#REF!</v>
      </c>
      <c r="AM176" t="e">
        <f>AND(Liste!#REF!,"AAAAAAP/vyY=")</f>
        <v>#REF!</v>
      </c>
      <c r="AN176" t="e">
        <f>AND(Liste!#REF!,"AAAAAAP/vyc=")</f>
        <v>#REF!</v>
      </c>
      <c r="AO176" t="e">
        <f>AND(Liste!#REF!,"AAAAAAP/vyg=")</f>
        <v>#REF!</v>
      </c>
      <c r="AP176" t="e">
        <f>AND(Liste!#REF!,"AAAAAAP/vyk=")</f>
        <v>#REF!</v>
      </c>
      <c r="AQ176" t="e">
        <f>AND(Liste!#REF!,"AAAAAAP/vyo=")</f>
        <v>#REF!</v>
      </c>
      <c r="AR176" t="e">
        <f>AND(Liste!#REF!,"AAAAAAP/vys=")</f>
        <v>#REF!</v>
      </c>
      <c r="AS176" t="e">
        <f>AND(Liste!#REF!,"AAAAAAP/vyw=")</f>
        <v>#REF!</v>
      </c>
      <c r="AT176" t="e">
        <f>AND(Liste!#REF!,"AAAAAAP/vy0=")</f>
        <v>#REF!</v>
      </c>
      <c r="AU176" t="e">
        <f>AND(Liste!#REF!,"AAAAAAP/vy4=")</f>
        <v>#REF!</v>
      </c>
      <c r="AV176" t="e">
        <f>AND(Liste!#REF!,"AAAAAAP/vy8=")</f>
        <v>#REF!</v>
      </c>
      <c r="AW176" t="e">
        <f>AND(Liste!#REF!,"AAAAAAP/vzA=")</f>
        <v>#REF!</v>
      </c>
      <c r="AX176" t="e">
        <f>AND(Liste!#REF!,"AAAAAAP/vzE=")</f>
        <v>#REF!</v>
      </c>
      <c r="AY176" t="e">
        <f>AND(Liste!#REF!,"AAAAAAP/vzI=")</f>
        <v>#REF!</v>
      </c>
      <c r="AZ176" t="e">
        <f>AND(Liste!#REF!,"AAAAAAP/vzM=")</f>
        <v>#REF!</v>
      </c>
      <c r="BA176" t="e">
        <f>AND(Liste!#REF!,"AAAAAAP/vzQ=")</f>
        <v>#REF!</v>
      </c>
      <c r="BB176" t="e">
        <f>AND(Liste!#REF!,"AAAAAAP/vzU=")</f>
        <v>#REF!</v>
      </c>
      <c r="BC176" t="e">
        <f>AND(Liste!#REF!,"AAAAAAP/vzY=")</f>
        <v>#REF!</v>
      </c>
      <c r="BD176" t="e">
        <f>AND(Liste!#REF!,"AAAAAAP/vzc=")</f>
        <v>#REF!</v>
      </c>
      <c r="BE176" t="e">
        <f>AND(Liste!#REF!,"AAAAAAP/vzg=")</f>
        <v>#REF!</v>
      </c>
      <c r="BF176" t="e">
        <f>AND(Liste!#REF!,"AAAAAAP/vzk=")</f>
        <v>#REF!</v>
      </c>
      <c r="BG176" t="e">
        <f>AND(Liste!#REF!,"AAAAAAP/vzo=")</f>
        <v>#REF!</v>
      </c>
      <c r="BH176" t="e">
        <f>AND(Liste!#REF!,"AAAAAAP/vzs=")</f>
        <v>#REF!</v>
      </c>
      <c r="BI176" t="e">
        <f>AND(Liste!#REF!,"AAAAAAP/vzw=")</f>
        <v>#REF!</v>
      </c>
      <c r="BJ176" t="e">
        <f>AND(Liste!#REF!,"AAAAAAP/vz0=")</f>
        <v>#REF!</v>
      </c>
      <c r="BK176" t="e">
        <f>AND(Liste!#REF!,"AAAAAAP/vz4=")</f>
        <v>#REF!</v>
      </c>
      <c r="BL176" t="e">
        <f>AND(Liste!#REF!,"AAAAAAP/vz8=")</f>
        <v>#REF!</v>
      </c>
      <c r="BM176" t="e">
        <f>AND(Liste!#REF!,"AAAAAAP/v0A=")</f>
        <v>#REF!</v>
      </c>
      <c r="BN176" t="e">
        <f>AND(Liste!#REF!,"AAAAAAP/v0E=")</f>
        <v>#REF!</v>
      </c>
      <c r="BO176" t="e">
        <f>AND(Liste!#REF!,"AAAAAAP/v0I=")</f>
        <v>#REF!</v>
      </c>
      <c r="BP176" t="e">
        <f>AND(Liste!#REF!,"AAAAAAP/v0M=")</f>
        <v>#REF!</v>
      </c>
      <c r="BQ176" t="e">
        <f>AND(Liste!#REF!,"AAAAAAP/v0Q=")</f>
        <v>#REF!</v>
      </c>
      <c r="BR176" t="e">
        <f>AND(Liste!#REF!,"AAAAAAP/v0U=")</f>
        <v>#REF!</v>
      </c>
      <c r="BS176" t="e">
        <f>AND(Liste!#REF!,"AAAAAAP/v0Y=")</f>
        <v>#REF!</v>
      </c>
      <c r="BT176" t="e">
        <f>AND(Liste!#REF!,"AAAAAAP/v0c=")</f>
        <v>#REF!</v>
      </c>
      <c r="BU176" t="e">
        <f>AND(Liste!#REF!,"AAAAAAP/v0g=")</f>
        <v>#REF!</v>
      </c>
      <c r="BV176" t="e">
        <f>AND(Liste!#REF!,"AAAAAAP/v0k=")</f>
        <v>#REF!</v>
      </c>
      <c r="BW176" t="e">
        <f>AND(Liste!#REF!,"AAAAAAP/v0o=")</f>
        <v>#REF!</v>
      </c>
      <c r="BX176" t="e">
        <f>AND(Liste!#REF!,"AAAAAAP/v0s=")</f>
        <v>#REF!</v>
      </c>
      <c r="BY176" t="e">
        <f>AND(Liste!#REF!,"AAAAAAP/v0w=")</f>
        <v>#REF!</v>
      </c>
      <c r="BZ176" t="e">
        <f>AND(Liste!#REF!,"AAAAAAP/v00=")</f>
        <v>#REF!</v>
      </c>
      <c r="CA176" t="e">
        <f>AND(Liste!#REF!,"AAAAAAP/v04=")</f>
        <v>#REF!</v>
      </c>
      <c r="CB176" t="e">
        <f>AND(Liste!#REF!,"AAAAAAP/v08=")</f>
        <v>#REF!</v>
      </c>
      <c r="CC176" t="e">
        <f>AND(Liste!#REF!,"AAAAAAP/v1A=")</f>
        <v>#REF!</v>
      </c>
      <c r="CD176" t="e">
        <f>AND(Liste!#REF!,"AAAAAAP/v1E=")</f>
        <v>#REF!</v>
      </c>
      <c r="CE176" t="e">
        <f>AND(Liste!#REF!,"AAAAAAP/v1I=")</f>
        <v>#REF!</v>
      </c>
      <c r="CF176" t="e">
        <f>AND(Liste!#REF!,"AAAAAAP/v1M=")</f>
        <v>#REF!</v>
      </c>
      <c r="CG176" t="e">
        <f>AND(Liste!#REF!,"AAAAAAP/v1Q=")</f>
        <v>#REF!</v>
      </c>
      <c r="CH176" t="e">
        <f>AND(Liste!#REF!,"AAAAAAP/v1U=")</f>
        <v>#REF!</v>
      </c>
      <c r="CI176" t="e">
        <f>AND(Liste!#REF!,"AAAAAAP/v1Y=")</f>
        <v>#REF!</v>
      </c>
      <c r="CJ176" t="e">
        <f>AND(Liste!#REF!,"AAAAAAP/v1c=")</f>
        <v>#REF!</v>
      </c>
      <c r="CK176" t="e">
        <f>AND(Liste!#REF!,"AAAAAAP/v1g=")</f>
        <v>#REF!</v>
      </c>
      <c r="CL176" t="e">
        <f>AND(Liste!#REF!,"AAAAAAP/v1k=")</f>
        <v>#REF!</v>
      </c>
      <c r="CM176" t="e">
        <f>AND(Liste!C338,"AAAAAAP/v1o=")</f>
        <v>#VALUE!</v>
      </c>
      <c r="CN176" t="e">
        <f>AND(Liste!D338,"AAAAAAP/v1s=")</f>
        <v>#VALUE!</v>
      </c>
      <c r="CO176" t="e">
        <f>AND(Liste!E338,"AAAAAAP/v1w=")</f>
        <v>#VALUE!</v>
      </c>
      <c r="CP176" t="e">
        <f>AND(Liste!#REF!,"AAAAAAP/v10=")</f>
        <v>#REF!</v>
      </c>
      <c r="CQ176" t="e">
        <f>AND(Liste!#REF!,"AAAAAAP/v14=")</f>
        <v>#REF!</v>
      </c>
      <c r="CR176" t="e">
        <f>AND(Liste!#REF!,"AAAAAAP/v18=")</f>
        <v>#REF!</v>
      </c>
      <c r="CS176" t="e">
        <f>AND(Liste!#REF!,"AAAAAAP/v2A=")</f>
        <v>#REF!</v>
      </c>
      <c r="CT176" t="e">
        <f>AND(Liste!#REF!,"AAAAAAP/v2E=")</f>
        <v>#REF!</v>
      </c>
      <c r="CU176" t="e">
        <f>AND(Liste!#REF!,"AAAAAAP/v2I=")</f>
        <v>#REF!</v>
      </c>
      <c r="CV176" t="e">
        <f>AND(Liste!#REF!,"AAAAAAP/v2M=")</f>
        <v>#REF!</v>
      </c>
      <c r="CW176" t="e">
        <f>AND(Liste!#REF!,"AAAAAAP/v2Q=")</f>
        <v>#REF!</v>
      </c>
      <c r="CX176" t="e">
        <f>AND(Liste!#REF!,"AAAAAAP/v2U=")</f>
        <v>#REF!</v>
      </c>
      <c r="CY176" t="e">
        <f>AND(Liste!#REF!,"AAAAAAP/v2Y=")</f>
        <v>#REF!</v>
      </c>
      <c r="CZ176" t="e">
        <f>AND(Liste!#REF!,"AAAAAAP/v2c=")</f>
        <v>#REF!</v>
      </c>
      <c r="DA176" t="e">
        <f>AND(Liste!#REF!,"AAAAAAP/v2g=")</f>
        <v>#REF!</v>
      </c>
      <c r="DB176" t="e">
        <f>AND(Liste!#REF!,"AAAAAAP/v2k=")</f>
        <v>#REF!</v>
      </c>
      <c r="DC176" t="e">
        <f>AND(Liste!#REF!,"AAAAAAP/v2o=")</f>
        <v>#REF!</v>
      </c>
      <c r="DD176" t="e">
        <f>AND(Liste!#REF!,"AAAAAAP/v2s=")</f>
        <v>#REF!</v>
      </c>
      <c r="DE176" t="e">
        <f>AND(Liste!#REF!,"AAAAAAP/v2w=")</f>
        <v>#REF!</v>
      </c>
      <c r="DF176" t="e">
        <f>AND(Liste!#REF!,"AAAAAAP/v20=")</f>
        <v>#REF!</v>
      </c>
      <c r="DG176" t="e">
        <f>AND(Liste!#REF!,"AAAAAAP/v24=")</f>
        <v>#REF!</v>
      </c>
      <c r="DH176" t="e">
        <f>AND(Liste!#REF!,"AAAAAAP/v28=")</f>
        <v>#REF!</v>
      </c>
      <c r="DI176" t="e">
        <f>AND(Liste!#REF!,"AAAAAAP/v3A=")</f>
        <v>#REF!</v>
      </c>
      <c r="DJ176" t="e">
        <f>AND(Liste!#REF!,"AAAAAAP/v3E=")</f>
        <v>#REF!</v>
      </c>
      <c r="DK176" t="e">
        <f>AND(Liste!#REF!,"AAAAAAP/v3I=")</f>
        <v>#REF!</v>
      </c>
      <c r="DL176" t="e">
        <f>AND(Liste!#REF!,"AAAAAAP/v3M=")</f>
        <v>#REF!</v>
      </c>
      <c r="DM176" t="e">
        <f>AND(Liste!#REF!,"AAAAAAP/v3Q=")</f>
        <v>#REF!</v>
      </c>
      <c r="DN176" t="e">
        <f>AND(Liste!#REF!,"AAAAAAP/v3U=")</f>
        <v>#REF!</v>
      </c>
      <c r="DO176" t="e">
        <f>AND(Liste!#REF!,"AAAAAAP/v3Y=")</f>
        <v>#REF!</v>
      </c>
      <c r="DP176" t="e">
        <f>AND(Liste!#REF!,"AAAAAAP/v3c=")</f>
        <v>#REF!</v>
      </c>
      <c r="DQ176" t="e">
        <f>AND(Liste!#REF!,"AAAAAAP/v3g=")</f>
        <v>#REF!</v>
      </c>
      <c r="DR176" t="e">
        <f>AND(Liste!#REF!,"AAAAAAP/v3k=")</f>
        <v>#REF!</v>
      </c>
      <c r="DS176" t="e">
        <f>AND(Liste!#REF!,"AAAAAAP/v3o=")</f>
        <v>#REF!</v>
      </c>
      <c r="DT176" t="e">
        <f>AND(Liste!#REF!,"AAAAAAP/v3s=")</f>
        <v>#REF!</v>
      </c>
      <c r="DU176" t="e">
        <f>AND(Liste!#REF!,"AAAAAAP/v3w=")</f>
        <v>#REF!</v>
      </c>
      <c r="DV176" t="e">
        <f>AND(Liste!#REF!,"AAAAAAP/v30=")</f>
        <v>#REF!</v>
      </c>
      <c r="DW176" t="e">
        <f>AND(Liste!#REF!,"AAAAAAP/v34=")</f>
        <v>#REF!</v>
      </c>
      <c r="DX176" t="e">
        <f>AND(Liste!#REF!,"AAAAAAP/v38=")</f>
        <v>#REF!</v>
      </c>
      <c r="DY176" t="e">
        <f>AND(Liste!#REF!,"AAAAAAP/v4A=")</f>
        <v>#REF!</v>
      </c>
      <c r="DZ176" t="e">
        <f>AND(Liste!#REF!,"AAAAAAP/v4E=")</f>
        <v>#REF!</v>
      </c>
      <c r="EA176" t="e">
        <f>AND(Liste!#REF!,"AAAAAAP/v4I=")</f>
        <v>#REF!</v>
      </c>
      <c r="EB176" t="e">
        <f>AND(Liste!#REF!,"AAAAAAP/v4M=")</f>
        <v>#REF!</v>
      </c>
      <c r="EC176" t="e">
        <f>AND(Liste!#REF!,"AAAAAAP/v4Q=")</f>
        <v>#REF!</v>
      </c>
      <c r="ED176" t="e">
        <f>AND(Liste!#REF!,"AAAAAAP/v4U=")</f>
        <v>#REF!</v>
      </c>
      <c r="EE176" t="e">
        <f>AND(Liste!#REF!,"AAAAAAP/v4Y=")</f>
        <v>#REF!</v>
      </c>
      <c r="EF176" t="e">
        <f>AND(Liste!#REF!,"AAAAAAP/v4c=")</f>
        <v>#REF!</v>
      </c>
      <c r="EG176" t="e">
        <f>AND(Liste!#REF!,"AAAAAAP/v4g=")</f>
        <v>#REF!</v>
      </c>
      <c r="EH176" t="e">
        <f>AND(Liste!#REF!,"AAAAAAP/v4k=")</f>
        <v>#REF!</v>
      </c>
      <c r="EI176" t="e">
        <f>AND(Liste!#REF!,"AAAAAAP/v4o=")</f>
        <v>#REF!</v>
      </c>
      <c r="EJ176" t="e">
        <f>AND(Liste!#REF!,"AAAAAAP/v4s=")</f>
        <v>#REF!</v>
      </c>
      <c r="EK176" t="e">
        <f>AND(Liste!#REF!,"AAAAAAP/v4w=")</f>
        <v>#REF!</v>
      </c>
      <c r="EL176" t="e">
        <f>AND(Liste!#REF!,"AAAAAAP/v40=")</f>
        <v>#REF!</v>
      </c>
      <c r="EM176" t="e">
        <f>AND(Liste!#REF!,"AAAAAAP/v44=")</f>
        <v>#REF!</v>
      </c>
      <c r="EN176" t="e">
        <f>AND(Liste!#REF!,"AAAAAAP/v48=")</f>
        <v>#REF!</v>
      </c>
      <c r="EO176" t="e">
        <f>AND(Liste!#REF!,"AAAAAAP/v5A=")</f>
        <v>#REF!</v>
      </c>
      <c r="EP176" t="e">
        <f>AND(Liste!#REF!,"AAAAAAP/v5E=")</f>
        <v>#REF!</v>
      </c>
      <c r="EQ176" t="e">
        <f>AND(Liste!#REF!,"AAAAAAP/v5I=")</f>
        <v>#REF!</v>
      </c>
      <c r="ER176" t="e">
        <f>AND(Liste!#REF!,"AAAAAAP/v5M=")</f>
        <v>#REF!</v>
      </c>
      <c r="ES176" t="e">
        <f>AND(Liste!#REF!,"AAAAAAP/v5Q=")</f>
        <v>#REF!</v>
      </c>
      <c r="ET176" t="e">
        <f>AND(Liste!#REF!,"AAAAAAP/v5U=")</f>
        <v>#REF!</v>
      </c>
      <c r="EU176" t="e">
        <f>AND(Liste!#REF!,"AAAAAAP/v5Y=")</f>
        <v>#REF!</v>
      </c>
      <c r="EV176" t="e">
        <f>AND(Liste!#REF!,"AAAAAAP/v5c=")</f>
        <v>#REF!</v>
      </c>
      <c r="EW176" t="e">
        <f>AND(Liste!#REF!,"AAAAAAP/v5g=")</f>
        <v>#REF!</v>
      </c>
      <c r="EX176" t="e">
        <f>AND(Liste!#REF!,"AAAAAAP/v5k=")</f>
        <v>#REF!</v>
      </c>
      <c r="EY176" t="e">
        <f>AND(Liste!#REF!,"AAAAAAP/v5o=")</f>
        <v>#REF!</v>
      </c>
      <c r="EZ176" t="e">
        <f>AND(Liste!#REF!,"AAAAAAP/v5s=")</f>
        <v>#REF!</v>
      </c>
      <c r="FA176" t="e">
        <f>AND(Liste!#REF!,"AAAAAAP/v5w=")</f>
        <v>#REF!</v>
      </c>
      <c r="FB176" t="e">
        <f>AND(Liste!#REF!,"AAAAAAP/v50=")</f>
        <v>#REF!</v>
      </c>
      <c r="FC176" t="e">
        <f>AND(Liste!#REF!,"AAAAAAP/v54=")</f>
        <v>#REF!</v>
      </c>
      <c r="FD176" t="e">
        <f>AND(Liste!#REF!,"AAAAAAP/v58=")</f>
        <v>#REF!</v>
      </c>
      <c r="FE176" t="e">
        <f>AND(Liste!#REF!,"AAAAAAP/v6A=")</f>
        <v>#REF!</v>
      </c>
      <c r="FF176" t="e">
        <f>AND(Liste!#REF!,"AAAAAAP/v6E=")</f>
        <v>#REF!</v>
      </c>
      <c r="FG176" t="e">
        <f>AND(Liste!#REF!,"AAAAAAP/v6I=")</f>
        <v>#REF!</v>
      </c>
      <c r="FH176" t="e">
        <f>AND(Liste!#REF!,"AAAAAAP/v6M=")</f>
        <v>#REF!</v>
      </c>
      <c r="FI176" t="e">
        <f>AND(Liste!#REF!,"AAAAAAP/v6Q=")</f>
        <v>#REF!</v>
      </c>
      <c r="FJ176" t="e">
        <f>AND(Liste!#REF!,"AAAAAAP/v6U=")</f>
        <v>#REF!</v>
      </c>
      <c r="FK176" t="e">
        <f>AND(Liste!#REF!,"AAAAAAP/v6Y=")</f>
        <v>#REF!</v>
      </c>
      <c r="FL176" t="e">
        <f>AND(Liste!#REF!,"AAAAAAP/v6c=")</f>
        <v>#REF!</v>
      </c>
      <c r="FM176" t="e">
        <f>AND(Liste!#REF!,"AAAAAAP/v6g=")</f>
        <v>#REF!</v>
      </c>
      <c r="FN176" t="e">
        <f>AND(Liste!#REF!,"AAAAAAP/v6k=")</f>
        <v>#REF!</v>
      </c>
      <c r="FO176" t="e">
        <f>AND(Liste!#REF!,"AAAAAAP/v6o=")</f>
        <v>#REF!</v>
      </c>
      <c r="FP176" t="e">
        <f>AND(Liste!#REF!,"AAAAAAP/v6s=")</f>
        <v>#REF!</v>
      </c>
      <c r="FQ176" t="e">
        <f>AND(Liste!#REF!,"AAAAAAP/v6w=")</f>
        <v>#REF!</v>
      </c>
      <c r="FR176" t="e">
        <f>AND(Liste!#REF!,"AAAAAAP/v60=")</f>
        <v>#REF!</v>
      </c>
      <c r="FS176" t="e">
        <f>AND(Liste!#REF!,"AAAAAAP/v64=")</f>
        <v>#REF!</v>
      </c>
      <c r="FT176" t="e">
        <f>AND(Liste!#REF!,"AAAAAAP/v68=")</f>
        <v>#REF!</v>
      </c>
      <c r="FU176" t="e">
        <f>AND(Liste!#REF!,"AAAAAAP/v7A=")</f>
        <v>#REF!</v>
      </c>
      <c r="FV176" t="e">
        <f>AND(Liste!C366,"AAAAAAP/v7E=")</f>
        <v>#VALUE!</v>
      </c>
      <c r="FW176" t="e">
        <f>AND(Liste!D366,"AAAAAAP/v7I=")</f>
        <v>#VALUE!</v>
      </c>
      <c r="FX176" t="e">
        <f>AND(Liste!E366,"AAAAAAP/v7M=")</f>
        <v>#VALUE!</v>
      </c>
      <c r="FY176" t="e">
        <f>AND(Liste!#REF!,"AAAAAAP/v7Q=")</f>
        <v>#REF!</v>
      </c>
      <c r="FZ176" t="e">
        <f>AND(Liste!#REF!,"AAAAAAP/v7U=")</f>
        <v>#REF!</v>
      </c>
      <c r="GA176" t="e">
        <f>AND(Liste!#REF!,"AAAAAAP/v7Y=")</f>
        <v>#REF!</v>
      </c>
      <c r="GB176" t="e">
        <f>AND(Liste!#REF!,"AAAAAAP/v7c=")</f>
        <v>#REF!</v>
      </c>
      <c r="GC176" t="e">
        <f>AND(Liste!#REF!,"AAAAAAP/v7g=")</f>
        <v>#REF!</v>
      </c>
      <c r="GD176" t="e">
        <f>AND(Liste!#REF!,"AAAAAAP/v7k=")</f>
        <v>#REF!</v>
      </c>
      <c r="GE176" t="e">
        <f>AND(Liste!#REF!,"AAAAAAP/v7o=")</f>
        <v>#REF!</v>
      </c>
      <c r="GF176" t="e">
        <f>AND(Liste!#REF!,"AAAAAAP/v7s=")</f>
        <v>#REF!</v>
      </c>
      <c r="GG176" t="e">
        <f>AND(Liste!#REF!,"AAAAAAP/v7w=")</f>
        <v>#REF!</v>
      </c>
      <c r="GH176" t="e">
        <f>AND(Liste!#REF!,"AAAAAAP/v70=")</f>
        <v>#REF!</v>
      </c>
      <c r="GI176" t="e">
        <f>AND(Liste!#REF!,"AAAAAAP/v74=")</f>
        <v>#REF!</v>
      </c>
      <c r="GJ176" t="e">
        <f>AND(Liste!#REF!,"AAAAAAP/v78=")</f>
        <v>#REF!</v>
      </c>
      <c r="GK176" t="e">
        <f>AND(Liste!#REF!,"AAAAAAP/v8A=")</f>
        <v>#REF!</v>
      </c>
      <c r="GL176" t="e">
        <f>AND(Liste!#REF!,"AAAAAAP/v8E=")</f>
        <v>#REF!</v>
      </c>
      <c r="GM176" t="e">
        <f>AND(Liste!#REF!,"AAAAAAP/v8I=")</f>
        <v>#REF!</v>
      </c>
      <c r="GN176" t="e">
        <f>AND(Liste!#REF!,"AAAAAAP/v8M=")</f>
        <v>#REF!</v>
      </c>
      <c r="GO176" t="e">
        <f>AND(Liste!#REF!,"AAAAAAP/v8Q=")</f>
        <v>#REF!</v>
      </c>
      <c r="GP176" t="e">
        <f>AND(Liste!#REF!,"AAAAAAP/v8U=")</f>
        <v>#REF!</v>
      </c>
      <c r="GQ176" t="e">
        <f>AND(Liste!#REF!,"AAAAAAP/v8Y=")</f>
        <v>#REF!</v>
      </c>
      <c r="GR176" t="e">
        <f>AND(Liste!#REF!,"AAAAAAP/v8c=")</f>
        <v>#REF!</v>
      </c>
      <c r="GS176" t="e">
        <f>AND(Liste!#REF!,"AAAAAAP/v8g=")</f>
        <v>#REF!</v>
      </c>
      <c r="GT176" t="e">
        <f>AND(Liste!#REF!,"AAAAAAP/v8k=")</f>
        <v>#REF!</v>
      </c>
      <c r="GU176" t="e">
        <f>AND(Liste!#REF!,"AAAAAAP/v8o=")</f>
        <v>#REF!</v>
      </c>
      <c r="GV176" t="e">
        <f>AND(Liste!#REF!,"AAAAAAP/v8s=")</f>
        <v>#REF!</v>
      </c>
      <c r="GW176" t="e">
        <f>AND(Liste!#REF!,"AAAAAAP/v8w=")</f>
        <v>#REF!</v>
      </c>
      <c r="GX176" t="e">
        <f>AND(Liste!#REF!,"AAAAAAP/v80=")</f>
        <v>#REF!</v>
      </c>
      <c r="GY176" t="e">
        <f>AND(Liste!#REF!,"AAAAAAP/v84=")</f>
        <v>#REF!</v>
      </c>
      <c r="GZ176" t="e">
        <f>AND(Liste!#REF!,"AAAAAAP/v88=")</f>
        <v>#REF!</v>
      </c>
      <c r="HA176" t="e">
        <f>AND(Liste!#REF!,"AAAAAAP/v9A=")</f>
        <v>#REF!</v>
      </c>
      <c r="HB176" t="e">
        <f>AND(Liste!#REF!,"AAAAAAP/v9E=")</f>
        <v>#REF!</v>
      </c>
      <c r="HC176" t="e">
        <f>AND(Liste!#REF!,"AAAAAAP/v9I=")</f>
        <v>#REF!</v>
      </c>
      <c r="HD176" t="e">
        <f>AND(Liste!#REF!,"AAAAAAP/v9M=")</f>
        <v>#REF!</v>
      </c>
      <c r="HE176" t="e">
        <f>AND(Liste!#REF!,"AAAAAAP/v9Q=")</f>
        <v>#REF!</v>
      </c>
      <c r="HF176" t="e">
        <f>AND(Liste!#REF!,"AAAAAAP/v9U=")</f>
        <v>#REF!</v>
      </c>
      <c r="HG176" t="e">
        <f>AND(Liste!#REF!,"AAAAAAP/v9Y=")</f>
        <v>#REF!</v>
      </c>
      <c r="HH176" t="e">
        <f>AND(Liste!#REF!,"AAAAAAP/v9c=")</f>
        <v>#REF!</v>
      </c>
      <c r="HI176" t="e">
        <f>AND(Liste!#REF!,"AAAAAAP/v9g=")</f>
        <v>#REF!</v>
      </c>
      <c r="HJ176" t="e">
        <f>AND(Liste!#REF!,"AAAAAAP/v9k=")</f>
        <v>#REF!</v>
      </c>
      <c r="HK176" t="e">
        <f>AND(Liste!#REF!,"AAAAAAP/v9o=")</f>
        <v>#REF!</v>
      </c>
      <c r="HL176" t="e">
        <f>AND(Liste!#REF!,"AAAAAAP/v9s=")</f>
        <v>#REF!</v>
      </c>
      <c r="HM176" t="e">
        <f>AND(Liste!#REF!,"AAAAAAP/v9w=")</f>
        <v>#REF!</v>
      </c>
      <c r="HN176" t="e">
        <f>AND(Liste!#REF!,"AAAAAAP/v90=")</f>
        <v>#REF!</v>
      </c>
      <c r="HO176" t="e">
        <f>AND(Liste!#REF!,"AAAAAAP/v94=")</f>
        <v>#REF!</v>
      </c>
      <c r="HP176" t="e">
        <f>AND(Liste!#REF!,"AAAAAAP/v98=")</f>
        <v>#REF!</v>
      </c>
      <c r="HQ176" t="e">
        <f>AND(Liste!#REF!,"AAAAAAP/v+A=")</f>
        <v>#REF!</v>
      </c>
      <c r="HR176" t="e">
        <f>AND(Liste!#REF!,"AAAAAAP/v+E=")</f>
        <v>#REF!</v>
      </c>
      <c r="HS176" t="e">
        <f>AND(Liste!#REF!,"AAAAAAP/v+I=")</f>
        <v>#REF!</v>
      </c>
      <c r="HT176" t="e">
        <f>AND(Liste!#REF!,"AAAAAAP/v+M=")</f>
        <v>#REF!</v>
      </c>
      <c r="HU176" t="e">
        <f>AND(Liste!#REF!,"AAAAAAP/v+Q=")</f>
        <v>#REF!</v>
      </c>
      <c r="HV176" t="e">
        <f>AND(Liste!#REF!,"AAAAAAP/v+U=")</f>
        <v>#REF!</v>
      </c>
      <c r="HW176" t="e">
        <f>AND(Liste!#REF!,"AAAAAAP/v+Y=")</f>
        <v>#REF!</v>
      </c>
      <c r="HX176" t="e">
        <f>AND(Liste!#REF!,"AAAAAAP/v+c=")</f>
        <v>#REF!</v>
      </c>
      <c r="HY176" t="e">
        <f>AND(Liste!#REF!,"AAAAAAP/v+g=")</f>
        <v>#REF!</v>
      </c>
      <c r="HZ176" t="e">
        <f>AND(Liste!#REF!,"AAAAAAP/v+k=")</f>
        <v>#REF!</v>
      </c>
      <c r="IA176" t="e">
        <f>AND(Liste!#REF!,"AAAAAAP/v+o=")</f>
        <v>#REF!</v>
      </c>
      <c r="IB176" t="e">
        <f>AND(Liste!#REF!,"AAAAAAP/v+s=")</f>
        <v>#REF!</v>
      </c>
      <c r="IC176" t="e">
        <f>AND(Liste!#REF!,"AAAAAAP/v+w=")</f>
        <v>#REF!</v>
      </c>
      <c r="ID176" t="e">
        <f>AND(Liste!#REF!,"AAAAAAP/v+0=")</f>
        <v>#REF!</v>
      </c>
      <c r="IE176" t="e">
        <f>AND(Liste!#REF!,"AAAAAAP/v+4=")</f>
        <v>#REF!</v>
      </c>
      <c r="IF176" t="e">
        <f>AND(Liste!#REF!,"AAAAAAP/v+8=")</f>
        <v>#REF!</v>
      </c>
      <c r="IG176" t="e">
        <f>AND(Liste!#REF!,"AAAAAAP/v/A=")</f>
        <v>#REF!</v>
      </c>
      <c r="IH176" t="e">
        <f>AND(Liste!#REF!,"AAAAAAP/v/E=")</f>
        <v>#REF!</v>
      </c>
      <c r="II176" t="e">
        <f>AND(Liste!#REF!,"AAAAAAP/v/I=")</f>
        <v>#REF!</v>
      </c>
      <c r="IJ176" t="e">
        <f>AND(Liste!#REF!,"AAAAAAP/v/M=")</f>
        <v>#REF!</v>
      </c>
      <c r="IK176" t="e">
        <f>AND(Liste!#REF!,"AAAAAAP/v/Q=")</f>
        <v>#REF!</v>
      </c>
      <c r="IL176" t="e">
        <f>AND(Liste!#REF!,"AAAAAAP/v/U=")</f>
        <v>#REF!</v>
      </c>
      <c r="IM176" t="e">
        <f>AND(Liste!#REF!,"AAAAAAP/v/Y=")</f>
        <v>#REF!</v>
      </c>
      <c r="IN176" t="e">
        <f>AND(Liste!#REF!,"AAAAAAP/v/c=")</f>
        <v>#REF!</v>
      </c>
      <c r="IO176" t="e">
        <f>AND(Liste!#REF!,"AAAAAAP/v/g=")</f>
        <v>#REF!</v>
      </c>
      <c r="IP176" t="e">
        <f>AND(Liste!#REF!,"AAAAAAP/v/k=")</f>
        <v>#REF!</v>
      </c>
      <c r="IQ176" t="e">
        <f>AND(Liste!#REF!,"AAAAAAP/v/o=")</f>
        <v>#REF!</v>
      </c>
      <c r="IR176" t="e">
        <f>AND(Liste!#REF!,"AAAAAAP/v/s=")</f>
        <v>#REF!</v>
      </c>
      <c r="IS176" t="e">
        <f>AND(Liste!#REF!,"AAAAAAP/v/w=")</f>
        <v>#REF!</v>
      </c>
      <c r="IT176" t="e">
        <f>AND(Liste!#REF!,"AAAAAAP/v/0=")</f>
        <v>#REF!</v>
      </c>
      <c r="IU176" t="e">
        <f>AND(Liste!#REF!,"AAAAAAP/v/4=")</f>
        <v>#REF!</v>
      </c>
      <c r="IV176" t="e">
        <f>AND(Liste!#REF!,"AAAAAAP/v/8=")</f>
        <v>#REF!</v>
      </c>
    </row>
    <row r="177" spans="1:256" x14ac:dyDescent="0.2">
      <c r="A177" t="e">
        <f>AND(Liste!#REF!,"AAAAAGXn+wA=")</f>
        <v>#REF!</v>
      </c>
      <c r="B177" t="e">
        <f>AND(Liste!#REF!,"AAAAAGXn+wE=")</f>
        <v>#REF!</v>
      </c>
      <c r="C177" t="e">
        <f>AND(Liste!#REF!,"AAAAAGXn+wI=")</f>
        <v>#REF!</v>
      </c>
      <c r="D177" t="e">
        <f>AND(Liste!#REF!,"AAAAAGXn+wM=")</f>
        <v>#REF!</v>
      </c>
      <c r="E177" t="e">
        <f>AND(Liste!#REF!,"AAAAAGXn+wQ=")</f>
        <v>#REF!</v>
      </c>
      <c r="F177" t="e">
        <f>AND(Liste!#REF!,"AAAAAGXn+wU=")</f>
        <v>#REF!</v>
      </c>
      <c r="G177" t="e">
        <f>AND(Liste!#REF!,"AAAAAGXn+wY=")</f>
        <v>#REF!</v>
      </c>
      <c r="H177" t="e">
        <f>AND(Liste!#REF!,"AAAAAGXn+wc=")</f>
        <v>#REF!</v>
      </c>
      <c r="I177" t="e">
        <f>AND(Liste!#REF!,"AAAAAGXn+wg=")</f>
        <v>#REF!</v>
      </c>
      <c r="J177" t="e">
        <f>AND(Liste!#REF!,"AAAAAGXn+wk=")</f>
        <v>#REF!</v>
      </c>
      <c r="K177" t="e">
        <f>AND(Liste!#REF!,"AAAAAGXn+wo=")</f>
        <v>#REF!</v>
      </c>
      <c r="L177" t="e">
        <f>AND(Liste!#REF!,"AAAAAGXn+ws=")</f>
        <v>#REF!</v>
      </c>
      <c r="M177" t="e">
        <f>AND(Liste!#REF!,"AAAAAGXn+ww=")</f>
        <v>#REF!</v>
      </c>
      <c r="N177" t="e">
        <f>AND(Liste!#REF!,"AAAAAGXn+w0=")</f>
        <v>#REF!</v>
      </c>
      <c r="O177" t="e">
        <f>AND(Liste!#REF!,"AAAAAGXn+w4=")</f>
        <v>#REF!</v>
      </c>
      <c r="P177" t="e">
        <f>AND(Liste!#REF!,"AAAAAGXn+w8=")</f>
        <v>#REF!</v>
      </c>
      <c r="Q177" t="e">
        <f>AND(Liste!#REF!,"AAAAAGXn+xA=")</f>
        <v>#REF!</v>
      </c>
      <c r="R177" t="e">
        <f>AND(Liste!#REF!,"AAAAAGXn+xE=")</f>
        <v>#REF!</v>
      </c>
      <c r="S177" t="e">
        <f>AND(Liste!#REF!,"AAAAAGXn+xI=")</f>
        <v>#REF!</v>
      </c>
      <c r="T177" t="e">
        <f>AND(Liste!#REF!,"AAAAAGXn+xM=")</f>
        <v>#REF!</v>
      </c>
      <c r="U177" t="e">
        <f>AND(Liste!#REF!,"AAAAAGXn+xQ=")</f>
        <v>#REF!</v>
      </c>
      <c r="V177" t="e">
        <f>AND(Liste!#REF!,"AAAAAGXn+xU=")</f>
        <v>#REF!</v>
      </c>
      <c r="W177" t="e">
        <f>AND(Liste!#REF!,"AAAAAGXn+xY=")</f>
        <v>#REF!</v>
      </c>
      <c r="X177" t="e">
        <f>AND(Liste!#REF!,"AAAAAGXn+xc=")</f>
        <v>#REF!</v>
      </c>
      <c r="Y177" t="e">
        <f>AND(Liste!#REF!,"AAAAAGXn+xg=")</f>
        <v>#REF!</v>
      </c>
      <c r="Z177" t="e">
        <f>AND(Liste!#REF!,"AAAAAGXn+xk=")</f>
        <v>#REF!</v>
      </c>
      <c r="AA177" t="e">
        <f>AND(Liste!#REF!,"AAAAAGXn+xo=")</f>
        <v>#REF!</v>
      </c>
      <c r="AB177" t="e">
        <f>AND(Liste!#REF!,"AAAAAGXn+xs=")</f>
        <v>#REF!</v>
      </c>
      <c r="AC177" t="e">
        <f>AND(Liste!#REF!,"AAAAAGXn+xw=")</f>
        <v>#REF!</v>
      </c>
      <c r="AD177" t="e">
        <f>AND(Liste!#REF!,"AAAAAGXn+x0=")</f>
        <v>#REF!</v>
      </c>
      <c r="AE177" t="e">
        <f>AND(Liste!#REF!,"AAAAAGXn+x4=")</f>
        <v>#REF!</v>
      </c>
      <c r="AF177" t="e">
        <f>AND(Liste!#REF!,"AAAAAGXn+x8=")</f>
        <v>#REF!</v>
      </c>
      <c r="AG177" t="e">
        <f>AND(Liste!#REF!,"AAAAAGXn+yA=")</f>
        <v>#REF!</v>
      </c>
      <c r="AH177" t="e">
        <f>AND(Liste!#REF!,"AAAAAGXn+yE=")</f>
        <v>#REF!</v>
      </c>
      <c r="AI177" t="e">
        <f>AND(Liste!#REF!,"AAAAAGXn+yI=")</f>
        <v>#REF!</v>
      </c>
      <c r="AJ177" t="e">
        <f>AND(Liste!#REF!,"AAAAAGXn+yM=")</f>
        <v>#REF!</v>
      </c>
      <c r="AK177" t="e">
        <f>AND(Liste!#REF!,"AAAAAGXn+yQ=")</f>
        <v>#REF!</v>
      </c>
      <c r="AL177" t="e">
        <f>AND(Liste!#REF!,"AAAAAGXn+yU=")</f>
        <v>#REF!</v>
      </c>
      <c r="AM177" t="e">
        <f>AND(Liste!#REF!,"AAAAAGXn+yY=")</f>
        <v>#REF!</v>
      </c>
      <c r="AN177" t="e">
        <f>AND(Liste!#REF!,"AAAAAGXn+yc=")</f>
        <v>#REF!</v>
      </c>
      <c r="AO177" t="e">
        <f>AND(Liste!#REF!,"AAAAAGXn+yg=")</f>
        <v>#REF!</v>
      </c>
      <c r="AP177" t="e">
        <f>AND(Liste!#REF!,"AAAAAGXn+yk=")</f>
        <v>#REF!</v>
      </c>
      <c r="AQ177" t="e">
        <f>AND(Liste!#REF!,"AAAAAGXn+yo=")</f>
        <v>#REF!</v>
      </c>
      <c r="AR177" t="e">
        <f>AND(Liste!#REF!,"AAAAAGXn+ys=")</f>
        <v>#REF!</v>
      </c>
      <c r="AS177" t="e">
        <f>AND(Liste!#REF!,"AAAAAGXn+yw=")</f>
        <v>#REF!</v>
      </c>
      <c r="AT177" t="e">
        <f>AND(Liste!#REF!,"AAAAAGXn+y0=")</f>
        <v>#REF!</v>
      </c>
      <c r="AU177" t="e">
        <f>AND(Liste!#REF!,"AAAAAGXn+y4=")</f>
        <v>#REF!</v>
      </c>
      <c r="AV177" t="e">
        <f>AND(Liste!#REF!,"AAAAAGXn+y8=")</f>
        <v>#REF!</v>
      </c>
      <c r="AW177" t="e">
        <f>AND(Liste!#REF!,"AAAAAGXn+zA=")</f>
        <v>#REF!</v>
      </c>
      <c r="AX177" t="e">
        <f>AND(Liste!#REF!,"AAAAAGXn+zE=")</f>
        <v>#REF!</v>
      </c>
      <c r="AY177" t="e">
        <f>AND(Liste!#REF!,"AAAAAGXn+zI=")</f>
        <v>#REF!</v>
      </c>
      <c r="AZ177" t="e">
        <f>AND(Liste!#REF!,"AAAAAGXn+zM=")</f>
        <v>#REF!</v>
      </c>
      <c r="BA177" t="e">
        <f>AND(Liste!#REF!,"AAAAAGXn+zQ=")</f>
        <v>#REF!</v>
      </c>
      <c r="BB177" t="e">
        <f>AND(Liste!#REF!,"AAAAAGXn+zU=")</f>
        <v>#REF!</v>
      </c>
      <c r="BC177" t="e">
        <f>AND(Liste!#REF!,"AAAAAGXn+zY=")</f>
        <v>#REF!</v>
      </c>
      <c r="BD177" t="e">
        <f>AND(Liste!#REF!,"AAAAAGXn+zc=")</f>
        <v>#REF!</v>
      </c>
      <c r="BE177" t="e">
        <f>AND(Liste!#REF!,"AAAAAGXn+zg=")</f>
        <v>#REF!</v>
      </c>
      <c r="BF177" t="e">
        <f>AND(Liste!#REF!,"AAAAAGXn+zk=")</f>
        <v>#REF!</v>
      </c>
      <c r="BG177" t="e">
        <f>AND(Liste!#REF!,"AAAAAGXn+zo=")</f>
        <v>#REF!</v>
      </c>
      <c r="BH177" t="e">
        <f>AND(Liste!#REF!,"AAAAAGXn+zs=")</f>
        <v>#REF!</v>
      </c>
      <c r="BI177" t="e">
        <f>AND(Liste!#REF!,"AAAAAGXn+zw=")</f>
        <v>#REF!</v>
      </c>
      <c r="BJ177" t="e">
        <f>AND(Liste!#REF!,"AAAAAGXn+z0=")</f>
        <v>#REF!</v>
      </c>
      <c r="BK177" t="e">
        <f>AND(Liste!#REF!,"AAAAAGXn+z4=")</f>
        <v>#REF!</v>
      </c>
      <c r="BL177" t="e">
        <f>AND(Liste!#REF!,"AAAAAGXn+z8=")</f>
        <v>#REF!</v>
      </c>
      <c r="BM177" t="e">
        <f>AND(Liste!#REF!,"AAAAAGXn+0A=")</f>
        <v>#REF!</v>
      </c>
      <c r="BN177" t="e">
        <f>AND(Liste!#REF!,"AAAAAGXn+0E=")</f>
        <v>#REF!</v>
      </c>
      <c r="BO177" t="e">
        <f>AND(Liste!#REF!,"AAAAAGXn+0I=")</f>
        <v>#REF!</v>
      </c>
      <c r="BP177" t="e">
        <f>AND(Liste!#REF!,"AAAAAGXn+0M=")</f>
        <v>#REF!</v>
      </c>
      <c r="BQ177" t="e">
        <f>AND(Liste!#REF!,"AAAAAGXn+0Q=")</f>
        <v>#REF!</v>
      </c>
      <c r="BR177" t="e">
        <f>AND(Liste!#REF!,"AAAAAGXn+0U=")</f>
        <v>#REF!</v>
      </c>
      <c r="BS177" t="e">
        <f>AND(Liste!#REF!,"AAAAAGXn+0Y=")</f>
        <v>#REF!</v>
      </c>
      <c r="BT177" t="e">
        <f>AND(Liste!#REF!,"AAAAAGXn+0c=")</f>
        <v>#REF!</v>
      </c>
      <c r="BU177" t="e">
        <f>AND(Liste!#REF!,"AAAAAGXn+0g=")</f>
        <v>#REF!</v>
      </c>
      <c r="BV177" t="e">
        <f>AND(Liste!#REF!,"AAAAAGXn+0k=")</f>
        <v>#REF!</v>
      </c>
    </row>
    <row r="178" spans="1:256" x14ac:dyDescent="0.2">
      <c r="A178" t="e">
        <f>AND(Liste!#REF!,"AAAAAH79+wA=")</f>
        <v>#REF!</v>
      </c>
      <c r="B178" t="e">
        <f>AND(Liste!#REF!,"AAAAAH79+wE=")</f>
        <v>#REF!</v>
      </c>
      <c r="C178" t="e">
        <f>AND(Liste!#REF!,"AAAAAH79+wI=")</f>
        <v>#REF!</v>
      </c>
      <c r="D178" t="e">
        <f>AND(Liste!#REF!,"AAAAAH79+wM=")</f>
        <v>#REF!</v>
      </c>
      <c r="E178" t="e">
        <f>AND(Liste!#REF!,"AAAAAH79+wQ=")</f>
        <v>#REF!</v>
      </c>
      <c r="F178" t="e">
        <f>AND(Liste!#REF!,"AAAAAH79+wU=")</f>
        <v>#REF!</v>
      </c>
      <c r="G178" t="e">
        <f>AND(Liste!#REF!,"AAAAAH79+wY=")</f>
        <v>#REF!</v>
      </c>
      <c r="H178" t="e">
        <f>AND(Liste!#REF!,"AAAAAH79+wc=")</f>
        <v>#REF!</v>
      </c>
      <c r="I178" t="e">
        <f>AND(Liste!#REF!,"AAAAAH79+wg=")</f>
        <v>#REF!</v>
      </c>
      <c r="J178" t="e">
        <f>AND(Liste!#REF!,"AAAAAH79+wk=")</f>
        <v>#REF!</v>
      </c>
      <c r="K178" t="e">
        <f>AND(Liste!#REF!,"AAAAAH79+wo=")</f>
        <v>#REF!</v>
      </c>
      <c r="L178" t="e">
        <f>AND(Liste!#REF!,"AAAAAH79+ws=")</f>
        <v>#REF!</v>
      </c>
      <c r="M178" t="e">
        <f>AND(Liste!#REF!,"AAAAAH79+ww=")</f>
        <v>#REF!</v>
      </c>
      <c r="N178" t="e">
        <f>AND(Liste!#REF!,"AAAAAH79+w0=")</f>
        <v>#REF!</v>
      </c>
      <c r="O178" t="e">
        <f>AND(Liste!#REF!,"AAAAAH79+w4=")</f>
        <v>#REF!</v>
      </c>
      <c r="P178" t="e">
        <f>AND(Liste!#REF!,"AAAAAH79+w8=")</f>
        <v>#REF!</v>
      </c>
      <c r="Q178" t="e">
        <f>AND(Liste!#REF!,"AAAAAH79+xA=")</f>
        <v>#REF!</v>
      </c>
      <c r="R178" t="e">
        <f>AND(Liste!#REF!,"AAAAAH79+xE=")</f>
        <v>#REF!</v>
      </c>
      <c r="S178" t="e">
        <f>AND(Liste!#REF!,"AAAAAH79+xI=")</f>
        <v>#REF!</v>
      </c>
      <c r="T178" t="e">
        <f>AND(Liste!#REF!,"AAAAAH79+xM=")</f>
        <v>#REF!</v>
      </c>
      <c r="U178" t="e">
        <f>AND(Liste!#REF!,"AAAAAH79+xQ=")</f>
        <v>#REF!</v>
      </c>
      <c r="V178" t="e">
        <f>AND(Liste!#REF!,"AAAAAH79+xU=")</f>
        <v>#REF!</v>
      </c>
      <c r="W178" t="e">
        <f>AND(Liste!#REF!,"AAAAAH79+xY=")</f>
        <v>#REF!</v>
      </c>
      <c r="X178" t="e">
        <f>AND(Liste!#REF!,"AAAAAH79+xc=")</f>
        <v>#REF!</v>
      </c>
      <c r="Y178" t="e">
        <f>AND(Liste!#REF!,"AAAAAH79+xg=")</f>
        <v>#REF!</v>
      </c>
      <c r="Z178" t="e">
        <f>AND(Liste!#REF!,"AAAAAH79+xk=")</f>
        <v>#REF!</v>
      </c>
      <c r="AA178" t="e">
        <f>AND(Liste!#REF!,"AAAAAH79+xo=")</f>
        <v>#REF!</v>
      </c>
      <c r="AB178" t="e">
        <f>AND(Liste!#REF!,"AAAAAH79+xs=")</f>
        <v>#REF!</v>
      </c>
      <c r="AC178" t="e">
        <f>AND(Liste!#REF!,"AAAAAH79+xw=")</f>
        <v>#REF!</v>
      </c>
      <c r="AD178" t="e">
        <f>AND(Liste!#REF!,"AAAAAH79+x0=")</f>
        <v>#REF!</v>
      </c>
      <c r="AE178" t="e">
        <f>AND(Liste!#REF!,"AAAAAH79+x4=")</f>
        <v>#REF!</v>
      </c>
      <c r="AF178" t="e">
        <f>AND(Liste!#REF!,"AAAAAH79+x8=")</f>
        <v>#REF!</v>
      </c>
      <c r="AG178" t="e">
        <f>AND(Liste!#REF!,"AAAAAH79+yA=")</f>
        <v>#REF!</v>
      </c>
      <c r="AH178" t="e">
        <f>AND(Liste!#REF!,"AAAAAH79+yE=")</f>
        <v>#REF!</v>
      </c>
      <c r="AI178" t="e">
        <f>AND(Liste!#REF!,"AAAAAH79+yI=")</f>
        <v>#REF!</v>
      </c>
      <c r="AJ178" t="e">
        <f>AND(Liste!#REF!,"AAAAAH79+yM=")</f>
        <v>#REF!</v>
      </c>
      <c r="AK178" t="e">
        <f>AND(Liste!#REF!,"AAAAAH79+yQ=")</f>
        <v>#REF!</v>
      </c>
      <c r="AL178" t="e">
        <f>AND(Liste!#REF!,"AAAAAH79+yU=")</f>
        <v>#REF!</v>
      </c>
      <c r="AM178" t="e">
        <f>AND(Liste!#REF!,"AAAAAH79+yY=")</f>
        <v>#REF!</v>
      </c>
      <c r="AN178" t="e">
        <f>AND(Liste!#REF!,"AAAAAH79+yc=")</f>
        <v>#REF!</v>
      </c>
      <c r="AO178" t="e">
        <f>AND(Liste!#REF!,"AAAAAH79+yg=")</f>
        <v>#REF!</v>
      </c>
      <c r="AP178" t="e">
        <f>AND(Liste!#REF!,"AAAAAH79+yk=")</f>
        <v>#REF!</v>
      </c>
      <c r="AQ178" t="e">
        <f>AND(Liste!#REF!,"AAAAAH79+yo=")</f>
        <v>#REF!</v>
      </c>
      <c r="AR178" t="e">
        <f>AND(Liste!#REF!,"AAAAAH79+ys=")</f>
        <v>#REF!</v>
      </c>
      <c r="AS178" t="e">
        <f>AND(Liste!#REF!,"AAAAAH79+yw=")</f>
        <v>#REF!</v>
      </c>
      <c r="AT178" t="e">
        <f>AND(Liste!#REF!,"AAAAAH79+y0=")</f>
        <v>#REF!</v>
      </c>
      <c r="AU178" t="e">
        <f>AND(Liste!#REF!,"AAAAAH79+y4=")</f>
        <v>#REF!</v>
      </c>
      <c r="AV178" t="e">
        <f>AND(Liste!#REF!,"AAAAAH79+y8=")</f>
        <v>#REF!</v>
      </c>
      <c r="AW178" t="e">
        <f>AND(Liste!#REF!,"AAAAAH79+zA=")</f>
        <v>#REF!</v>
      </c>
      <c r="AX178" t="e">
        <f>AND(Liste!#REF!,"AAAAAH79+zE=")</f>
        <v>#REF!</v>
      </c>
      <c r="AY178" t="e">
        <f>AND(Liste!#REF!,"AAAAAH79+zI=")</f>
        <v>#REF!</v>
      </c>
      <c r="AZ178" t="e">
        <f>AND(Liste!#REF!,"AAAAAH79+zM=")</f>
        <v>#REF!</v>
      </c>
      <c r="BA178" t="e">
        <f>AND(Liste!#REF!,"AAAAAH79+zQ=")</f>
        <v>#REF!</v>
      </c>
      <c r="BB178" t="e">
        <f>AND(Liste!#REF!,"AAAAAH79+zU=")</f>
        <v>#REF!</v>
      </c>
      <c r="BC178" t="e">
        <f>AND(Liste!#REF!,"AAAAAH79+zY=")</f>
        <v>#REF!</v>
      </c>
      <c r="BD178" t="e">
        <f>AND(Liste!#REF!,"AAAAAH79+zc=")</f>
        <v>#REF!</v>
      </c>
      <c r="BE178" t="e">
        <f>AND(Liste!#REF!,"AAAAAH79+zg=")</f>
        <v>#REF!</v>
      </c>
      <c r="BF178" t="e">
        <f>AND(Liste!#REF!,"AAAAAH79+zk=")</f>
        <v>#REF!</v>
      </c>
      <c r="BG178" t="e">
        <f>AND(Liste!#REF!,"AAAAAH79+zo=")</f>
        <v>#REF!</v>
      </c>
      <c r="BH178" t="e">
        <f>AND(Liste!#REF!,"AAAAAH79+zs=")</f>
        <v>#REF!</v>
      </c>
      <c r="BI178" t="e">
        <f>AND(Liste!#REF!,"AAAAAH79+zw=")</f>
        <v>#REF!</v>
      </c>
      <c r="BJ178" t="e">
        <f>AND(Liste!#REF!,"AAAAAH79+z0=")</f>
        <v>#REF!</v>
      </c>
      <c r="BK178" t="e">
        <f>AND(Liste!#REF!,"AAAAAH79+z4=")</f>
        <v>#REF!</v>
      </c>
      <c r="BL178" t="e">
        <f>AND(Liste!#REF!,"AAAAAH79+z8=")</f>
        <v>#REF!</v>
      </c>
      <c r="BM178" t="e">
        <f>AND(Liste!#REF!,"AAAAAH79+0A=")</f>
        <v>#REF!</v>
      </c>
      <c r="BN178" t="e">
        <f>AND(Liste!#REF!,"AAAAAH79+0E=")</f>
        <v>#REF!</v>
      </c>
      <c r="BO178" t="e">
        <f>AND(Liste!#REF!,"AAAAAH79+0I=")</f>
        <v>#REF!</v>
      </c>
      <c r="BP178" t="e">
        <f>AND(Liste!#REF!,"AAAAAH79+0M=")</f>
        <v>#REF!</v>
      </c>
      <c r="BQ178" t="e">
        <f>AND(Liste!#REF!,"AAAAAH79+0Q=")</f>
        <v>#REF!</v>
      </c>
      <c r="BR178" t="e">
        <f>AND(Liste!#REF!,"AAAAAH79+0U=")</f>
        <v>#REF!</v>
      </c>
      <c r="BS178" t="e">
        <f>AND(Liste!#REF!,"AAAAAH79+0Y=")</f>
        <v>#REF!</v>
      </c>
      <c r="BT178" t="e">
        <f>AND(Liste!#REF!,"AAAAAH79+0c=")</f>
        <v>#REF!</v>
      </c>
      <c r="BU178" t="e">
        <f>AND(Liste!#REF!,"AAAAAH79+0g=")</f>
        <v>#REF!</v>
      </c>
      <c r="BV178" t="e">
        <f>AND(Liste!#REF!,"AAAAAH79+0k=")</f>
        <v>#REF!</v>
      </c>
      <c r="BW178" t="e">
        <f>AND(Liste!#REF!,"AAAAAH79+0o=")</f>
        <v>#REF!</v>
      </c>
      <c r="BX178" t="e">
        <f>AND(Liste!#REF!,"AAAAAH79+0s=")</f>
        <v>#REF!</v>
      </c>
      <c r="BY178" t="e">
        <f>AND(Liste!#REF!,"AAAAAH79+0w=")</f>
        <v>#REF!</v>
      </c>
      <c r="BZ178" t="e">
        <f>AND(Liste!#REF!,"AAAAAH79+00=")</f>
        <v>#REF!</v>
      </c>
      <c r="CA178" t="e">
        <f>AND(Liste!#REF!,"AAAAAH79+04=")</f>
        <v>#REF!</v>
      </c>
      <c r="CB178" t="e">
        <f>AND(Liste!#REF!,"AAAAAH79+08=")</f>
        <v>#REF!</v>
      </c>
      <c r="CC178" t="e">
        <f>AND(Liste!#REF!,"AAAAAH79+1A=")</f>
        <v>#REF!</v>
      </c>
      <c r="CD178" t="e">
        <f>AND(Liste!#REF!,"AAAAAH79+1E=")</f>
        <v>#REF!</v>
      </c>
      <c r="CE178" t="e">
        <f>AND(Liste!#REF!,"AAAAAH79+1I=")</f>
        <v>#REF!</v>
      </c>
      <c r="CF178" t="e">
        <f>AND(Liste!#REF!,"AAAAAH79+1M=")</f>
        <v>#REF!</v>
      </c>
      <c r="CG178" t="e">
        <f>AND(Liste!#REF!,"AAAAAH79+1Q=")</f>
        <v>#REF!</v>
      </c>
      <c r="CH178" t="e">
        <f>AND(Liste!#REF!,"AAAAAH79+1U=")</f>
        <v>#REF!</v>
      </c>
      <c r="CI178" t="e">
        <f>AND(Liste!#REF!,"AAAAAH79+1Y=")</f>
        <v>#REF!</v>
      </c>
      <c r="CJ178" t="e">
        <f>AND(Liste!C384,"AAAAAH79+1c=")</f>
        <v>#VALUE!</v>
      </c>
      <c r="CK178" t="e">
        <f>AND(Liste!D384,"AAAAAH79+1g=")</f>
        <v>#VALUE!</v>
      </c>
      <c r="CL178" t="e">
        <f>AND(Liste!E384,"AAAAAH79+1k=")</f>
        <v>#VALUE!</v>
      </c>
      <c r="CM178" t="e">
        <f>AND(Liste!#REF!,"AAAAAH79+1o=")</f>
        <v>#REF!</v>
      </c>
      <c r="CN178" t="e">
        <f>AND(Liste!#REF!,"AAAAAH79+1s=")</f>
        <v>#REF!</v>
      </c>
      <c r="CO178" t="e">
        <f>AND(Liste!#REF!,"AAAAAH79+1w=")</f>
        <v>#REF!</v>
      </c>
      <c r="CP178" t="e">
        <f>AND(Liste!#REF!,"AAAAAH79+10=")</f>
        <v>#REF!</v>
      </c>
      <c r="CQ178" t="e">
        <f>AND(Liste!#REF!,"AAAAAH79+14=")</f>
        <v>#REF!</v>
      </c>
      <c r="CR178" t="e">
        <f>AND(Liste!#REF!,"AAAAAH79+18=")</f>
        <v>#REF!</v>
      </c>
      <c r="CS178" t="e">
        <f>AND(Liste!#REF!,"AAAAAH79+2A=")</f>
        <v>#REF!</v>
      </c>
      <c r="CT178" t="e">
        <f>AND(Liste!#REF!,"AAAAAH79+2E=")</f>
        <v>#REF!</v>
      </c>
      <c r="CU178" t="e">
        <f>AND(Liste!#REF!,"AAAAAH79+2I=")</f>
        <v>#REF!</v>
      </c>
      <c r="CV178" t="e">
        <f>AND(Liste!#REF!,"AAAAAH79+2M=")</f>
        <v>#REF!</v>
      </c>
      <c r="CW178" t="e">
        <f>AND(Liste!#REF!,"AAAAAH79+2Q=")</f>
        <v>#REF!</v>
      </c>
      <c r="CX178" t="e">
        <f>AND(Liste!#REF!,"AAAAAH79+2U=")</f>
        <v>#REF!</v>
      </c>
      <c r="CY178" t="e">
        <f>AND(Liste!#REF!,"AAAAAH79+2Y=")</f>
        <v>#REF!</v>
      </c>
      <c r="CZ178" t="e">
        <f>AND(Liste!#REF!,"AAAAAH79+2c=")</f>
        <v>#REF!</v>
      </c>
      <c r="DA178" t="e">
        <f>AND(Liste!#REF!,"AAAAAH79+2g=")</f>
        <v>#REF!</v>
      </c>
      <c r="DB178" t="e">
        <f>AND(Liste!#REF!,"AAAAAH79+2k=")</f>
        <v>#REF!</v>
      </c>
      <c r="DC178" t="e">
        <f>AND(Liste!#REF!,"AAAAAH79+2o=")</f>
        <v>#REF!</v>
      </c>
      <c r="DD178" t="e">
        <f>AND(Liste!#REF!,"AAAAAH79+2s=")</f>
        <v>#REF!</v>
      </c>
      <c r="DE178" t="e">
        <f>AND(Liste!#REF!,"AAAAAH79+2w=")</f>
        <v>#REF!</v>
      </c>
      <c r="DF178" t="e">
        <f>AND(Liste!#REF!,"AAAAAH79+20=")</f>
        <v>#REF!</v>
      </c>
      <c r="DG178" t="e">
        <f>AND(Liste!#REF!,"AAAAAH79+24=")</f>
        <v>#REF!</v>
      </c>
      <c r="DH178" t="e">
        <f>AND(Liste!#REF!,"AAAAAH79+28=")</f>
        <v>#REF!</v>
      </c>
      <c r="DI178" t="e">
        <f>AND(Liste!#REF!,"AAAAAH79+3A=")</f>
        <v>#REF!</v>
      </c>
      <c r="DJ178" t="e">
        <f>AND(Liste!#REF!,"AAAAAH79+3E=")</f>
        <v>#REF!</v>
      </c>
      <c r="DK178" t="e">
        <f>AND(Liste!#REF!,"AAAAAH79+3I=")</f>
        <v>#REF!</v>
      </c>
      <c r="DL178" t="e">
        <f>AND(Liste!#REF!,"AAAAAH79+3M=")</f>
        <v>#REF!</v>
      </c>
      <c r="DM178" t="e">
        <f>AND(Liste!#REF!,"AAAAAH79+3Q=")</f>
        <v>#REF!</v>
      </c>
      <c r="DN178" t="e">
        <f>AND(Liste!#REF!,"AAAAAH79+3U=")</f>
        <v>#REF!</v>
      </c>
      <c r="DO178" t="e">
        <f>AND(Liste!#REF!,"AAAAAH79+3Y=")</f>
        <v>#REF!</v>
      </c>
      <c r="DP178" t="e">
        <f>AND(Liste!#REF!,"AAAAAH79+3c=")</f>
        <v>#REF!</v>
      </c>
      <c r="DQ178" t="e">
        <f>AND(Liste!#REF!,"AAAAAH79+3g=")</f>
        <v>#REF!</v>
      </c>
      <c r="DR178" t="e">
        <f>AND(Liste!#REF!,"AAAAAH79+3k=")</f>
        <v>#REF!</v>
      </c>
      <c r="DS178" t="e">
        <f>AND(Liste!#REF!,"AAAAAH79+3o=")</f>
        <v>#REF!</v>
      </c>
      <c r="DT178" t="e">
        <f>AND(Liste!#REF!,"AAAAAH79+3s=")</f>
        <v>#REF!</v>
      </c>
      <c r="DU178" t="e">
        <f>AND(Liste!#REF!,"AAAAAH79+3w=")</f>
        <v>#REF!</v>
      </c>
      <c r="DV178" t="e">
        <f>AND(Liste!#REF!,"AAAAAH79+30=")</f>
        <v>#REF!</v>
      </c>
      <c r="DW178" t="e">
        <f>AND(Liste!#REF!,"AAAAAH79+34=")</f>
        <v>#REF!</v>
      </c>
      <c r="DX178" t="e">
        <f>AND(Liste!#REF!,"AAAAAH79+38=")</f>
        <v>#REF!</v>
      </c>
      <c r="DY178" t="e">
        <f>AND(Liste!#REF!,"AAAAAH79+4A=")</f>
        <v>#REF!</v>
      </c>
      <c r="DZ178" t="e">
        <f>AND(Liste!#REF!,"AAAAAH79+4E=")</f>
        <v>#REF!</v>
      </c>
      <c r="EA178" t="e">
        <f>AND(Liste!#REF!,"AAAAAH79+4I=")</f>
        <v>#REF!</v>
      </c>
      <c r="EB178" t="e">
        <f>AND(Liste!#REF!,"AAAAAH79+4M=")</f>
        <v>#REF!</v>
      </c>
      <c r="EC178" t="e">
        <f>AND(Liste!#REF!,"AAAAAH79+4Q=")</f>
        <v>#REF!</v>
      </c>
      <c r="ED178" t="e">
        <f>AND(Liste!#REF!,"AAAAAH79+4U=")</f>
        <v>#REF!</v>
      </c>
      <c r="EE178" t="e">
        <f>AND(Liste!#REF!,"AAAAAH79+4Y=")</f>
        <v>#REF!</v>
      </c>
      <c r="EF178" t="e">
        <f>AND(Liste!#REF!,"AAAAAH79+4c=")</f>
        <v>#REF!</v>
      </c>
      <c r="EG178" t="e">
        <f>AND(Liste!#REF!,"AAAAAH79+4g=")</f>
        <v>#REF!</v>
      </c>
      <c r="EH178" t="e">
        <f>AND(Liste!#REF!,"AAAAAH79+4k=")</f>
        <v>#REF!</v>
      </c>
      <c r="EI178" t="e">
        <f>AND(Liste!#REF!,"AAAAAH79+4o=")</f>
        <v>#REF!</v>
      </c>
      <c r="EJ178" t="e">
        <f>AND(Liste!#REF!,"AAAAAH79+4s=")</f>
        <v>#REF!</v>
      </c>
      <c r="EK178" t="e">
        <f>AND(Liste!#REF!,"AAAAAH79+4w=")</f>
        <v>#REF!</v>
      </c>
      <c r="EL178" t="e">
        <f>AND(Liste!#REF!,"AAAAAH79+40=")</f>
        <v>#REF!</v>
      </c>
      <c r="EM178" t="e">
        <f>AND(Liste!#REF!,"AAAAAH79+44=")</f>
        <v>#REF!</v>
      </c>
      <c r="EN178" t="e">
        <f>AND(Liste!#REF!,"AAAAAH79+48=")</f>
        <v>#REF!</v>
      </c>
      <c r="EO178" t="e">
        <f>AND(Liste!#REF!,"AAAAAH79+5A=")</f>
        <v>#REF!</v>
      </c>
      <c r="EP178" t="e">
        <f>AND(Liste!#REF!,"AAAAAH79+5E=")</f>
        <v>#REF!</v>
      </c>
      <c r="EQ178" t="e">
        <f>AND(Liste!#REF!,"AAAAAH79+5I=")</f>
        <v>#REF!</v>
      </c>
      <c r="ER178" t="e">
        <f>AND(Liste!#REF!,"AAAAAH79+5M=")</f>
        <v>#REF!</v>
      </c>
      <c r="ES178" t="e">
        <f>AND(Liste!#REF!,"AAAAAH79+5Q=")</f>
        <v>#REF!</v>
      </c>
      <c r="ET178" t="e">
        <f>AND(Liste!#REF!,"AAAAAH79+5U=")</f>
        <v>#REF!</v>
      </c>
      <c r="EU178" t="e">
        <f>AND(Liste!#REF!,"AAAAAH79+5Y=")</f>
        <v>#REF!</v>
      </c>
      <c r="EV178" t="e">
        <f>AND(Liste!#REF!,"AAAAAH79+5c=")</f>
        <v>#REF!</v>
      </c>
      <c r="EW178" t="e">
        <f>AND(Liste!#REF!,"AAAAAH79+5g=")</f>
        <v>#REF!</v>
      </c>
      <c r="EX178" t="e">
        <f>AND(Liste!#REF!,"AAAAAH79+5k=")</f>
        <v>#REF!</v>
      </c>
      <c r="EY178" t="e">
        <f>AND(Liste!#REF!,"AAAAAH79+5o=")</f>
        <v>#REF!</v>
      </c>
      <c r="EZ178" t="e">
        <f>AND(Liste!#REF!,"AAAAAH79+5s=")</f>
        <v>#REF!</v>
      </c>
      <c r="FA178" t="e">
        <f>AND(Liste!#REF!,"AAAAAH79+5w=")</f>
        <v>#REF!</v>
      </c>
      <c r="FB178" t="e">
        <f>AND(Liste!#REF!,"AAAAAH79+50=")</f>
        <v>#REF!</v>
      </c>
      <c r="FC178" t="e">
        <f>AND(Liste!#REF!,"AAAAAH79+54=")</f>
        <v>#REF!</v>
      </c>
      <c r="FD178" t="e">
        <f>AND(Liste!#REF!,"AAAAAH79+58=")</f>
        <v>#REF!</v>
      </c>
      <c r="FE178" t="e">
        <f>AND(Liste!#REF!,"AAAAAH79+6A=")</f>
        <v>#REF!</v>
      </c>
      <c r="FF178" t="e">
        <f>AND(Liste!#REF!,"AAAAAH79+6E=")</f>
        <v>#REF!</v>
      </c>
      <c r="FG178" t="e">
        <f>AND(Liste!#REF!,"AAAAAH79+6I=")</f>
        <v>#REF!</v>
      </c>
      <c r="FH178" t="e">
        <f>AND(Liste!#REF!,"AAAAAH79+6M=")</f>
        <v>#REF!</v>
      </c>
      <c r="FI178" t="e">
        <f>AND(Liste!#REF!,"AAAAAH79+6Q=")</f>
        <v>#REF!</v>
      </c>
      <c r="FJ178" t="e">
        <f>AND(Liste!#REF!,"AAAAAH79+6U=")</f>
        <v>#REF!</v>
      </c>
      <c r="FK178" t="e">
        <f>AND(Liste!#REF!,"AAAAAH79+6Y=")</f>
        <v>#REF!</v>
      </c>
      <c r="FL178" t="e">
        <f>AND(Liste!#REF!,"AAAAAH79+6c=")</f>
        <v>#REF!</v>
      </c>
      <c r="FM178" t="e">
        <f>AND(Liste!#REF!,"AAAAAH79+6g=")</f>
        <v>#REF!</v>
      </c>
      <c r="FN178" t="e">
        <f>AND(Liste!#REF!,"AAAAAH79+6k=")</f>
        <v>#REF!</v>
      </c>
      <c r="FO178" t="e">
        <f>AND(Liste!#REF!,"AAAAAH79+6o=")</f>
        <v>#REF!</v>
      </c>
      <c r="FP178" t="e">
        <f>AND(Liste!#REF!,"AAAAAH79+6s=")</f>
        <v>#REF!</v>
      </c>
      <c r="FQ178" t="e">
        <f>AND(Liste!#REF!,"AAAAAH79+6w=")</f>
        <v>#REF!</v>
      </c>
      <c r="FR178" t="e">
        <f>AND(Liste!#REF!,"AAAAAH79+60=")</f>
        <v>#REF!</v>
      </c>
      <c r="FS178" t="e">
        <f>AND(Liste!#REF!,"AAAAAH79+64=")</f>
        <v>#REF!</v>
      </c>
      <c r="FT178" t="e">
        <f>AND(Liste!#REF!,"AAAAAH79+68=")</f>
        <v>#REF!</v>
      </c>
      <c r="FU178" t="e">
        <f>AND(Liste!#REF!,"AAAAAH79+7A=")</f>
        <v>#REF!</v>
      </c>
      <c r="FV178" t="e">
        <f>AND(Liste!#REF!,"AAAAAH79+7E=")</f>
        <v>#REF!</v>
      </c>
      <c r="FW178" t="e">
        <f>AND(Liste!#REF!,"AAAAAH79+7I=")</f>
        <v>#REF!</v>
      </c>
      <c r="FX178" t="e">
        <f>AND(Liste!#REF!,"AAAAAH79+7M=")</f>
        <v>#REF!</v>
      </c>
      <c r="FY178" t="e">
        <f>AND(Liste!C438,"AAAAAH79+7Q=")</f>
        <v>#VALUE!</v>
      </c>
      <c r="FZ178" t="e">
        <f>AND(Liste!D438,"AAAAAH79+7U=")</f>
        <v>#VALUE!</v>
      </c>
      <c r="GA178" t="e">
        <f>AND(Liste!E438,"AAAAAH79+7Y=")</f>
        <v>#VALUE!</v>
      </c>
      <c r="GB178" t="e">
        <f>AND(Liste!#REF!,"AAAAAH79+7c=")</f>
        <v>#REF!</v>
      </c>
      <c r="GC178" t="e">
        <f>AND(Liste!#REF!,"AAAAAH79+7g=")</f>
        <v>#REF!</v>
      </c>
      <c r="GD178" t="e">
        <f>AND(Liste!#REF!,"AAAAAH79+7k=")</f>
        <v>#REF!</v>
      </c>
      <c r="GE178" t="e">
        <f>AND(Liste!#REF!,"AAAAAH79+7o=")</f>
        <v>#REF!</v>
      </c>
      <c r="GF178" t="e">
        <f>AND(Liste!#REF!,"AAAAAH79+7s=")</f>
        <v>#REF!</v>
      </c>
      <c r="GG178" t="e">
        <f>AND(Liste!#REF!,"AAAAAH79+7w=")</f>
        <v>#REF!</v>
      </c>
      <c r="GH178" t="e">
        <f>AND(Liste!#REF!,"AAAAAH79+70=")</f>
        <v>#REF!</v>
      </c>
      <c r="GI178" t="e">
        <f>AND(Liste!#REF!,"AAAAAH79+74=")</f>
        <v>#REF!</v>
      </c>
      <c r="GJ178" t="e">
        <f>AND(Liste!#REF!,"AAAAAH79+78=")</f>
        <v>#REF!</v>
      </c>
      <c r="GK178" t="e">
        <f>AND(Liste!#REF!,"AAAAAH79+8A=")</f>
        <v>#REF!</v>
      </c>
      <c r="GL178" t="e">
        <f>AND(Liste!#REF!,"AAAAAH79+8E=")</f>
        <v>#REF!</v>
      </c>
      <c r="GM178" t="e">
        <f>AND(Liste!#REF!,"AAAAAH79+8I=")</f>
        <v>#REF!</v>
      </c>
      <c r="GN178" t="e">
        <f>AND(Liste!#REF!,"AAAAAH79+8M=")</f>
        <v>#REF!</v>
      </c>
      <c r="GO178" t="e">
        <f>AND(Liste!#REF!,"AAAAAH79+8Q=")</f>
        <v>#REF!</v>
      </c>
      <c r="GP178" t="e">
        <f>AND(Liste!#REF!,"AAAAAH79+8U=")</f>
        <v>#REF!</v>
      </c>
      <c r="GQ178" t="e">
        <f>AND(Liste!#REF!,"AAAAAH79+8Y=")</f>
        <v>#REF!</v>
      </c>
      <c r="GR178" t="e">
        <f>AND(Liste!#REF!,"AAAAAH79+8c=")</f>
        <v>#REF!</v>
      </c>
      <c r="GS178" t="e">
        <f>AND(Liste!#REF!,"AAAAAH79+8g=")</f>
        <v>#REF!</v>
      </c>
      <c r="GT178" t="e">
        <f>AND(Liste!#REF!,"AAAAAH79+8k=")</f>
        <v>#REF!</v>
      </c>
      <c r="GU178" t="e">
        <f>AND(Liste!#REF!,"AAAAAH79+8o=")</f>
        <v>#REF!</v>
      </c>
      <c r="GV178" t="e">
        <f>AND(Liste!#REF!,"AAAAAH79+8s=")</f>
        <v>#REF!</v>
      </c>
      <c r="GW178" t="e">
        <f>AND(Liste!#REF!,"AAAAAH79+8w=")</f>
        <v>#REF!</v>
      </c>
      <c r="GX178" t="e">
        <f>AND(Liste!#REF!,"AAAAAH79+80=")</f>
        <v>#REF!</v>
      </c>
      <c r="GY178" t="e">
        <f>AND(Liste!#REF!,"AAAAAH79+84=")</f>
        <v>#REF!</v>
      </c>
      <c r="GZ178" t="e">
        <f>AND(Liste!#REF!,"AAAAAH79+88=")</f>
        <v>#REF!</v>
      </c>
      <c r="HA178" t="e">
        <f>AND(Liste!#REF!,"AAAAAH79+9A=")</f>
        <v>#REF!</v>
      </c>
      <c r="HB178" t="e">
        <f>AND(Liste!#REF!,"AAAAAH79+9E=")</f>
        <v>#REF!</v>
      </c>
      <c r="HC178" t="e">
        <f>AND(Liste!#REF!,"AAAAAH79+9I=")</f>
        <v>#REF!</v>
      </c>
      <c r="HD178" t="e">
        <f>AND(Liste!#REF!,"AAAAAH79+9M=")</f>
        <v>#REF!</v>
      </c>
      <c r="HE178" t="e">
        <f>AND(Liste!#REF!,"AAAAAH79+9Q=")</f>
        <v>#REF!</v>
      </c>
      <c r="HF178" t="e">
        <f>AND(Liste!#REF!,"AAAAAH79+9U=")</f>
        <v>#REF!</v>
      </c>
      <c r="HG178" t="e">
        <f>AND(Liste!#REF!,"AAAAAH79+9Y=")</f>
        <v>#REF!</v>
      </c>
      <c r="HH178" t="e">
        <f>AND(Liste!#REF!,"AAAAAH79+9c=")</f>
        <v>#REF!</v>
      </c>
      <c r="HI178" t="e">
        <f>AND(Liste!#REF!,"AAAAAH79+9g=")</f>
        <v>#REF!</v>
      </c>
      <c r="HJ178" t="e">
        <f>AND(Liste!#REF!,"AAAAAH79+9k=")</f>
        <v>#REF!</v>
      </c>
      <c r="HK178" t="e">
        <f>AND(Liste!#REF!,"AAAAAH79+9o=")</f>
        <v>#REF!</v>
      </c>
      <c r="HL178" t="e">
        <f>AND(Liste!#REF!,"AAAAAH79+9s=")</f>
        <v>#REF!</v>
      </c>
      <c r="HM178" t="e">
        <f>AND(Liste!#REF!,"AAAAAH79+9w=")</f>
        <v>#REF!</v>
      </c>
      <c r="HN178" t="e">
        <f>AND(Liste!#REF!,"AAAAAH79+90=")</f>
        <v>#REF!</v>
      </c>
      <c r="HO178" t="e">
        <f>AND(Liste!#REF!,"AAAAAH79+94=")</f>
        <v>#REF!</v>
      </c>
      <c r="HP178" t="e">
        <f>AND(Liste!#REF!,"AAAAAH79+98=")</f>
        <v>#REF!</v>
      </c>
      <c r="HQ178" t="e">
        <f>AND(Liste!#REF!,"AAAAAH79++A=")</f>
        <v>#REF!</v>
      </c>
      <c r="HR178" t="e">
        <f>AND(Liste!#REF!,"AAAAAH79++E=")</f>
        <v>#REF!</v>
      </c>
      <c r="HS178" t="e">
        <f>AND(Liste!#REF!,"AAAAAH79++I=")</f>
        <v>#REF!</v>
      </c>
      <c r="HT178" t="e">
        <f>AND(Liste!#REF!,"AAAAAH79++M=")</f>
        <v>#REF!</v>
      </c>
      <c r="HU178" t="b">
        <f>AND(Liste!A454,"AAAAAH79++Q=")</f>
        <v>1</v>
      </c>
      <c r="HV178" t="e">
        <f>AND(Liste!#REF!,"AAAAAH79++U=")</f>
        <v>#REF!</v>
      </c>
      <c r="HW178" t="e">
        <f>AND(Liste!#REF!,"AAAAAH79++Y=")</f>
        <v>#REF!</v>
      </c>
      <c r="HX178" t="e">
        <f>AND(Liste!#REF!,"AAAAAH79++c=")</f>
        <v>#REF!</v>
      </c>
      <c r="HY178" t="e">
        <f>AND(Liste!I454,"AAAAAH79++g=")</f>
        <v>#VALUE!</v>
      </c>
      <c r="HZ178" t="e">
        <f>AND(Liste!J454,"AAAAAH79++k=")</f>
        <v>#VALUE!</v>
      </c>
      <c r="IA178" t="e">
        <f>AND(Liste!#REF!,"AAAAAH79++o=")</f>
        <v>#REF!</v>
      </c>
      <c r="IB178" t="e">
        <f>AND(Liste!#REF!,"AAAAAH79++s=")</f>
        <v>#REF!</v>
      </c>
      <c r="IC178" t="e">
        <f>AND(Liste!#REF!,"AAAAAH79++w=")</f>
        <v>#REF!</v>
      </c>
      <c r="ID178" t="e">
        <f>AND(Liste!#REF!,"AAAAAH79++0=")</f>
        <v>#REF!</v>
      </c>
      <c r="IE178" t="e">
        <f>AND(Liste!#REF!,"AAAAAH79++4=")</f>
        <v>#REF!</v>
      </c>
      <c r="IF178" t="e">
        <f>AND(Liste!#REF!,"AAAAAH79++8=")</f>
        <v>#REF!</v>
      </c>
      <c r="IG178" t="e">
        <f>AND(Liste!#REF!,"AAAAAH79+/A=")</f>
        <v>#REF!</v>
      </c>
      <c r="IH178" t="e">
        <f>AND(Liste!#REF!,"AAAAAH79+/E=")</f>
        <v>#REF!</v>
      </c>
      <c r="II178" t="e">
        <f>AND(Liste!#REF!,"AAAAAH79+/I=")</f>
        <v>#REF!</v>
      </c>
      <c r="IJ178" t="e">
        <f>AND(Liste!#REF!,"AAAAAH79+/M=")</f>
        <v>#REF!</v>
      </c>
      <c r="IK178" t="e">
        <f>AND(Liste!#REF!,"AAAAAH79+/Q=")</f>
        <v>#REF!</v>
      </c>
      <c r="IL178" t="e">
        <f>AND(Liste!#REF!,"AAAAAH79+/U=")</f>
        <v>#REF!</v>
      </c>
      <c r="IM178" t="e">
        <f>AND(Liste!#REF!,"AAAAAH79+/Y=")</f>
        <v>#REF!</v>
      </c>
      <c r="IN178" t="e">
        <f>AND(Liste!#REF!,"AAAAAH79+/c=")</f>
        <v>#REF!</v>
      </c>
      <c r="IO178" t="e">
        <f>AND(Liste!#REF!,"AAAAAH79+/g=")</f>
        <v>#REF!</v>
      </c>
      <c r="IP178" t="e">
        <f>AND(Liste!#REF!,"AAAAAH79+/k=")</f>
        <v>#REF!</v>
      </c>
      <c r="IQ178" t="e">
        <f>AND(Liste!#REF!,"AAAAAH79+/o=")</f>
        <v>#REF!</v>
      </c>
      <c r="IR178" t="e">
        <f>AND(Liste!#REF!,"AAAAAH79+/s=")</f>
        <v>#REF!</v>
      </c>
      <c r="IS178" t="e">
        <f>AND(Liste!#REF!,"AAAAAH79+/w=")</f>
        <v>#REF!</v>
      </c>
      <c r="IT178" t="e">
        <f>AND(Liste!#REF!,"AAAAAH79+/0=")</f>
        <v>#REF!</v>
      </c>
      <c r="IU178" t="e">
        <f>AND(Liste!#REF!,"AAAAAH79+/4=")</f>
        <v>#REF!</v>
      </c>
      <c r="IV178" t="e">
        <f>AND(Liste!#REF!,"AAAAAH79+/8=")</f>
        <v>#REF!</v>
      </c>
    </row>
    <row r="179" spans="1:256" x14ac:dyDescent="0.2">
      <c r="A179" t="e">
        <f>AND(Liste!#REF!,"AAAAAH+t1wA=")</f>
        <v>#REF!</v>
      </c>
      <c r="B179" t="e">
        <f>AND(Liste!#REF!,"AAAAAH+t1wE=")</f>
        <v>#REF!</v>
      </c>
      <c r="C179" t="e">
        <f>AND(Liste!#REF!,"AAAAAH+t1wI=")</f>
        <v>#REF!</v>
      </c>
      <c r="D179" t="e">
        <f>AND(Liste!#REF!,"AAAAAH+t1wM=")</f>
        <v>#REF!</v>
      </c>
      <c r="E179" t="e">
        <f>AND(Liste!#REF!,"AAAAAH+t1wQ=")</f>
        <v>#REF!</v>
      </c>
      <c r="F179" t="e">
        <f>AND(Liste!#REF!,"AAAAAH+t1wU=")</f>
        <v>#REF!</v>
      </c>
      <c r="G179" t="e">
        <f>AND(Liste!#REF!,"AAAAAH+t1wY=")</f>
        <v>#REF!</v>
      </c>
      <c r="H179" t="e">
        <f>AND(Liste!#REF!,"AAAAAH+t1wc=")</f>
        <v>#REF!</v>
      </c>
      <c r="I179" t="e">
        <f>AND(Liste!#REF!,"AAAAAH+t1wg=")</f>
        <v>#REF!</v>
      </c>
      <c r="J179" t="e">
        <f>AND(Liste!#REF!,"AAAAAH+t1wk=")</f>
        <v>#REF!</v>
      </c>
      <c r="K179" t="e">
        <f>AND(Liste!#REF!,"AAAAAH+t1wo=")</f>
        <v>#REF!</v>
      </c>
      <c r="L179" t="e">
        <f>AND(Liste!#REF!,"AAAAAH+t1ws=")</f>
        <v>#REF!</v>
      </c>
      <c r="M179" t="e">
        <f>AND(Liste!#REF!,"AAAAAH+t1ww=")</f>
        <v>#REF!</v>
      </c>
      <c r="N179" t="e">
        <f>AND(Liste!#REF!,"AAAAAH+t1w0=")</f>
        <v>#REF!</v>
      </c>
      <c r="O179" t="e">
        <f>AND(Liste!#REF!,"AAAAAH+t1w4=")</f>
        <v>#REF!</v>
      </c>
      <c r="P179" t="e">
        <f>AND(Liste!#REF!,"AAAAAH+t1w8=")</f>
        <v>#REF!</v>
      </c>
      <c r="Q179" t="e">
        <f>AND(Liste!#REF!,"AAAAAH+t1xA=")</f>
        <v>#REF!</v>
      </c>
      <c r="R179" t="e">
        <f>AND(Liste!#REF!,"AAAAAH+t1xE=")</f>
        <v>#REF!</v>
      </c>
      <c r="S179" t="e">
        <f>AND(Liste!#REF!,"AAAAAH+t1xI=")</f>
        <v>#REF!</v>
      </c>
      <c r="T179" t="e">
        <f>AND(Liste!#REF!,"AAAAAH+t1xM=")</f>
        <v>#REF!</v>
      </c>
      <c r="U179" t="e">
        <f>AND(Liste!#REF!,"AAAAAH+t1xQ=")</f>
        <v>#REF!</v>
      </c>
      <c r="V179" t="e">
        <f>AND(Liste!#REF!,"AAAAAH+t1xU=")</f>
        <v>#REF!</v>
      </c>
      <c r="W179" t="e">
        <f>AND(Liste!#REF!,"AAAAAH+t1xY=")</f>
        <v>#REF!</v>
      </c>
      <c r="X179" t="e">
        <f>AND(Liste!#REF!,"AAAAAH+t1xc=")</f>
        <v>#REF!</v>
      </c>
      <c r="Y179" t="e">
        <f>AND(Liste!#REF!,"AAAAAH+t1xg=")</f>
        <v>#REF!</v>
      </c>
      <c r="Z179" t="e">
        <f>AND(Liste!#REF!,"AAAAAH+t1xk=")</f>
        <v>#REF!</v>
      </c>
      <c r="AA179" t="e">
        <f>AND(Liste!#REF!,"AAAAAH+t1xo=")</f>
        <v>#REF!</v>
      </c>
      <c r="AB179" t="e">
        <f>AND(Liste!#REF!,"AAAAAH+t1xs=")</f>
        <v>#REF!</v>
      </c>
      <c r="AC179" t="e">
        <f>AND(Liste!#REF!,"AAAAAH+t1xw=")</f>
        <v>#REF!</v>
      </c>
      <c r="AD179" t="e">
        <f>AND(Liste!#REF!,"AAAAAH+t1x0=")</f>
        <v>#REF!</v>
      </c>
      <c r="AE179" t="e">
        <f>AND(Liste!#REF!,"AAAAAH+t1x4=")</f>
        <v>#REF!</v>
      </c>
      <c r="AF179" t="e">
        <f>AND(Liste!#REF!,"AAAAAH+t1x8=")</f>
        <v>#REF!</v>
      </c>
      <c r="AG179" t="e">
        <f>AND(Liste!#REF!,"AAAAAH+t1yA=")</f>
        <v>#REF!</v>
      </c>
      <c r="AH179" t="e">
        <f>AND(Liste!#REF!,"AAAAAH+t1yE=")</f>
        <v>#REF!</v>
      </c>
      <c r="AI179" t="e">
        <f>AND(Liste!#REF!,"AAAAAH+t1yI=")</f>
        <v>#REF!</v>
      </c>
      <c r="AJ179" t="e">
        <f>AND(Liste!#REF!,"AAAAAH+t1yM=")</f>
        <v>#REF!</v>
      </c>
      <c r="AK179" t="e">
        <f>AND(Liste!#REF!,"AAAAAH+t1yQ=")</f>
        <v>#REF!</v>
      </c>
      <c r="AL179" t="e">
        <f>AND(Liste!#REF!,"AAAAAH+t1yU=")</f>
        <v>#REF!</v>
      </c>
      <c r="AM179" t="e">
        <f>AND(Liste!C455,"AAAAAH+t1yY=")</f>
        <v>#VALUE!</v>
      </c>
      <c r="AN179" t="e">
        <f>AND(Liste!D455,"AAAAAH+t1yc=")</f>
        <v>#VALUE!</v>
      </c>
      <c r="AO179" t="e">
        <f>AND(Liste!E455,"AAAAAH+t1yg=")</f>
        <v>#VALUE!</v>
      </c>
      <c r="AP179" t="e">
        <f>AND(Liste!C456,"AAAAAH+t1yk=")</f>
        <v>#VALUE!</v>
      </c>
      <c r="AQ179" t="e">
        <f>AND(Liste!D456,"AAAAAH+t1yo=")</f>
        <v>#VALUE!</v>
      </c>
      <c r="AR179" t="e">
        <f>AND(Liste!E456,"AAAAAH+t1ys=")</f>
        <v>#VALUE!</v>
      </c>
      <c r="AS179" t="e">
        <f>AND(Liste!#REF!,"AAAAAH+t1yw=")</f>
        <v>#REF!</v>
      </c>
      <c r="AT179" t="e">
        <f>AND(Liste!#REF!,"AAAAAH+t1y0=")</f>
        <v>#REF!</v>
      </c>
      <c r="AU179" t="e">
        <f>AND(Liste!#REF!,"AAAAAH+t1y4=")</f>
        <v>#REF!</v>
      </c>
      <c r="AV179" t="e">
        <f>AND(Liste!#REF!,"AAAAAH+t1y8=")</f>
        <v>#REF!</v>
      </c>
      <c r="AW179" t="e">
        <f>AND(Liste!#REF!,"AAAAAH+t1zA=")</f>
        <v>#REF!</v>
      </c>
      <c r="AX179" t="e">
        <f>AND(Liste!#REF!,"AAAAAH+t1zE=")</f>
        <v>#REF!</v>
      </c>
      <c r="AY179" t="e">
        <f>AND(Liste!#REF!,"AAAAAH+t1zI=")</f>
        <v>#REF!</v>
      </c>
      <c r="AZ179" t="e">
        <f>AND(Liste!#REF!,"AAAAAH+t1zM=")</f>
        <v>#REF!</v>
      </c>
      <c r="BA179" t="e">
        <f>AND(Liste!#REF!,"AAAAAH+t1zQ=")</f>
        <v>#REF!</v>
      </c>
      <c r="BB179" t="e">
        <f>AND(Liste!#REF!,"AAAAAH+t1zU=")</f>
        <v>#REF!</v>
      </c>
      <c r="BC179" t="e">
        <f>AND(Liste!#REF!,"AAAAAH+t1zY=")</f>
        <v>#REF!</v>
      </c>
      <c r="BD179" t="e">
        <f>AND(Liste!#REF!,"AAAAAH+t1zc=")</f>
        <v>#REF!</v>
      </c>
      <c r="BE179" t="e">
        <f>AND(Liste!#REF!,"AAAAAH+t1zg=")</f>
        <v>#REF!</v>
      </c>
      <c r="BF179" t="e">
        <f>AND(Liste!#REF!,"AAAAAH+t1zk=")</f>
        <v>#REF!</v>
      </c>
      <c r="BG179" t="e">
        <f>AND(Liste!#REF!,"AAAAAH+t1zo=")</f>
        <v>#REF!</v>
      </c>
      <c r="BH179" t="e">
        <f>AND(Liste!#REF!,"AAAAAH+t1zs=")</f>
        <v>#REF!</v>
      </c>
      <c r="BI179" t="e">
        <f>AND(Liste!#REF!,"AAAAAH+t1zw=")</f>
        <v>#REF!</v>
      </c>
      <c r="BJ179" t="e">
        <f>AND(Liste!#REF!,"AAAAAH+t1z0=")</f>
        <v>#REF!</v>
      </c>
      <c r="BK179" t="e">
        <f>AND(Liste!#REF!,"AAAAAH+t1z4=")</f>
        <v>#REF!</v>
      </c>
      <c r="BL179" t="e">
        <f>AND(Liste!#REF!,"AAAAAH+t1z8=")</f>
        <v>#REF!</v>
      </c>
      <c r="BM179" t="e">
        <f>AND(Liste!#REF!,"AAAAAH+t10A=")</f>
        <v>#REF!</v>
      </c>
      <c r="BN179" t="e">
        <f>AND(Liste!#REF!,"AAAAAH+t10E=")</f>
        <v>#REF!</v>
      </c>
      <c r="BO179" t="e">
        <f>AND(Liste!#REF!,"AAAAAH+t10I=")</f>
        <v>#REF!</v>
      </c>
      <c r="BP179" t="e">
        <f>AND(Liste!#REF!,"AAAAAH+t10M=")</f>
        <v>#REF!</v>
      </c>
      <c r="BQ179" t="e">
        <f>AND(Liste!#REF!,"AAAAAH+t10Q=")</f>
        <v>#REF!</v>
      </c>
      <c r="BR179" t="e">
        <f>AND(Liste!#REF!,"AAAAAH+t10U=")</f>
        <v>#REF!</v>
      </c>
      <c r="BS179" t="e">
        <f>AND(Liste!#REF!,"AAAAAH+t10Y=")</f>
        <v>#REF!</v>
      </c>
      <c r="BT179" t="e">
        <f>AND(Liste!#REF!,"AAAAAH+t10c=")</f>
        <v>#REF!</v>
      </c>
      <c r="BU179" t="e">
        <f>AND(Liste!#REF!,"AAAAAH+t10g=")</f>
        <v>#REF!</v>
      </c>
      <c r="BV179" t="e">
        <f>AND(Liste!#REF!,"AAAAAH+t10k=")</f>
        <v>#REF!</v>
      </c>
      <c r="BW179" t="e">
        <f>AND(Liste!#REF!,"AAAAAH+t10o=")</f>
        <v>#REF!</v>
      </c>
      <c r="BX179" t="e">
        <f>AND(Liste!#REF!,"AAAAAH+t10s=")</f>
        <v>#REF!</v>
      </c>
      <c r="BY179" t="e">
        <f>AND(Liste!#REF!,"AAAAAH+t10w=")</f>
        <v>#REF!</v>
      </c>
      <c r="BZ179" t="e">
        <f>AND(Liste!#REF!,"AAAAAH+t100=")</f>
        <v>#REF!</v>
      </c>
      <c r="CA179" t="e">
        <f>AND(Liste!#REF!,"AAAAAH+t104=")</f>
        <v>#REF!</v>
      </c>
      <c r="CB179" t="e">
        <f>AND(Liste!#REF!,"AAAAAH+t108=")</f>
        <v>#REF!</v>
      </c>
      <c r="CC179" t="e">
        <f>AND(Liste!#REF!,"AAAAAH+t11A=")</f>
        <v>#REF!</v>
      </c>
      <c r="CD179" t="e">
        <f>AND(Liste!#REF!,"AAAAAH+t11E=")</f>
        <v>#REF!</v>
      </c>
      <c r="CE179" t="e">
        <f>AND(Liste!#REF!,"AAAAAH+t11I=")</f>
        <v>#REF!</v>
      </c>
      <c r="CF179" t="e">
        <f>AND(Liste!#REF!,"AAAAAH+t11M=")</f>
        <v>#REF!</v>
      </c>
      <c r="CG179" t="e">
        <f>AND(Liste!#REF!,"AAAAAH+t11Q=")</f>
        <v>#REF!</v>
      </c>
      <c r="CH179" t="e">
        <f>AND(Liste!#REF!,"AAAAAH+t11U=")</f>
        <v>#REF!</v>
      </c>
      <c r="CI179" t="e">
        <f>AND(Liste!#REF!,"AAAAAH+t11Y=")</f>
        <v>#REF!</v>
      </c>
      <c r="CJ179" t="e">
        <f>AND(Liste!#REF!,"AAAAAH+t11c=")</f>
        <v>#REF!</v>
      </c>
      <c r="CK179" t="e">
        <f>AND(Liste!#REF!,"AAAAAH+t11g=")</f>
        <v>#REF!</v>
      </c>
      <c r="CL179" t="e">
        <f>AND(Liste!#REF!,"AAAAAH+t11k=")</f>
        <v>#REF!</v>
      </c>
      <c r="CM179" t="e">
        <f>AND(Liste!#REF!,"AAAAAH+t11o=")</f>
        <v>#REF!</v>
      </c>
      <c r="CN179" t="e">
        <f>AND(Liste!#REF!,"AAAAAH+t11s=")</f>
        <v>#REF!</v>
      </c>
      <c r="CO179" t="e">
        <f>AND(Liste!#REF!,"AAAAAH+t11w=")</f>
        <v>#REF!</v>
      </c>
      <c r="CP179" t="e">
        <f>AND(Liste!#REF!,"AAAAAH+t110=")</f>
        <v>#REF!</v>
      </c>
      <c r="CQ179" t="e">
        <f>AND(Liste!#REF!,"AAAAAH+t114=")</f>
        <v>#REF!</v>
      </c>
      <c r="CR179" t="e">
        <f>AND(Liste!#REF!,"AAAAAH+t118=")</f>
        <v>#REF!</v>
      </c>
      <c r="CS179" t="e">
        <f>AND(Liste!#REF!,"AAAAAH+t12A=")</f>
        <v>#REF!</v>
      </c>
      <c r="CT179" t="e">
        <f>AND(Liste!#REF!,"AAAAAH+t12E=")</f>
        <v>#REF!</v>
      </c>
      <c r="CU179" t="e">
        <f>AND(Liste!#REF!,"AAAAAH+t12I=")</f>
        <v>#REF!</v>
      </c>
      <c r="CV179" t="e">
        <f>AND(Liste!#REF!,"AAAAAH+t12M=")</f>
        <v>#REF!</v>
      </c>
      <c r="CW179" t="e">
        <f>AND(Liste!#REF!,"AAAAAH+t12Q=")</f>
        <v>#REF!</v>
      </c>
      <c r="CX179" t="e">
        <f>AND(Liste!#REF!,"AAAAAH+t12U=")</f>
        <v>#REF!</v>
      </c>
      <c r="CY179" t="e">
        <f>AND(Liste!#REF!,"AAAAAH+t12Y=")</f>
        <v>#REF!</v>
      </c>
      <c r="CZ179" t="e">
        <f>AND(Liste!#REF!,"AAAAAH+t12c=")</f>
        <v>#REF!</v>
      </c>
      <c r="DA179" t="e">
        <f>AND(Liste!#REF!,"AAAAAH+t12g=")</f>
        <v>#REF!</v>
      </c>
      <c r="DB179" t="e">
        <f>AND(Liste!#REF!,"AAAAAH+t12k=")</f>
        <v>#REF!</v>
      </c>
      <c r="DC179" t="e">
        <f>AND(Liste!#REF!,"AAAAAH+t12o=")</f>
        <v>#REF!</v>
      </c>
      <c r="DD179" t="e">
        <f>AND(Liste!#REF!,"AAAAAH+t12s=")</f>
        <v>#REF!</v>
      </c>
      <c r="DE179" t="e">
        <f>AND(Liste!#REF!,"AAAAAH+t12w=")</f>
        <v>#REF!</v>
      </c>
      <c r="DF179" t="e">
        <f>AND(Liste!#REF!,"AAAAAH+t120=")</f>
        <v>#REF!</v>
      </c>
      <c r="DG179" t="e">
        <f>AND(Liste!#REF!,"AAAAAH+t124=")</f>
        <v>#REF!</v>
      </c>
      <c r="DH179" t="e">
        <f>AND(Liste!#REF!,"AAAAAH+t128=")</f>
        <v>#REF!</v>
      </c>
      <c r="DI179" t="e">
        <f>AND(Liste!#REF!,"AAAAAH+t13A=")</f>
        <v>#REF!</v>
      </c>
      <c r="DJ179" t="e">
        <f>AND(Liste!#REF!,"AAAAAH+t13E=")</f>
        <v>#REF!</v>
      </c>
      <c r="DK179" t="e">
        <f>AND(Liste!#REF!,"AAAAAH+t13I=")</f>
        <v>#REF!</v>
      </c>
      <c r="DL179" t="e">
        <f>AND(Liste!#REF!,"AAAAAH+t13M=")</f>
        <v>#REF!</v>
      </c>
      <c r="DM179" t="e">
        <f>AND(Liste!#REF!,"AAAAAH+t13Q=")</f>
        <v>#REF!</v>
      </c>
      <c r="DN179" t="e">
        <f>AND(Liste!#REF!,"AAAAAH+t13U=")</f>
        <v>#REF!</v>
      </c>
      <c r="DO179" t="e">
        <f>AND(Liste!#REF!,"AAAAAH+t13Y=")</f>
        <v>#REF!</v>
      </c>
      <c r="DP179" t="e">
        <f>AND(Liste!#REF!,"AAAAAH+t13c=")</f>
        <v>#REF!</v>
      </c>
      <c r="DQ179" t="e">
        <f>AND(Liste!#REF!,"AAAAAH+t13g=")</f>
        <v>#REF!</v>
      </c>
      <c r="DR179" t="e">
        <f>AND(Liste!#REF!,"AAAAAH+t13k=")</f>
        <v>#REF!</v>
      </c>
      <c r="DS179" t="e">
        <f>AND(Liste!#REF!,"AAAAAH+t13o=")</f>
        <v>#REF!</v>
      </c>
      <c r="DT179" t="e">
        <f>AND(Liste!#REF!,"AAAAAH+t13s=")</f>
        <v>#REF!</v>
      </c>
      <c r="DU179" t="e">
        <f>AND(Liste!#REF!,"AAAAAH+t13w=")</f>
        <v>#REF!</v>
      </c>
      <c r="DV179" t="e">
        <f>AND(Liste!#REF!,"AAAAAH+t130=")</f>
        <v>#REF!</v>
      </c>
      <c r="DW179" t="e">
        <f>AND(Liste!#REF!,"AAAAAH+t134=")</f>
        <v>#REF!</v>
      </c>
      <c r="DX179" t="e">
        <f>AND(Liste!#REF!,"AAAAAH+t138=")</f>
        <v>#REF!</v>
      </c>
      <c r="DY179" t="e">
        <f>AND(Liste!#REF!,"AAAAAH+t14A=")</f>
        <v>#REF!</v>
      </c>
      <c r="DZ179" t="e">
        <f>AND(Liste!#REF!,"AAAAAH+t14E=")</f>
        <v>#REF!</v>
      </c>
      <c r="EA179" t="e">
        <f>AND(Liste!#REF!,"AAAAAH+t14I=")</f>
        <v>#REF!</v>
      </c>
      <c r="EB179" t="e">
        <f>AND(Liste!C473,"AAAAAH+t14M=")</f>
        <v>#VALUE!</v>
      </c>
      <c r="EC179" t="e">
        <f>AND(Liste!D473,"AAAAAH+t14Q=")</f>
        <v>#VALUE!</v>
      </c>
      <c r="ED179" t="e">
        <f>AND(Liste!E473,"AAAAAH+t14U=")</f>
        <v>#VALUE!</v>
      </c>
      <c r="EE179" t="e">
        <f>AND(Liste!C474,"AAAAAH+t14Y=")</f>
        <v>#VALUE!</v>
      </c>
      <c r="EF179" t="e">
        <f>AND(Liste!D474,"AAAAAH+t14c=")</f>
        <v>#VALUE!</v>
      </c>
      <c r="EG179" t="e">
        <f>AND(Liste!E474,"AAAAAH+t14g=")</f>
        <v>#VALUE!</v>
      </c>
      <c r="EH179" t="e">
        <f>AND(Liste!#REF!,"AAAAAH+t14k=")</f>
        <v>#REF!</v>
      </c>
      <c r="EI179" t="e">
        <f>AND(Liste!#REF!,"AAAAAH+t14o=")</f>
        <v>#REF!</v>
      </c>
      <c r="EJ179" t="e">
        <f>AND(Liste!#REF!,"AAAAAH+t14s=")</f>
        <v>#REF!</v>
      </c>
      <c r="EK179" t="e">
        <f>AND(Liste!#REF!,"AAAAAH+t14w=")</f>
        <v>#REF!</v>
      </c>
      <c r="EL179" t="e">
        <f>AND(Liste!#REF!,"AAAAAH+t140=")</f>
        <v>#REF!</v>
      </c>
      <c r="EM179" t="e">
        <f>AND(Liste!#REF!,"AAAAAH+t144=")</f>
        <v>#REF!</v>
      </c>
      <c r="EN179" t="e">
        <f>AND(Liste!#REF!,"AAAAAH+t148=")</f>
        <v>#REF!</v>
      </c>
      <c r="EO179" t="e">
        <f>AND(Liste!#REF!,"AAAAAH+t15A=")</f>
        <v>#REF!</v>
      </c>
      <c r="EP179" t="e">
        <f>AND(Liste!#REF!,"AAAAAH+t15E=")</f>
        <v>#REF!</v>
      </c>
      <c r="EQ179" t="e">
        <f>AND(Liste!#REF!,"AAAAAH+t15I=")</f>
        <v>#REF!</v>
      </c>
      <c r="ER179" t="e">
        <f>AND(Liste!#REF!,"AAAAAH+t15M=")</f>
        <v>#REF!</v>
      </c>
      <c r="ES179" t="e">
        <f>AND(Liste!#REF!,"AAAAAH+t15Q=")</f>
        <v>#REF!</v>
      </c>
      <c r="ET179" t="e">
        <f>AND(Liste!#REF!,"AAAAAH+t15U=")</f>
        <v>#REF!</v>
      </c>
      <c r="EU179" t="e">
        <f>AND(Liste!#REF!,"AAAAAH+t15Y=")</f>
        <v>#REF!</v>
      </c>
      <c r="EV179" t="e">
        <f>AND(Liste!#REF!,"AAAAAH+t15c=")</f>
        <v>#REF!</v>
      </c>
      <c r="EW179" t="e">
        <f>AND(Liste!#REF!,"AAAAAH+t15g=")</f>
        <v>#REF!</v>
      </c>
      <c r="EX179" t="e">
        <f>AND(Liste!#REF!,"AAAAAH+t15k=")</f>
        <v>#REF!</v>
      </c>
      <c r="EY179" t="e">
        <f>AND(Liste!#REF!,"AAAAAH+t15o=")</f>
        <v>#REF!</v>
      </c>
      <c r="EZ179" t="e">
        <f>AND(Liste!#REF!,"AAAAAH+t15s=")</f>
        <v>#REF!</v>
      </c>
      <c r="FA179" t="e">
        <f>AND(Liste!#REF!,"AAAAAH+t15w=")</f>
        <v>#REF!</v>
      </c>
      <c r="FB179" t="e">
        <f>AND(Liste!#REF!,"AAAAAH+t150=")</f>
        <v>#REF!</v>
      </c>
      <c r="FC179" t="e">
        <f>AND(Liste!#REF!,"AAAAAH+t154=")</f>
        <v>#REF!</v>
      </c>
      <c r="FD179" t="e">
        <f>AND(Liste!#REF!,"AAAAAH+t158=")</f>
        <v>#REF!</v>
      </c>
      <c r="FE179" t="e">
        <f>AND(Liste!#REF!,"AAAAAH+t16A=")</f>
        <v>#REF!</v>
      </c>
      <c r="FF179" t="e">
        <f>AND(Liste!#REF!,"AAAAAH+t16E=")</f>
        <v>#REF!</v>
      </c>
      <c r="FG179" t="e">
        <f>AND(Liste!#REF!,"AAAAAH+t16I=")</f>
        <v>#REF!</v>
      </c>
      <c r="FH179" t="e">
        <f>AND(Liste!#REF!,"AAAAAH+t16M=")</f>
        <v>#REF!</v>
      </c>
      <c r="FI179" t="e">
        <f>AND(Liste!#REF!,"AAAAAH+t16Q=")</f>
        <v>#REF!</v>
      </c>
      <c r="FJ179" t="e">
        <f>AND(Liste!#REF!,"AAAAAH+t16U=")</f>
        <v>#REF!</v>
      </c>
      <c r="FK179" t="e">
        <f>AND(Liste!#REF!,"AAAAAH+t16Y=")</f>
        <v>#REF!</v>
      </c>
      <c r="FL179" t="e">
        <f>AND(Liste!#REF!,"AAAAAH+t16c=")</f>
        <v>#REF!</v>
      </c>
      <c r="FM179" t="e">
        <f>AND(Liste!#REF!,"AAAAAH+t16g=")</f>
        <v>#REF!</v>
      </c>
      <c r="FN179" t="e">
        <f>AND(Liste!#REF!,"AAAAAH+t16k=")</f>
        <v>#REF!</v>
      </c>
      <c r="FO179" t="e">
        <f>AND(Liste!#REF!,"AAAAAH+t16o=")</f>
        <v>#REF!</v>
      </c>
      <c r="FP179" t="e">
        <f>AND(Liste!#REF!,"AAAAAH+t16s=")</f>
        <v>#REF!</v>
      </c>
      <c r="FQ179" t="e">
        <f>AND(Liste!#REF!,"AAAAAH+t16w=")</f>
        <v>#REF!</v>
      </c>
      <c r="FR179" t="e">
        <f>AND(Liste!#REF!,"AAAAAH+t160=")</f>
        <v>#REF!</v>
      </c>
      <c r="FS179" t="e">
        <f>AND(Liste!#REF!,"AAAAAH+t164=")</f>
        <v>#REF!</v>
      </c>
      <c r="FT179" t="e">
        <f>AND(Liste!#REF!,"AAAAAH+t168=")</f>
        <v>#REF!</v>
      </c>
      <c r="FU179" t="e">
        <f>AND(Liste!#REF!,"AAAAAH+t17A=")</f>
        <v>#REF!</v>
      </c>
      <c r="FV179" t="e">
        <f>AND(Liste!#REF!,"AAAAAH+t17E=")</f>
        <v>#REF!</v>
      </c>
      <c r="FW179" t="e">
        <f>AND(Liste!#REF!,"AAAAAH+t17I=")</f>
        <v>#REF!</v>
      </c>
      <c r="FX179" t="e">
        <f>AND(Liste!#REF!,"AAAAAH+t17M=")</f>
        <v>#REF!</v>
      </c>
      <c r="FY179" t="e">
        <f>AND(Liste!#REF!,"AAAAAH+t17Q=")</f>
        <v>#REF!</v>
      </c>
      <c r="FZ179" t="e">
        <f>AND(Liste!#REF!,"AAAAAH+t17U=")</f>
        <v>#REF!</v>
      </c>
      <c r="GA179" t="e">
        <f>AND(Liste!#REF!,"AAAAAH+t17Y=")</f>
        <v>#REF!</v>
      </c>
      <c r="GB179" t="e">
        <f>AND(Liste!#REF!,"AAAAAH+t17c=")</f>
        <v>#REF!</v>
      </c>
      <c r="GC179" t="e">
        <f>AND(Liste!#REF!,"AAAAAH+t17g=")</f>
        <v>#REF!</v>
      </c>
      <c r="GD179" t="e">
        <f>AND(Liste!#REF!,"AAAAAH+t17k=")</f>
        <v>#REF!</v>
      </c>
      <c r="GE179" t="e">
        <f>AND(Liste!#REF!,"AAAAAH+t17o=")</f>
        <v>#REF!</v>
      </c>
      <c r="GF179" t="e">
        <f>AND(Liste!#REF!,"AAAAAH+t17s=")</f>
        <v>#REF!</v>
      </c>
      <c r="GG179" t="e">
        <f>AND(Liste!#REF!,"AAAAAH+t17w=")</f>
        <v>#REF!</v>
      </c>
      <c r="GH179" t="e">
        <f>AND(Liste!#REF!,"AAAAAH+t170=")</f>
        <v>#REF!</v>
      </c>
      <c r="GI179" t="e">
        <f>AND(Liste!#REF!,"AAAAAH+t174=")</f>
        <v>#REF!</v>
      </c>
      <c r="GJ179" t="e">
        <f>AND(Liste!#REF!,"AAAAAH+t178=")</f>
        <v>#REF!</v>
      </c>
      <c r="GK179" t="e">
        <f>AND(Liste!#REF!,"AAAAAH+t18A=")</f>
        <v>#REF!</v>
      </c>
      <c r="GL179" t="e">
        <f>AND(Liste!#REF!,"AAAAAH+t18E=")</f>
        <v>#REF!</v>
      </c>
      <c r="GM179" t="e">
        <f>AND(Liste!#REF!,"AAAAAH+t18I=")</f>
        <v>#REF!</v>
      </c>
      <c r="GN179" t="e">
        <f>AND(Liste!#REF!,"AAAAAH+t18M=")</f>
        <v>#REF!</v>
      </c>
      <c r="GO179" t="e">
        <f>AND(Liste!#REF!,"AAAAAH+t18Q=")</f>
        <v>#REF!</v>
      </c>
      <c r="GP179" t="e">
        <f>AND(Liste!#REF!,"AAAAAH+t18U=")</f>
        <v>#REF!</v>
      </c>
      <c r="GQ179" t="e">
        <f>AND(Liste!#REF!,"AAAAAH+t18Y=")</f>
        <v>#REF!</v>
      </c>
      <c r="GR179" t="e">
        <f>AND(Liste!#REF!,"AAAAAH+t18c=")</f>
        <v>#REF!</v>
      </c>
      <c r="GS179" t="e">
        <f>AND(Liste!#REF!,"AAAAAH+t18g=")</f>
        <v>#REF!</v>
      </c>
      <c r="GT179" t="e">
        <f>AND(Liste!#REF!,"AAAAAH+t18k=")</f>
        <v>#REF!</v>
      </c>
      <c r="GU179" t="e">
        <f>AND(Liste!#REF!,"AAAAAH+t18o=")</f>
        <v>#REF!</v>
      </c>
      <c r="GV179" t="e">
        <f>AND(Liste!#REF!,"AAAAAH+t18s=")</f>
        <v>#REF!</v>
      </c>
      <c r="GW179" t="e">
        <f>AND(Liste!#REF!,"AAAAAH+t18w=")</f>
        <v>#REF!</v>
      </c>
      <c r="GX179" t="e">
        <f>AND(Liste!#REF!,"AAAAAH+t180=")</f>
        <v>#REF!</v>
      </c>
      <c r="GY179" t="e">
        <f>AND(Liste!#REF!,"AAAAAH+t184=")</f>
        <v>#REF!</v>
      </c>
      <c r="GZ179" t="e">
        <f>AND(Liste!#REF!,"AAAAAH+t188=")</f>
        <v>#REF!</v>
      </c>
      <c r="HA179" t="e">
        <f>AND(Liste!#REF!,"AAAAAH+t19A=")</f>
        <v>#REF!</v>
      </c>
      <c r="HB179" t="e">
        <f>AND(Liste!#REF!,"AAAAAH+t19E=")</f>
        <v>#REF!</v>
      </c>
      <c r="HC179" t="e">
        <f>AND(Liste!#REF!,"AAAAAH+t19I=")</f>
        <v>#REF!</v>
      </c>
      <c r="HD179" t="e">
        <f>AND(Liste!#REF!,"AAAAAH+t19M=")</f>
        <v>#REF!</v>
      </c>
      <c r="HE179" t="e">
        <f>AND(Liste!#REF!,"AAAAAH+t19Q=")</f>
        <v>#REF!</v>
      </c>
      <c r="HF179" t="e">
        <f>AND(Liste!#REF!,"AAAAAH+t19U=")</f>
        <v>#REF!</v>
      </c>
      <c r="HG179" t="e">
        <f>AND(Liste!#REF!,"AAAAAH+t19Y=")</f>
        <v>#REF!</v>
      </c>
      <c r="HH179" t="e">
        <f>AND(Liste!#REF!,"AAAAAH+t19c=")</f>
        <v>#REF!</v>
      </c>
      <c r="HI179" t="e">
        <f>AND(Liste!#REF!,"AAAAAH+t19g=")</f>
        <v>#REF!</v>
      </c>
      <c r="HJ179" t="e">
        <f>AND(Liste!#REF!,"AAAAAH+t19k=")</f>
        <v>#REF!</v>
      </c>
      <c r="HK179" t="e">
        <f>AND(Liste!#REF!,"AAAAAH+t19o=")</f>
        <v>#REF!</v>
      </c>
      <c r="HL179" t="e">
        <f>AND(Liste!#REF!,"AAAAAH+t19s=")</f>
        <v>#REF!</v>
      </c>
      <c r="HM179" t="e">
        <f>AND(Liste!#REF!,"AAAAAH+t19w=")</f>
        <v>#REF!</v>
      </c>
      <c r="HN179" t="e">
        <f>AND(Liste!C491,"AAAAAH+t190=")</f>
        <v>#VALUE!</v>
      </c>
      <c r="HO179" t="e">
        <f>AND(Liste!D491,"AAAAAH+t194=")</f>
        <v>#VALUE!</v>
      </c>
      <c r="HP179" t="e">
        <f>AND(Liste!E491,"AAAAAH+t198=")</f>
        <v>#VALUE!</v>
      </c>
      <c r="HQ179" t="e">
        <f>AND(Liste!#REF!,"AAAAAH+t1+A=")</f>
        <v>#REF!</v>
      </c>
      <c r="HR179" t="e">
        <f>AND(Liste!#REF!,"AAAAAH+t1+E=")</f>
        <v>#REF!</v>
      </c>
      <c r="HS179" t="e">
        <f>AND(Liste!#REF!,"AAAAAH+t1+I=")</f>
        <v>#REF!</v>
      </c>
      <c r="HT179" t="e">
        <f>AND(Liste!#REF!,"AAAAAH+t1+M=")</f>
        <v>#REF!</v>
      </c>
      <c r="HU179" t="e">
        <f>AND(Liste!#REF!,"AAAAAH+t1+Q=")</f>
        <v>#REF!</v>
      </c>
      <c r="HV179" t="e">
        <f>AND(Liste!#REF!,"AAAAAH+t1+U=")</f>
        <v>#REF!</v>
      </c>
      <c r="HW179" t="e">
        <f>AND(Liste!#REF!,"AAAAAH+t1+Y=")</f>
        <v>#REF!</v>
      </c>
      <c r="HX179" t="e">
        <f>AND(Liste!#REF!,"AAAAAH+t1+c=")</f>
        <v>#REF!</v>
      </c>
      <c r="HY179" t="e">
        <f>AND(Liste!#REF!,"AAAAAH+t1+g=")</f>
        <v>#REF!</v>
      </c>
      <c r="HZ179" t="e">
        <f>AND(Liste!#REF!,"AAAAAH+t1+k=")</f>
        <v>#REF!</v>
      </c>
      <c r="IA179" t="e">
        <f>AND(Liste!#REF!,"AAAAAH+t1+o=")</f>
        <v>#REF!</v>
      </c>
      <c r="IB179" t="e">
        <f>AND(Liste!#REF!,"AAAAAH+t1+s=")</f>
        <v>#REF!</v>
      </c>
      <c r="IC179" t="e">
        <f>AND(Liste!#REF!,"AAAAAH+t1+w=")</f>
        <v>#REF!</v>
      </c>
      <c r="ID179" t="e">
        <f>AND(Liste!#REF!,"AAAAAH+t1+0=")</f>
        <v>#REF!</v>
      </c>
      <c r="IE179" t="e">
        <f>AND(Liste!#REF!,"AAAAAH+t1+4=")</f>
        <v>#REF!</v>
      </c>
      <c r="IF179" t="e">
        <f>AND(Liste!#REF!,"AAAAAH+t1+8=")</f>
        <v>#REF!</v>
      </c>
      <c r="IG179" t="e">
        <f>AND(Liste!#REF!,"AAAAAH+t1/A=")</f>
        <v>#REF!</v>
      </c>
      <c r="IH179" t="e">
        <f>AND(Liste!#REF!,"AAAAAH+t1/E=")</f>
        <v>#REF!</v>
      </c>
      <c r="II179" t="e">
        <f>AND(Liste!#REF!,"AAAAAH+t1/I=")</f>
        <v>#REF!</v>
      </c>
      <c r="IJ179" t="e">
        <f>AND(Liste!#REF!,"AAAAAH+t1/M=")</f>
        <v>#REF!</v>
      </c>
      <c r="IK179" t="e">
        <f>AND(Liste!#REF!,"AAAAAH+t1/Q=")</f>
        <v>#REF!</v>
      </c>
      <c r="IL179" t="e">
        <f>AND(Liste!#REF!,"AAAAAH+t1/U=")</f>
        <v>#REF!</v>
      </c>
      <c r="IM179" t="e">
        <f>AND(Liste!#REF!,"AAAAAH+t1/Y=")</f>
        <v>#REF!</v>
      </c>
      <c r="IN179" t="e">
        <f>AND(Liste!#REF!,"AAAAAH+t1/c=")</f>
        <v>#REF!</v>
      </c>
      <c r="IO179" t="e">
        <f>AND(Liste!#REF!,"AAAAAH+t1/g=")</f>
        <v>#REF!</v>
      </c>
      <c r="IP179" t="e">
        <f>AND(Liste!#REF!,"AAAAAH+t1/k=")</f>
        <v>#REF!</v>
      </c>
      <c r="IQ179" t="e">
        <f>AND(Liste!#REF!,"AAAAAH+t1/o=")</f>
        <v>#REF!</v>
      </c>
      <c r="IR179" t="e">
        <f>AND(Liste!#REF!,"AAAAAH+t1/s=")</f>
        <v>#REF!</v>
      </c>
      <c r="IS179" t="e">
        <f>AND(Liste!#REF!,"AAAAAH+t1/w=")</f>
        <v>#REF!</v>
      </c>
      <c r="IT179" t="e">
        <f>AND(Liste!#REF!,"AAAAAH+t1/0=")</f>
        <v>#REF!</v>
      </c>
      <c r="IU179" t="e">
        <f>AND(Liste!#REF!,"AAAAAH+t1/4=")</f>
        <v>#REF!</v>
      </c>
      <c r="IV179" t="e">
        <f>AND(Liste!#REF!,"AAAAAH+t1/8=")</f>
        <v>#REF!</v>
      </c>
    </row>
    <row r="180" spans="1:256" x14ac:dyDescent="0.2">
      <c r="A180" t="e">
        <f>AND(Liste!#REF!,"AAAAAEneJgA=")</f>
        <v>#REF!</v>
      </c>
      <c r="B180" t="e">
        <f>AND(Liste!#REF!,"AAAAAEneJgE=")</f>
        <v>#REF!</v>
      </c>
      <c r="C180" t="e">
        <f>AND(Liste!#REF!,"AAAAAEneJgI=")</f>
        <v>#REF!</v>
      </c>
      <c r="D180" t="e">
        <f>AND(Liste!#REF!,"AAAAAEneJgM=")</f>
        <v>#REF!</v>
      </c>
      <c r="E180" t="e">
        <f>AND(Liste!#REF!,"AAAAAEneJgQ=")</f>
        <v>#REF!</v>
      </c>
      <c r="F180" t="e">
        <f>AND(Liste!#REF!,"AAAAAEneJgU=")</f>
        <v>#REF!</v>
      </c>
      <c r="G180" t="e">
        <f>AND(Liste!#REF!,"AAAAAEneJgY=")</f>
        <v>#REF!</v>
      </c>
      <c r="H180" t="e">
        <f>AND(Liste!#REF!,"AAAAAEneJgc=")</f>
        <v>#REF!</v>
      </c>
      <c r="I180" t="e">
        <f>AND(Liste!#REF!,"AAAAAEneJgg=")</f>
        <v>#REF!</v>
      </c>
      <c r="J180" t="e">
        <f>AND(Liste!#REF!,"AAAAAEneJgk=")</f>
        <v>#REF!</v>
      </c>
      <c r="K180" t="e">
        <f>AND(Liste!#REF!,"AAAAAEneJgo=")</f>
        <v>#REF!</v>
      </c>
      <c r="L180" t="e">
        <f>AND(Liste!#REF!,"AAAAAEneJgs=")</f>
        <v>#REF!</v>
      </c>
      <c r="M180" t="e">
        <f>AND(Liste!#REF!,"AAAAAEneJgw=")</f>
        <v>#REF!</v>
      </c>
      <c r="N180" t="e">
        <f>AND(Liste!#REF!,"AAAAAEneJg0=")</f>
        <v>#REF!</v>
      </c>
      <c r="O180" t="e">
        <f>AND(Liste!#REF!,"AAAAAEneJg4=")</f>
        <v>#REF!</v>
      </c>
      <c r="P180" t="e">
        <f>AND(Liste!#REF!,"AAAAAEneJg8=")</f>
        <v>#REF!</v>
      </c>
      <c r="Q180" t="e">
        <f>AND(Liste!#REF!,"AAAAAEneJhA=")</f>
        <v>#REF!</v>
      </c>
      <c r="R180" t="e">
        <f>AND(Liste!#REF!,"AAAAAEneJhE=")</f>
        <v>#REF!</v>
      </c>
      <c r="S180" t="e">
        <f>AND(Liste!#REF!,"AAAAAEneJhI=")</f>
        <v>#REF!</v>
      </c>
      <c r="T180" t="e">
        <f>AND(Liste!#REF!,"AAAAAEneJhM=")</f>
        <v>#REF!</v>
      </c>
      <c r="U180" t="e">
        <f>AND(Liste!#REF!,"AAAAAEneJhQ=")</f>
        <v>#REF!</v>
      </c>
      <c r="V180" t="e">
        <f>AND(Liste!#REF!,"AAAAAEneJhU=")</f>
        <v>#REF!</v>
      </c>
      <c r="W180" t="e">
        <f>AND(Liste!#REF!,"AAAAAEneJhY=")</f>
        <v>#REF!</v>
      </c>
      <c r="X180" t="e">
        <f>AND(Liste!#REF!,"AAAAAEneJhc=")</f>
        <v>#REF!</v>
      </c>
      <c r="Y180" t="e">
        <f>AND(Liste!#REF!,"AAAAAEneJhg=")</f>
        <v>#REF!</v>
      </c>
      <c r="Z180" t="e">
        <f>AND(Liste!#REF!,"AAAAAEneJhk=")</f>
        <v>#REF!</v>
      </c>
      <c r="AA180" t="e">
        <f>AND(Liste!#REF!,"AAAAAEneJho=")</f>
        <v>#REF!</v>
      </c>
      <c r="AB180" t="e">
        <f>AND(Liste!#REF!,"AAAAAEneJhs=")</f>
        <v>#REF!</v>
      </c>
      <c r="AC180" t="e">
        <f>AND(Liste!#REF!,"AAAAAEneJhw=")</f>
        <v>#REF!</v>
      </c>
      <c r="AD180" t="e">
        <f>AND(Liste!#REF!,"AAAAAEneJh0=")</f>
        <v>#REF!</v>
      </c>
      <c r="AE180" t="e">
        <f>AND(Liste!#REF!,"AAAAAEneJh4=")</f>
        <v>#REF!</v>
      </c>
      <c r="AF180" t="e">
        <f>AND(Liste!#REF!,"AAAAAEneJh8=")</f>
        <v>#REF!</v>
      </c>
      <c r="AG180" t="e">
        <f>AND(Liste!#REF!,"AAAAAEneJiA=")</f>
        <v>#REF!</v>
      </c>
      <c r="AH180" t="e">
        <f>AND(Liste!#REF!,"AAAAAEneJiE=")</f>
        <v>#REF!</v>
      </c>
      <c r="AI180" t="e">
        <f>AND(Liste!#REF!,"AAAAAEneJiI=")</f>
        <v>#REF!</v>
      </c>
      <c r="AJ180" t="e">
        <f>AND(Liste!#REF!,"AAAAAEneJiM=")</f>
        <v>#REF!</v>
      </c>
      <c r="AK180" t="e">
        <f>AND(Liste!#REF!,"AAAAAEneJiQ=")</f>
        <v>#REF!</v>
      </c>
      <c r="AL180" t="e">
        <f>AND(Liste!#REF!,"AAAAAEneJiU=")</f>
        <v>#REF!</v>
      </c>
      <c r="AM180" t="e">
        <f>AND(Liste!#REF!,"AAAAAEneJiY=")</f>
        <v>#REF!</v>
      </c>
      <c r="AN180" t="e">
        <f>AND(Liste!#REF!,"AAAAAEneJic=")</f>
        <v>#REF!</v>
      </c>
      <c r="AO180" t="e">
        <f>AND(Liste!#REF!,"AAAAAEneJig=")</f>
        <v>#REF!</v>
      </c>
      <c r="AP180" t="e">
        <f>AND(Liste!#REF!,"AAAAAEneJik=")</f>
        <v>#REF!</v>
      </c>
      <c r="AQ180" t="e">
        <f>AND(Liste!#REF!,"AAAAAEneJio=")</f>
        <v>#REF!</v>
      </c>
      <c r="AR180" t="e">
        <f>AND(Liste!#REF!,"AAAAAEneJis=")</f>
        <v>#REF!</v>
      </c>
      <c r="AS180" t="e">
        <f>AND(Liste!#REF!,"AAAAAEneJiw=")</f>
        <v>#REF!</v>
      </c>
      <c r="AT180" t="e">
        <f>AND(Liste!#REF!,"AAAAAEneJi0=")</f>
        <v>#REF!</v>
      </c>
      <c r="AU180" t="e">
        <f>AND(Liste!#REF!,"AAAAAEneJi4=")</f>
        <v>#REF!</v>
      </c>
      <c r="AV180" t="e">
        <f>AND(Liste!#REF!,"AAAAAEneJi8=")</f>
        <v>#REF!</v>
      </c>
      <c r="AW180" t="e">
        <f>AND(Liste!#REF!,"AAAAAEneJjA=")</f>
        <v>#REF!</v>
      </c>
      <c r="AX180" t="e">
        <f>AND(Liste!#REF!,"AAAAAEneJjE=")</f>
        <v>#REF!</v>
      </c>
      <c r="AY180" t="e">
        <f>AND(Liste!#REF!,"AAAAAEneJjI=")</f>
        <v>#REF!</v>
      </c>
      <c r="AZ180" t="e">
        <f>AND(Liste!#REF!,"AAAAAEneJjM=")</f>
        <v>#REF!</v>
      </c>
      <c r="BA180" t="e">
        <f>AND(Liste!#REF!,"AAAAAEneJjQ=")</f>
        <v>#REF!</v>
      </c>
      <c r="BB180" t="e">
        <f>AND(Liste!#REF!,"AAAAAEneJjU=")</f>
        <v>#REF!</v>
      </c>
      <c r="BC180" t="e">
        <f>AND(Liste!#REF!,"AAAAAEneJjY=")</f>
        <v>#REF!</v>
      </c>
      <c r="BD180" t="e">
        <f>AND(Liste!#REF!,"AAAAAEneJjc=")</f>
        <v>#REF!</v>
      </c>
      <c r="BE180" t="e">
        <f>AND(Liste!#REF!,"AAAAAEneJjg=")</f>
        <v>#REF!</v>
      </c>
      <c r="BF180" t="e">
        <f>AND(Liste!#REF!,"AAAAAEneJjk=")</f>
        <v>#REF!</v>
      </c>
      <c r="BG180" t="e">
        <f>AND(Liste!#REF!,"AAAAAEneJjo=")</f>
        <v>#REF!</v>
      </c>
      <c r="BH180" t="e">
        <f>AND(Liste!#REF!,"AAAAAEneJjs=")</f>
        <v>#REF!</v>
      </c>
      <c r="BI180" t="e">
        <f>AND(Liste!#REF!,"AAAAAEneJjw=")</f>
        <v>#REF!</v>
      </c>
      <c r="BJ180" t="e">
        <f>AND(Liste!#REF!,"AAAAAEneJj0=")</f>
        <v>#REF!</v>
      </c>
      <c r="BK180" t="e">
        <f>AND(Liste!#REF!,"AAAAAEneJj4=")</f>
        <v>#REF!</v>
      </c>
      <c r="BL180" t="e">
        <f>AND(Liste!#REF!,"AAAAAEneJj8=")</f>
        <v>#REF!</v>
      </c>
      <c r="BM180" t="e">
        <f>AND(Liste!#REF!,"AAAAAEneJkA=")</f>
        <v>#REF!</v>
      </c>
      <c r="BN180" t="e">
        <f>AND(Liste!#REF!,"AAAAAEneJkE=")</f>
        <v>#REF!</v>
      </c>
      <c r="BO180" t="e">
        <f>AND(Liste!#REF!,"AAAAAEneJkI=")</f>
        <v>#REF!</v>
      </c>
      <c r="BP180" t="e">
        <f>AND(Liste!#REF!,"AAAAAEneJkM=")</f>
        <v>#REF!</v>
      </c>
      <c r="BQ180" t="e">
        <f>AND(Liste!#REF!,"AAAAAEneJkQ=")</f>
        <v>#REF!</v>
      </c>
      <c r="BR180" t="e">
        <f>AND(Liste!#REF!,"AAAAAEneJkU=")</f>
        <v>#REF!</v>
      </c>
      <c r="BS180" t="e">
        <f>AND(Liste!#REF!,"AAAAAEneJkY=")</f>
        <v>#REF!</v>
      </c>
      <c r="BT180" t="e">
        <f>AND(Liste!#REF!,"AAAAAEneJkc=")</f>
        <v>#REF!</v>
      </c>
      <c r="BU180" t="e">
        <f>AND(Liste!#REF!,"AAAAAEneJkg=")</f>
        <v>#REF!</v>
      </c>
      <c r="BV180" t="e">
        <f>AND(Liste!#REF!,"AAAAAEneJkk=")</f>
        <v>#REF!</v>
      </c>
      <c r="BW180" t="e">
        <f>AND(Liste!#REF!,"AAAAAEneJko=")</f>
        <v>#REF!</v>
      </c>
      <c r="BX180" t="e">
        <f>AND(Liste!#REF!,"AAAAAEneJks=")</f>
        <v>#REF!</v>
      </c>
      <c r="BY180" t="e">
        <f>AND(Liste!#REF!,"AAAAAEneJkw=")</f>
        <v>#REF!</v>
      </c>
      <c r="BZ180" t="e">
        <f>AND(Liste!#REF!,"AAAAAEneJk0=")</f>
        <v>#REF!</v>
      </c>
      <c r="CA180" t="e">
        <f>AND(Liste!#REF!,"AAAAAEneJk4=")</f>
        <v>#REF!</v>
      </c>
      <c r="CB180" t="e">
        <f>AND(Liste!#REF!,"AAAAAEneJk8=")</f>
        <v>#REF!</v>
      </c>
      <c r="CC180" t="e">
        <f>AND(Liste!#REF!,"AAAAAEneJlA=")</f>
        <v>#REF!</v>
      </c>
      <c r="CD180" t="e">
        <f>AND(Liste!#REF!,"AAAAAEneJlE=")</f>
        <v>#REF!</v>
      </c>
      <c r="CE180" t="e">
        <f>AND(Liste!#REF!,"AAAAAEneJlI=")</f>
        <v>#REF!</v>
      </c>
      <c r="CF180" t="e">
        <f>AND(Liste!#REF!,"AAAAAEneJlM=")</f>
        <v>#REF!</v>
      </c>
      <c r="CG180" t="e">
        <f>AND(Liste!#REF!,"AAAAAEneJlQ=")</f>
        <v>#REF!</v>
      </c>
      <c r="CH180" t="e">
        <f>AND(Liste!#REF!,"AAAAAEneJlU=")</f>
        <v>#REF!</v>
      </c>
      <c r="CI180" t="e">
        <f>AND(Liste!#REF!,"AAAAAEneJlY=")</f>
        <v>#REF!</v>
      </c>
      <c r="CJ180" t="e">
        <f>AND(Liste!#REF!,"AAAAAEneJlc=")</f>
        <v>#REF!</v>
      </c>
      <c r="CK180" t="e">
        <f>AND(Liste!#REF!,"AAAAAEneJlg=")</f>
        <v>#REF!</v>
      </c>
      <c r="CL180" t="e">
        <f>AND(Liste!#REF!,"AAAAAEneJlk=")</f>
        <v>#REF!</v>
      </c>
      <c r="CM180" t="e">
        <f>AND(Liste!#REF!,"AAAAAEneJlo=")</f>
        <v>#REF!</v>
      </c>
      <c r="CN180" t="e">
        <f>AND(Liste!#REF!,"AAAAAEneJls=")</f>
        <v>#REF!</v>
      </c>
      <c r="CO180" t="e">
        <f>AND(Liste!#REF!,"AAAAAEneJlw=")</f>
        <v>#REF!</v>
      </c>
      <c r="CP180" t="e">
        <f>AND(Liste!#REF!,"AAAAAEneJl0=")</f>
        <v>#REF!</v>
      </c>
      <c r="CQ180" t="e">
        <f>AND(Liste!#REF!,"AAAAAEneJl4=")</f>
        <v>#REF!</v>
      </c>
      <c r="CR180" t="e">
        <f>AND(Liste!#REF!,"AAAAAEneJl8=")</f>
        <v>#REF!</v>
      </c>
      <c r="CS180" t="e">
        <f>AND(Liste!#REF!,"AAAAAEneJmA=")</f>
        <v>#REF!</v>
      </c>
      <c r="CT180" t="e">
        <f>AND(Liste!#REF!,"AAAAAEneJmE=")</f>
        <v>#REF!</v>
      </c>
      <c r="CU180" t="e">
        <f>AND(Liste!#REF!,"AAAAAEneJmI=")</f>
        <v>#REF!</v>
      </c>
      <c r="CV180" t="e">
        <f>AND(Liste!#REF!,"AAAAAEneJmM=")</f>
        <v>#REF!</v>
      </c>
      <c r="CW180" t="e">
        <f>AND(Liste!#REF!,"AAAAAEneJmQ=")</f>
        <v>#REF!</v>
      </c>
      <c r="CX180" t="e">
        <f>AND(Liste!#REF!,"AAAAAEneJmU=")</f>
        <v>#REF!</v>
      </c>
      <c r="CY180" t="e">
        <f>AND(Liste!#REF!,"AAAAAEneJmY=")</f>
        <v>#REF!</v>
      </c>
      <c r="CZ180" t="e">
        <f>AND(Liste!#REF!,"AAAAAEneJmc=")</f>
        <v>#REF!</v>
      </c>
      <c r="DA180" t="e">
        <f>AND(Liste!#REF!,"AAAAAEneJmg=")</f>
        <v>#REF!</v>
      </c>
      <c r="DB180" t="e">
        <f>AND(Liste!#REF!,"AAAAAEneJmk=")</f>
        <v>#REF!</v>
      </c>
      <c r="DC180" t="e">
        <f>AND(Liste!#REF!,"AAAAAEneJmo=")</f>
        <v>#REF!</v>
      </c>
      <c r="DD180" t="e">
        <f>AND(Liste!#REF!,"AAAAAEneJms=")</f>
        <v>#REF!</v>
      </c>
      <c r="DE180" t="e">
        <f>AND(Liste!#REF!,"AAAAAEneJmw=")</f>
        <v>#REF!</v>
      </c>
      <c r="DF180" t="e">
        <f>AND(Liste!#REF!,"AAAAAEneJm0=")</f>
        <v>#REF!</v>
      </c>
      <c r="DG180" t="e">
        <f>AND(Liste!#REF!,"AAAAAEneJm4=")</f>
        <v>#REF!</v>
      </c>
      <c r="DH180" t="e">
        <f>AND(Liste!#REF!,"AAAAAEneJm8=")</f>
        <v>#REF!</v>
      </c>
      <c r="DI180" t="e">
        <f>AND(Liste!#REF!,"AAAAAEneJnA=")</f>
        <v>#REF!</v>
      </c>
      <c r="DJ180" t="e">
        <f>AND(Liste!#REF!,"AAAAAEneJnE=")</f>
        <v>#REF!</v>
      </c>
      <c r="DK180" t="e">
        <f>AND(Liste!#REF!,"AAAAAEneJnI=")</f>
        <v>#REF!</v>
      </c>
    </row>
    <row r="181" spans="1:256" x14ac:dyDescent="0.2">
      <c r="A181" t="e">
        <f>AND(Liste!#REF!,"AAAAACzvfgA=")</f>
        <v>#REF!</v>
      </c>
      <c r="B181" t="e">
        <f>AND(Liste!#REF!,"AAAAACzvfgE=")</f>
        <v>#REF!</v>
      </c>
      <c r="C181" t="e">
        <f>AND(Liste!#REF!,"AAAAACzvfgI=")</f>
        <v>#REF!</v>
      </c>
      <c r="D181" t="e">
        <f>AND(Liste!#REF!,"AAAAACzvfgM=")</f>
        <v>#REF!</v>
      </c>
      <c r="E181" t="e">
        <f>AND(Liste!#REF!,"AAAAACzvfgQ=")</f>
        <v>#REF!</v>
      </c>
      <c r="F181" t="e">
        <f>AND(Liste!#REF!,"AAAAACzvfgU=")</f>
        <v>#REF!</v>
      </c>
      <c r="G181" t="e">
        <f>AND(Liste!#REF!,"AAAAACzvfgY=")</f>
        <v>#REF!</v>
      </c>
      <c r="H181" t="e">
        <f>AND(Liste!#REF!,"AAAAACzvfgc=")</f>
        <v>#REF!</v>
      </c>
      <c r="I181" t="e">
        <f>AND(Liste!#REF!,"AAAAACzvfgg=")</f>
        <v>#REF!</v>
      </c>
      <c r="J181" t="e">
        <f>AND(Liste!#REF!,"AAAAACzvfgk=")</f>
        <v>#REF!</v>
      </c>
      <c r="K181" t="e">
        <f>AND(Liste!#REF!,"AAAAACzvfgo=")</f>
        <v>#REF!</v>
      </c>
      <c r="L181" t="e">
        <f>AND(Liste!#REF!,"AAAAACzvfgs=")</f>
        <v>#REF!</v>
      </c>
      <c r="M181" t="e">
        <f>AND(Liste!#REF!,"AAAAACzvfgw=")</f>
        <v>#REF!</v>
      </c>
      <c r="N181" t="e">
        <f>AND(Liste!#REF!,"AAAAACzvfg0=")</f>
        <v>#REF!</v>
      </c>
      <c r="O181" t="e">
        <f>AND(Liste!#REF!,"AAAAACzvfg4=")</f>
        <v>#REF!</v>
      </c>
      <c r="P181" t="e">
        <f>AND(Liste!#REF!,"AAAAACzvfg8=")</f>
        <v>#REF!</v>
      </c>
      <c r="Q181" t="e">
        <f>AND(Liste!#REF!,"AAAAACzvfhA=")</f>
        <v>#REF!</v>
      </c>
      <c r="R181" t="e">
        <f>AND(Liste!#REF!,"AAAAACzvfhE=")</f>
        <v>#REF!</v>
      </c>
      <c r="S181" t="e">
        <f>AND(Liste!#REF!,"AAAAACzvfhI=")</f>
        <v>#REF!</v>
      </c>
      <c r="T181" t="e">
        <f>AND(Liste!#REF!,"AAAAACzvfhM=")</f>
        <v>#REF!</v>
      </c>
      <c r="U181" t="e">
        <f>AND(Liste!#REF!,"AAAAACzvfhQ=")</f>
        <v>#REF!</v>
      </c>
      <c r="V181" t="e">
        <f>AND(Liste!#REF!,"AAAAACzvfhU=")</f>
        <v>#REF!</v>
      </c>
      <c r="W181" t="e">
        <f>AND(Liste!#REF!,"AAAAACzvfhY=")</f>
        <v>#REF!</v>
      </c>
      <c r="X181" t="e">
        <f>AND(Liste!#REF!,"AAAAACzvfhc=")</f>
        <v>#REF!</v>
      </c>
      <c r="Y181" t="e">
        <f>AND(Liste!#REF!,"AAAAACzvfhg=")</f>
        <v>#REF!</v>
      </c>
      <c r="Z181" t="e">
        <f>AND(Liste!#REF!,"AAAAACzvfhk=")</f>
        <v>#REF!</v>
      </c>
      <c r="AA181" t="e">
        <f>AND(Liste!#REF!,"AAAAACzvfho=")</f>
        <v>#REF!</v>
      </c>
      <c r="AB181" t="e">
        <f>AND(Liste!#REF!,"AAAAACzvfhs=")</f>
        <v>#REF!</v>
      </c>
      <c r="AC181" t="e">
        <f>AND(Liste!#REF!,"AAAAACzvfhw=")</f>
        <v>#REF!</v>
      </c>
      <c r="AD181" t="e">
        <f>AND(Liste!#REF!,"AAAAACzvfh0=")</f>
        <v>#REF!</v>
      </c>
      <c r="AE181" t="e">
        <f>AND(Liste!#REF!,"AAAAACzvfh4=")</f>
        <v>#REF!</v>
      </c>
      <c r="AF181" t="e">
        <f>AND(Liste!#REF!,"AAAAACzvfh8=")</f>
        <v>#REF!</v>
      </c>
      <c r="AG181" t="e">
        <f>AND(Liste!#REF!,"AAAAACzvfiA=")</f>
        <v>#REF!</v>
      </c>
      <c r="AH181" t="e">
        <f>AND(Liste!#REF!,"AAAAACzvfiE=")</f>
        <v>#REF!</v>
      </c>
      <c r="AI181" t="e">
        <f>AND(Liste!#REF!,"AAAAACzvfiI=")</f>
        <v>#REF!</v>
      </c>
      <c r="AJ181" t="e">
        <f>AND(Liste!#REF!,"AAAAACzvfiM=")</f>
        <v>#REF!</v>
      </c>
      <c r="AK181" t="e">
        <f>AND(Liste!#REF!,"AAAAACzvfiQ=")</f>
        <v>#REF!</v>
      </c>
      <c r="AL181" t="e">
        <f>AND(Liste!#REF!,"AAAAACzvfiU=")</f>
        <v>#REF!</v>
      </c>
      <c r="AM181" t="e">
        <f>AND(Liste!#REF!,"AAAAACzvfiY=")</f>
        <v>#REF!</v>
      </c>
      <c r="AN181" t="e">
        <f>AND(Liste!#REF!,"AAAAACzvfic=")</f>
        <v>#REF!</v>
      </c>
      <c r="AO181" t="e">
        <f>AND(Liste!#REF!,"AAAAACzvfig=")</f>
        <v>#REF!</v>
      </c>
      <c r="AP181" t="e">
        <f>AND(Liste!#REF!,"AAAAACzvfik=")</f>
        <v>#REF!</v>
      </c>
      <c r="AQ181" t="e">
        <f>AND(Liste!#REF!,"AAAAACzvfio=")</f>
        <v>#REF!</v>
      </c>
      <c r="AR181" t="e">
        <f>AND(Liste!#REF!,"AAAAACzvfis=")</f>
        <v>#REF!</v>
      </c>
      <c r="AS181" t="e">
        <f>AND(Liste!#REF!,"AAAAACzvfiw=")</f>
        <v>#REF!</v>
      </c>
      <c r="AT181" t="e">
        <f>AND(Liste!#REF!,"AAAAACzvfi0=")</f>
        <v>#REF!</v>
      </c>
      <c r="AU181" t="e">
        <f>AND(Liste!#REF!,"AAAAACzvfi4=")</f>
        <v>#REF!</v>
      </c>
      <c r="AV181" t="e">
        <f>AND(Liste!#REF!,"AAAAACzvfi8=")</f>
        <v>#REF!</v>
      </c>
      <c r="AW181" t="e">
        <f>AND(Liste!#REF!,"AAAAACzvfjA=")</f>
        <v>#REF!</v>
      </c>
      <c r="AX181" t="e">
        <f>AND(Liste!#REF!,"AAAAACzvfjE=")</f>
        <v>#REF!</v>
      </c>
      <c r="AY181" t="e">
        <f>AND(Liste!#REF!,"AAAAACzvfjI=")</f>
        <v>#REF!</v>
      </c>
      <c r="AZ181" t="e">
        <f>AND(Liste!#REF!,"AAAAACzvfjM=")</f>
        <v>#REF!</v>
      </c>
      <c r="BA181" t="e">
        <f>AND(Liste!#REF!,"AAAAACzvfjQ=")</f>
        <v>#REF!</v>
      </c>
      <c r="BB181" t="e">
        <f>AND(Liste!#REF!,"AAAAACzvfjU=")</f>
        <v>#REF!</v>
      </c>
      <c r="BC181" t="e">
        <f>AND(Liste!#REF!,"AAAAACzvfjY=")</f>
        <v>#REF!</v>
      </c>
      <c r="BD181" t="e">
        <f>AND(Liste!#REF!,"AAAAACzvfjc=")</f>
        <v>#REF!</v>
      </c>
      <c r="BE181" t="e">
        <f>AND(Liste!#REF!,"AAAAACzvfjg=")</f>
        <v>#REF!</v>
      </c>
      <c r="BF181" t="e">
        <f>AND(Liste!#REF!,"AAAAACzvfjk=")</f>
        <v>#REF!</v>
      </c>
      <c r="BG181" t="e">
        <f>AND(Liste!#REF!,"AAAAACzvfjo=")</f>
        <v>#REF!</v>
      </c>
      <c r="BH181" t="e">
        <f>AND(Liste!#REF!,"AAAAACzvfjs=")</f>
        <v>#REF!</v>
      </c>
      <c r="BI181" t="e">
        <f>AND(Liste!#REF!,"AAAAACzvfjw=")</f>
        <v>#REF!</v>
      </c>
      <c r="BJ181" t="e">
        <f>AND(Liste!#REF!,"AAAAACzvfj0=")</f>
        <v>#REF!</v>
      </c>
      <c r="BK181" t="e">
        <f>AND(Liste!#REF!,"AAAAACzvfj4=")</f>
        <v>#REF!</v>
      </c>
      <c r="BL181" t="e">
        <f>AND(Liste!#REF!,"AAAAACzvfj8=")</f>
        <v>#REF!</v>
      </c>
      <c r="BM181" t="e">
        <f>AND(Liste!#REF!,"AAAAACzvfkA=")</f>
        <v>#REF!</v>
      </c>
      <c r="BN181" t="e">
        <f>AND(Liste!#REF!,"AAAAACzvfkE=")</f>
        <v>#REF!</v>
      </c>
      <c r="BO181" t="e">
        <f>AND(Liste!#REF!,"AAAAACzvfkI=")</f>
        <v>#REF!</v>
      </c>
      <c r="BP181" t="e">
        <f>AND(Liste!#REF!,"AAAAACzvfkM=")</f>
        <v>#REF!</v>
      </c>
      <c r="BQ181" t="e">
        <f>AND(Liste!#REF!,"AAAAACzvfkQ=")</f>
        <v>#REF!</v>
      </c>
      <c r="BR181" t="e">
        <f>AND(Liste!#REF!,"AAAAACzvfkU=")</f>
        <v>#REF!</v>
      </c>
      <c r="BS181" t="e">
        <f>AND(Liste!#REF!,"AAAAACzvfkY=")</f>
        <v>#REF!</v>
      </c>
      <c r="BT181" t="e">
        <f>AND(Liste!#REF!,"AAAAACzvfkc=")</f>
        <v>#REF!</v>
      </c>
      <c r="BU181" t="e">
        <f>AND(Liste!#REF!,"AAAAACzvfkg=")</f>
        <v>#REF!</v>
      </c>
      <c r="BV181" t="e">
        <f>AND(Liste!#REF!,"AAAAACzvfkk=")</f>
        <v>#REF!</v>
      </c>
      <c r="BW181" t="e">
        <f>AND(Liste!#REF!,"AAAAACzvfko=")</f>
        <v>#REF!</v>
      </c>
      <c r="BX181" t="e">
        <f>AND(Liste!#REF!,"AAAAACzvfks=")</f>
        <v>#REF!</v>
      </c>
      <c r="BY181" t="e">
        <f>AND(Liste!#REF!,"AAAAACzvfkw=")</f>
        <v>#REF!</v>
      </c>
      <c r="BZ181" t="e">
        <f>AND(Liste!#REF!,"AAAAACzvfk0=")</f>
        <v>#REF!</v>
      </c>
      <c r="CA181" t="e">
        <f>AND(Liste!#REF!,"AAAAACzvfk4=")</f>
        <v>#REF!</v>
      </c>
      <c r="CB181" t="e">
        <f>AND(Liste!#REF!,"AAAAACzvfk8=")</f>
        <v>#REF!</v>
      </c>
      <c r="CC181" t="e">
        <f>AND(Liste!#REF!,"AAAAACzvflA=")</f>
        <v>#REF!</v>
      </c>
      <c r="CD181" t="e">
        <f>AND(Liste!#REF!,"AAAAACzvflE=")</f>
        <v>#REF!</v>
      </c>
      <c r="CE181" t="e">
        <f>AND(Liste!#REF!,"AAAAACzvflI=")</f>
        <v>#REF!</v>
      </c>
      <c r="CF181" t="e">
        <f>AND(Liste!#REF!,"AAAAACzvflM=")</f>
        <v>#REF!</v>
      </c>
      <c r="CG181" t="e">
        <f>AND(Liste!#REF!,"AAAAACzvflQ=")</f>
        <v>#REF!</v>
      </c>
      <c r="CH181" t="e">
        <f>AND(Liste!#REF!,"AAAAACzvflU=")</f>
        <v>#REF!</v>
      </c>
      <c r="CI181" t="e">
        <f>AND(Liste!#REF!,"AAAAACzvflY=")</f>
        <v>#REF!</v>
      </c>
      <c r="CJ181" t="e">
        <f>AND(Liste!#REF!,"AAAAACzvflc=")</f>
        <v>#REF!</v>
      </c>
      <c r="CK181" t="e">
        <f>AND(Liste!#REF!,"AAAAACzvflg=")</f>
        <v>#REF!</v>
      </c>
      <c r="CL181" t="e">
        <f>AND(Liste!#REF!,"AAAAACzvflk=")</f>
        <v>#REF!</v>
      </c>
      <c r="CM181" t="e">
        <f>AND(Liste!#REF!,"AAAAACzvflo=")</f>
        <v>#REF!</v>
      </c>
      <c r="CN181" t="e">
        <f>AND(Liste!#REF!,"AAAAACzvfls=")</f>
        <v>#REF!</v>
      </c>
      <c r="CO181" t="e">
        <f>AND(Liste!#REF!,"AAAAACzvflw=")</f>
        <v>#REF!</v>
      </c>
      <c r="CP181" t="e">
        <f>AND(Liste!#REF!,"AAAAACzvfl0=")</f>
        <v>#REF!</v>
      </c>
      <c r="CQ181" t="e">
        <f>AND(Liste!#REF!,"AAAAACzvfl4=")</f>
        <v>#REF!</v>
      </c>
      <c r="CR181" t="e">
        <f>AND(Liste!#REF!,"AAAAACzvfl8=")</f>
        <v>#REF!</v>
      </c>
      <c r="CS181" t="e">
        <f>AND(Liste!#REF!,"AAAAACzvfmA=")</f>
        <v>#REF!</v>
      </c>
      <c r="CT181" t="e">
        <f>AND(Liste!#REF!,"AAAAACzvfmE=")</f>
        <v>#REF!</v>
      </c>
      <c r="CU181" t="e">
        <f>AND(Liste!#REF!,"AAAAACzvfmI=")</f>
        <v>#REF!</v>
      </c>
      <c r="CV181" t="e">
        <f>AND(Liste!#REF!,"AAAAACzvfmM=")</f>
        <v>#REF!</v>
      </c>
      <c r="CW181" t="e">
        <f>AND(Liste!#REF!,"AAAAACzvfmQ=")</f>
        <v>#REF!</v>
      </c>
      <c r="CX181" t="e">
        <f>AND(Liste!#REF!,"AAAAACzvfmU=")</f>
        <v>#REF!</v>
      </c>
      <c r="CY181" t="e">
        <f>AND(Liste!#REF!,"AAAAACzvfmY=")</f>
        <v>#REF!</v>
      </c>
      <c r="CZ181" t="e">
        <f>AND(Liste!#REF!,"AAAAACzvfmc=")</f>
        <v>#REF!</v>
      </c>
      <c r="DA181" t="e">
        <f>AND(Liste!#REF!,"AAAAACzvfmg=")</f>
        <v>#REF!</v>
      </c>
      <c r="DB181" t="e">
        <f>AND(Liste!#REF!,"AAAAACzvfmk=")</f>
        <v>#REF!</v>
      </c>
      <c r="DC181" t="e">
        <f>AND(Liste!#REF!,"AAAAACzvfmo=")</f>
        <v>#REF!</v>
      </c>
      <c r="DD181" t="e">
        <f>AND(Liste!#REF!,"AAAAACzvfms=")</f>
        <v>#REF!</v>
      </c>
      <c r="DE181" t="e">
        <f>AND(Liste!#REF!,"AAAAACzvfmw=")</f>
        <v>#REF!</v>
      </c>
      <c r="DF181" t="e">
        <f>AND(Liste!#REF!,"AAAAACzvfm0=")</f>
        <v>#REF!</v>
      </c>
      <c r="DG181" t="e">
        <f>AND(Liste!#REF!,"AAAAACzvfm4=")</f>
        <v>#REF!</v>
      </c>
      <c r="DH181" t="e">
        <f>AND(Liste!#REF!,"AAAAACzvfm8=")</f>
        <v>#REF!</v>
      </c>
      <c r="DI181" t="e">
        <f>AND(Liste!#REF!,"AAAAACzvfnA=")</f>
        <v>#REF!</v>
      </c>
      <c r="DJ181" t="e">
        <f>AND(Liste!#REF!,"AAAAACzvfnE=")</f>
        <v>#REF!</v>
      </c>
      <c r="DK181" t="e">
        <f>AND(Liste!#REF!,"AAAAACzvfnI=")</f>
        <v>#REF!</v>
      </c>
      <c r="DL181" t="e">
        <f>AND(Liste!#REF!,"AAAAACzvfnM=")</f>
        <v>#REF!</v>
      </c>
      <c r="DM181" t="e">
        <f>AND(Liste!#REF!,"AAAAACzvfnQ=")</f>
        <v>#REF!</v>
      </c>
      <c r="DN181" t="e">
        <f>AND(Liste!#REF!,"AAAAACzvfnU=")</f>
        <v>#REF!</v>
      </c>
      <c r="DO181" t="e">
        <f>AND(Liste!#REF!,"AAAAACzvfnY=")</f>
        <v>#REF!</v>
      </c>
      <c r="DP181" t="e">
        <f>AND(Liste!#REF!,"AAAAACzvfnc=")</f>
        <v>#REF!</v>
      </c>
      <c r="DQ181" t="e">
        <f>AND(Liste!#REF!,"AAAAACzvfng=")</f>
        <v>#REF!</v>
      </c>
      <c r="DR181" t="e">
        <f>AND(Liste!#REF!,"AAAAACzvfnk=")</f>
        <v>#REF!</v>
      </c>
      <c r="DS181" t="e">
        <f>AND(Liste!#REF!,"AAAAACzvfno=")</f>
        <v>#REF!</v>
      </c>
      <c r="DT181" t="e">
        <f>AND(Liste!#REF!,"AAAAACzvfns=")</f>
        <v>#REF!</v>
      </c>
      <c r="DU181" t="e">
        <f>AND(Liste!#REF!,"AAAAACzvfnw=")</f>
        <v>#REF!</v>
      </c>
      <c r="DV181" t="e">
        <f>AND(Liste!#REF!,"AAAAACzvfn0=")</f>
        <v>#REF!</v>
      </c>
      <c r="DW181" t="e">
        <f>AND(Liste!#REF!,"AAAAACzvfn4=")</f>
        <v>#REF!</v>
      </c>
      <c r="DX181" t="e">
        <f>AND(Liste!#REF!,"AAAAACzvfn8=")</f>
        <v>#REF!</v>
      </c>
      <c r="DY181" t="e">
        <f>AND(Liste!#REF!,"AAAAACzvfoA=")</f>
        <v>#REF!</v>
      </c>
      <c r="DZ181" t="e">
        <f>AND(Liste!#REF!,"AAAAACzvfoE=")</f>
        <v>#REF!</v>
      </c>
      <c r="EA181" t="e">
        <f>AND(Liste!#REF!,"AAAAACzvfoI=")</f>
        <v>#REF!</v>
      </c>
      <c r="EB181" t="e">
        <f>AND(Liste!#REF!,"AAAAACzvfoM=")</f>
        <v>#REF!</v>
      </c>
      <c r="EC181" t="e">
        <f>AND(Liste!#REF!,"AAAAACzvfoQ=")</f>
        <v>#REF!</v>
      </c>
      <c r="ED181" t="e">
        <f>AND(Liste!#REF!,"AAAAACzvfoU=")</f>
        <v>#REF!</v>
      </c>
      <c r="EE181" t="e">
        <f>AND(Liste!#REF!,"AAAAACzvfoY=")</f>
        <v>#REF!</v>
      </c>
      <c r="EF181" t="e">
        <f>AND(Liste!#REF!,"AAAAACzvfoc=")</f>
        <v>#REF!</v>
      </c>
      <c r="EG181" t="e">
        <f>AND(Liste!#REF!,"AAAAACzvfog=")</f>
        <v>#REF!</v>
      </c>
      <c r="EH181" t="e">
        <f>AND(Liste!#REF!,"AAAAACzvfok=")</f>
        <v>#REF!</v>
      </c>
      <c r="EI181" t="e">
        <f>AND(Liste!#REF!,"AAAAACzvfoo=")</f>
        <v>#REF!</v>
      </c>
      <c r="EJ181" t="e">
        <f>AND(Liste!#REF!,"AAAAACzvfos=")</f>
        <v>#REF!</v>
      </c>
      <c r="EK181" t="e">
        <f>AND(Liste!#REF!,"AAAAACzvfow=")</f>
        <v>#REF!</v>
      </c>
      <c r="EL181" t="e">
        <f>AND(Liste!#REF!,"AAAAACzvfo0=")</f>
        <v>#REF!</v>
      </c>
      <c r="EM181" t="e">
        <f>AND(Liste!#REF!,"AAAAACzvfo4=")</f>
        <v>#REF!</v>
      </c>
      <c r="EN181" t="e">
        <f>AND(Liste!#REF!,"AAAAACzvfo8=")</f>
        <v>#REF!</v>
      </c>
      <c r="EO181" t="e">
        <f>AND(Liste!#REF!,"AAAAACzvfpA=")</f>
        <v>#REF!</v>
      </c>
      <c r="EP181" t="e">
        <f>AND(Liste!#REF!,"AAAAACzvfpE=")</f>
        <v>#REF!</v>
      </c>
      <c r="EQ181" t="e">
        <f>AND(Liste!#REF!,"AAAAACzvfpI=")</f>
        <v>#REF!</v>
      </c>
      <c r="ER181" t="e">
        <f>AND(Liste!#REF!,"AAAAACzvfpM=")</f>
        <v>#REF!</v>
      </c>
      <c r="ES181" t="e">
        <f>AND(Liste!#REF!,"AAAAACzvfpQ=")</f>
        <v>#REF!</v>
      </c>
      <c r="ET181" t="e">
        <f>AND(Liste!#REF!,"AAAAACzvfpU=")</f>
        <v>#REF!</v>
      </c>
      <c r="EU181" t="e">
        <f>AND(Liste!#REF!,"AAAAACzvfpY=")</f>
        <v>#REF!</v>
      </c>
      <c r="EV181" t="e">
        <f>AND(Liste!#REF!,"AAAAACzvfpc=")</f>
        <v>#REF!</v>
      </c>
      <c r="EW181" t="e">
        <f>AND(Liste!#REF!,"AAAAACzvfpg=")</f>
        <v>#REF!</v>
      </c>
      <c r="EX181" t="e">
        <f>AND(Liste!#REF!,"AAAAACzvfpk=")</f>
        <v>#REF!</v>
      </c>
      <c r="EY181" t="e">
        <f>AND(Liste!#REF!,"AAAAACzvfpo=")</f>
        <v>#REF!</v>
      </c>
      <c r="EZ181" t="e">
        <f>AND(Liste!#REF!,"AAAAACzvfps=")</f>
        <v>#REF!</v>
      </c>
      <c r="FA181" t="e">
        <f>AND(Liste!#REF!,"AAAAACzvfpw=")</f>
        <v>#REF!</v>
      </c>
      <c r="FB181" t="e">
        <f>AND(Liste!#REF!,"AAAAACzvfp0=")</f>
        <v>#REF!</v>
      </c>
      <c r="FC181" t="e">
        <f>AND(Liste!#REF!,"AAAAACzvfp4=")</f>
        <v>#REF!</v>
      </c>
      <c r="FD181" t="e">
        <f>AND(Liste!#REF!,"AAAAACzvfp8=")</f>
        <v>#REF!</v>
      </c>
      <c r="FE181" t="e">
        <f>AND(Liste!#REF!,"AAAAACzvfqA=")</f>
        <v>#REF!</v>
      </c>
      <c r="FF181" t="e">
        <f>AND(Liste!#REF!,"AAAAACzvfqE=")</f>
        <v>#REF!</v>
      </c>
      <c r="FG181" t="e">
        <f>AND(Liste!#REF!,"AAAAACzvfqI=")</f>
        <v>#REF!</v>
      </c>
      <c r="FH181" t="e">
        <f>AND(Liste!#REF!,"AAAAACzvfqM=")</f>
        <v>#REF!</v>
      </c>
      <c r="FI181" t="e">
        <f>AND(Liste!#REF!,"AAAAACzvfqQ=")</f>
        <v>#REF!</v>
      </c>
      <c r="FJ181" t="e">
        <f>AND(Liste!#REF!,"AAAAACzvfqU=")</f>
        <v>#REF!</v>
      </c>
      <c r="FK181" t="e">
        <f>AND(Liste!#REF!,"AAAAACzvfqY=")</f>
        <v>#REF!</v>
      </c>
      <c r="FL181" t="e">
        <f>AND(Liste!#REF!,"AAAAACzvfqc=")</f>
        <v>#REF!</v>
      </c>
      <c r="FM181" t="e">
        <f>AND(Liste!#REF!,"AAAAACzvfqg=")</f>
        <v>#REF!</v>
      </c>
      <c r="FN181" t="e">
        <f>AND(Liste!#REF!,"AAAAACzvfqk=")</f>
        <v>#REF!</v>
      </c>
      <c r="FO181" t="e">
        <f>AND(Liste!#REF!,"AAAAACzvfqo=")</f>
        <v>#REF!</v>
      </c>
      <c r="FP181" t="e">
        <f>AND(Liste!#REF!,"AAAAACzvfqs=")</f>
        <v>#REF!</v>
      </c>
      <c r="FQ181" t="e">
        <f>AND(Liste!#REF!,"AAAAACzvfqw=")</f>
        <v>#REF!</v>
      </c>
      <c r="FR181" t="e">
        <f>AND(Liste!#REF!,"AAAAACzvfq0=")</f>
        <v>#REF!</v>
      </c>
      <c r="FS181" t="e">
        <f>AND(Liste!#REF!,"AAAAACzvfq4=")</f>
        <v>#REF!</v>
      </c>
      <c r="FT181" t="e">
        <f>AND(Liste!#REF!,"AAAAACzvfq8=")</f>
        <v>#REF!</v>
      </c>
      <c r="FU181" t="e">
        <f>AND(Liste!#REF!,"AAAAACzvfrA=")</f>
        <v>#REF!</v>
      </c>
      <c r="FV181" t="e">
        <f>AND(Liste!#REF!,"AAAAACzvfrE=")</f>
        <v>#REF!</v>
      </c>
      <c r="FW181" t="e">
        <f>AND(Liste!#REF!,"AAAAACzvfrI=")</f>
        <v>#REF!</v>
      </c>
      <c r="FX181" t="e">
        <f>AND(Liste!#REF!,"AAAAACzvfrM=")</f>
        <v>#REF!</v>
      </c>
      <c r="FY181" t="e">
        <f>AND(Liste!#REF!,"AAAAACzvfrQ=")</f>
        <v>#REF!</v>
      </c>
      <c r="FZ181" t="e">
        <f>AND(Liste!#REF!,"AAAAACzvfrU=")</f>
        <v>#REF!</v>
      </c>
      <c r="GA181" t="e">
        <f>AND(Liste!#REF!,"AAAAACzvfrY=")</f>
        <v>#REF!</v>
      </c>
      <c r="GB181" t="e">
        <f>AND(Liste!#REF!,"AAAAACzvfrc=")</f>
        <v>#REF!</v>
      </c>
      <c r="GC181" t="e">
        <f>AND(Liste!#REF!,"AAAAACzvfrg=")</f>
        <v>#REF!</v>
      </c>
      <c r="GD181" t="e">
        <f>AND(Liste!#REF!,"AAAAACzvfrk=")</f>
        <v>#REF!</v>
      </c>
      <c r="GE181" t="e">
        <f>AND(Liste!#REF!,"AAAAACzvfro=")</f>
        <v>#REF!</v>
      </c>
      <c r="GF181" t="e">
        <f>AND(Liste!#REF!,"AAAAACzvfrs=")</f>
        <v>#REF!</v>
      </c>
      <c r="GG181" t="e">
        <f>AND(Liste!#REF!,"AAAAACzvfrw=")</f>
        <v>#REF!</v>
      </c>
      <c r="GH181" t="e">
        <f>AND(Liste!#REF!,"AAAAACzvfr0=")</f>
        <v>#REF!</v>
      </c>
      <c r="GI181" t="e">
        <f>AND(Liste!#REF!,"AAAAACzvfr4=")</f>
        <v>#REF!</v>
      </c>
      <c r="GJ181" t="e">
        <f>AND(Liste!#REF!,"AAAAACzvfr8=")</f>
        <v>#REF!</v>
      </c>
      <c r="GK181" t="e">
        <f>AND(Liste!#REF!,"AAAAACzvfsA=")</f>
        <v>#REF!</v>
      </c>
      <c r="GL181" t="e">
        <f>AND(Liste!#REF!,"AAAAACzvfsE=")</f>
        <v>#REF!</v>
      </c>
      <c r="GM181" t="e">
        <f>AND(Liste!#REF!,"AAAAACzvfsI=")</f>
        <v>#REF!</v>
      </c>
      <c r="GN181" t="e">
        <f>AND(Liste!#REF!,"AAAAACzvfsM=")</f>
        <v>#REF!</v>
      </c>
      <c r="GO181" t="e">
        <f>AND(Liste!#REF!,"AAAAACzvfsQ=")</f>
        <v>#REF!</v>
      </c>
      <c r="GP181" t="e">
        <f>AND(Liste!#REF!,"AAAAACzvfsU=")</f>
        <v>#REF!</v>
      </c>
      <c r="GQ181" t="e">
        <f>AND(Liste!#REF!,"AAAAACzvfsY=")</f>
        <v>#REF!</v>
      </c>
      <c r="GR181" t="e">
        <f>AND(Liste!#REF!,"AAAAACzvfsc=")</f>
        <v>#REF!</v>
      </c>
      <c r="GS181" t="e">
        <f>AND(Liste!#REF!,"AAAAACzvfsg=")</f>
        <v>#REF!</v>
      </c>
      <c r="GT181" t="e">
        <f>AND(Liste!#REF!,"AAAAACzvfsk=")</f>
        <v>#REF!</v>
      </c>
      <c r="GU181" t="e">
        <f>AND(Liste!#REF!,"AAAAACzvfso=")</f>
        <v>#REF!</v>
      </c>
      <c r="GV181" t="e">
        <f>AND(Liste!#REF!,"AAAAACzvfss=")</f>
        <v>#REF!</v>
      </c>
      <c r="GW181" t="e">
        <f>AND(Liste!#REF!,"AAAAACzvfsw=")</f>
        <v>#REF!</v>
      </c>
      <c r="GX181" t="e">
        <f>AND(Liste!#REF!,"AAAAACzvfs0=")</f>
        <v>#REF!</v>
      </c>
      <c r="GY181" t="e">
        <f>AND(Liste!#REF!,"AAAAACzvfs4=")</f>
        <v>#REF!</v>
      </c>
      <c r="GZ181" t="e">
        <f>AND(Liste!#REF!,"AAAAACzvfs8=")</f>
        <v>#REF!</v>
      </c>
      <c r="HA181" t="e">
        <f>AND(Liste!#REF!,"AAAAACzvftA=")</f>
        <v>#REF!</v>
      </c>
      <c r="HB181" t="e">
        <f>AND(Liste!#REF!,"AAAAACzvftE=")</f>
        <v>#REF!</v>
      </c>
      <c r="HC181" t="e">
        <f>AND(Liste!#REF!,"AAAAACzvftI=")</f>
        <v>#REF!</v>
      </c>
      <c r="HD181" t="e">
        <f>AND(Liste!#REF!,"AAAAACzvftM=")</f>
        <v>#REF!</v>
      </c>
      <c r="HE181" t="e">
        <f>AND(Liste!#REF!,"AAAAACzvftQ=")</f>
        <v>#REF!</v>
      </c>
      <c r="HF181" t="e">
        <f>AND(Liste!#REF!,"AAAAACzvftU=")</f>
        <v>#REF!</v>
      </c>
      <c r="HG181" t="e">
        <f>AND(Liste!#REF!,"AAAAACzvftY=")</f>
        <v>#REF!</v>
      </c>
      <c r="HH181" t="e">
        <f>AND(Liste!#REF!,"AAAAACzvftc=")</f>
        <v>#REF!</v>
      </c>
      <c r="HI181" t="e">
        <f>AND(Liste!#REF!,"AAAAACzvftg=")</f>
        <v>#REF!</v>
      </c>
      <c r="HJ181" t="e">
        <f>AND(Liste!#REF!,"AAAAACzvftk=")</f>
        <v>#REF!</v>
      </c>
      <c r="HK181" t="e">
        <f>AND(Liste!#REF!,"AAAAACzvfto=")</f>
        <v>#REF!</v>
      </c>
      <c r="HL181" t="e">
        <f>AND(Liste!#REF!,"AAAAACzvfts=")</f>
        <v>#REF!</v>
      </c>
      <c r="HM181" t="e">
        <f>AND(Liste!#REF!,"AAAAACzvftw=")</f>
        <v>#REF!</v>
      </c>
      <c r="HN181" t="e">
        <f>AND(Liste!#REF!,"AAAAACzvft0=")</f>
        <v>#REF!</v>
      </c>
      <c r="HO181" t="e">
        <f>AND(Liste!#REF!,"AAAAACzvft4=")</f>
        <v>#REF!</v>
      </c>
      <c r="HP181" t="e">
        <f>AND(Liste!#REF!,"AAAAACzvft8=")</f>
        <v>#REF!</v>
      </c>
      <c r="HQ181" t="e">
        <f>AND(Liste!#REF!,"AAAAACzvfuA=")</f>
        <v>#REF!</v>
      </c>
      <c r="HR181" t="e">
        <f>AND(Liste!#REF!,"AAAAACzvfuE=")</f>
        <v>#REF!</v>
      </c>
      <c r="HS181" t="e">
        <f>AND(Liste!#REF!,"AAAAACzvfuI=")</f>
        <v>#REF!</v>
      </c>
      <c r="HT181" t="e">
        <f>AND(Liste!#REF!,"AAAAACzvfuM=")</f>
        <v>#REF!</v>
      </c>
      <c r="HU181" t="e">
        <f>AND(Liste!#REF!,"AAAAACzvfuQ=")</f>
        <v>#REF!</v>
      </c>
      <c r="HV181" t="e">
        <f>AND(Liste!#REF!,"AAAAACzvfuU=")</f>
        <v>#REF!</v>
      </c>
      <c r="HW181" t="e">
        <f>AND(Liste!#REF!,"AAAAACzvfuY=")</f>
        <v>#REF!</v>
      </c>
      <c r="HX181" t="e">
        <f>AND(Liste!#REF!,"AAAAACzvfuc=")</f>
        <v>#REF!</v>
      </c>
      <c r="HY181" t="e">
        <f>AND(Liste!#REF!,"AAAAACzvfug=")</f>
        <v>#REF!</v>
      </c>
      <c r="HZ181" t="e">
        <f>AND(Liste!#REF!,"AAAAACzvfuk=")</f>
        <v>#REF!</v>
      </c>
      <c r="IA181" t="e">
        <f>AND(Liste!#REF!,"AAAAACzvfuo=")</f>
        <v>#REF!</v>
      </c>
      <c r="IB181" t="e">
        <f>AND(Liste!#REF!,"AAAAACzvfus=")</f>
        <v>#REF!</v>
      </c>
      <c r="IC181" t="e">
        <f>AND(Liste!#REF!,"AAAAACzvfuw=")</f>
        <v>#REF!</v>
      </c>
      <c r="ID181" t="e">
        <f>AND(Liste!#REF!,"AAAAACzvfu0=")</f>
        <v>#REF!</v>
      </c>
      <c r="IE181" t="e">
        <f>AND(Liste!#REF!,"AAAAACzvfu4=")</f>
        <v>#REF!</v>
      </c>
      <c r="IF181" t="e">
        <f>AND(Liste!#REF!,"AAAAACzvfu8=")</f>
        <v>#REF!</v>
      </c>
      <c r="IG181" t="e">
        <f>AND(Liste!#REF!,"AAAAACzvfvA=")</f>
        <v>#REF!</v>
      </c>
      <c r="IH181" t="e">
        <f>AND(Liste!#REF!,"AAAAACzvfvE=")</f>
        <v>#REF!</v>
      </c>
      <c r="II181" t="e">
        <f>AND(Liste!#REF!,"AAAAACzvfvI=")</f>
        <v>#REF!</v>
      </c>
      <c r="IJ181" t="e">
        <f>AND(Liste!#REF!,"AAAAACzvfvM=")</f>
        <v>#REF!</v>
      </c>
      <c r="IK181" t="e">
        <f>AND(Liste!#REF!,"AAAAACzvfvQ=")</f>
        <v>#REF!</v>
      </c>
      <c r="IL181" t="e">
        <f>AND(Liste!#REF!,"AAAAACzvfvU=")</f>
        <v>#REF!</v>
      </c>
      <c r="IM181" t="e">
        <f>AND(Liste!#REF!,"AAAAACzvfvY=")</f>
        <v>#REF!</v>
      </c>
      <c r="IN181" t="e">
        <f>AND(Liste!#REF!,"AAAAACzvfvc=")</f>
        <v>#REF!</v>
      </c>
      <c r="IO181" t="e">
        <f>AND(Liste!#REF!,"AAAAACzvfvg=")</f>
        <v>#REF!</v>
      </c>
      <c r="IP181" t="e">
        <f>AND(Liste!#REF!,"AAAAACzvfvk=")</f>
        <v>#REF!</v>
      </c>
      <c r="IQ181" t="e">
        <f>AND(Liste!#REF!,"AAAAACzvfvo=")</f>
        <v>#REF!</v>
      </c>
      <c r="IR181" t="e">
        <f>AND(Liste!#REF!,"AAAAACzvfvs=")</f>
        <v>#REF!</v>
      </c>
      <c r="IS181" t="e">
        <f>AND(Liste!#REF!,"AAAAACzvfvw=")</f>
        <v>#REF!</v>
      </c>
      <c r="IT181" t="e">
        <f>AND(Liste!#REF!,"AAAAACzvfv0=")</f>
        <v>#REF!</v>
      </c>
      <c r="IU181" t="e">
        <f>AND(Liste!#REF!,"AAAAACzvfv4=")</f>
        <v>#REF!</v>
      </c>
      <c r="IV181" t="e">
        <f>AND(Liste!#REF!,"AAAAACzvfv8=")</f>
        <v>#REF!</v>
      </c>
    </row>
    <row r="182" spans="1:256" x14ac:dyDescent="0.2">
      <c r="A182" t="e">
        <f>AND(Liste!#REF!,"AAAAAHfW/wA=")</f>
        <v>#REF!</v>
      </c>
      <c r="B182" t="e">
        <f>AND(Liste!#REF!,"AAAAAHfW/wE=")</f>
        <v>#REF!</v>
      </c>
      <c r="C182" t="e">
        <f>AND(Liste!#REF!,"AAAAAHfW/wI=")</f>
        <v>#REF!</v>
      </c>
      <c r="D182" t="e">
        <f>AND(Liste!#REF!,"AAAAAHfW/wM=")</f>
        <v>#REF!</v>
      </c>
      <c r="E182" t="e">
        <f>AND(Liste!#REF!,"AAAAAHfW/wQ=")</f>
        <v>#REF!</v>
      </c>
      <c r="F182" t="e">
        <f>AND(Liste!#REF!,"AAAAAHfW/wU=")</f>
        <v>#REF!</v>
      </c>
      <c r="G182" t="e">
        <f>AND(Liste!#REF!,"AAAAAHfW/wY=")</f>
        <v>#REF!</v>
      </c>
      <c r="H182" t="e">
        <f>AND(Liste!#REF!,"AAAAAHfW/wc=")</f>
        <v>#REF!</v>
      </c>
      <c r="I182" t="e">
        <f>AND(Liste!#REF!,"AAAAAHfW/wg=")</f>
        <v>#REF!</v>
      </c>
      <c r="J182" t="e">
        <f>AND(Liste!#REF!,"AAAAAHfW/wk=")</f>
        <v>#REF!</v>
      </c>
      <c r="K182" t="e">
        <f>AND(Liste!#REF!,"AAAAAHfW/wo=")</f>
        <v>#REF!</v>
      </c>
      <c r="L182" t="e">
        <f>AND(Liste!#REF!,"AAAAAHfW/ws=")</f>
        <v>#REF!</v>
      </c>
      <c r="M182" t="e">
        <f>AND(Liste!#REF!,"AAAAAHfW/ww=")</f>
        <v>#REF!</v>
      </c>
      <c r="N182" t="e">
        <f>AND(Liste!#REF!,"AAAAAHfW/w0=")</f>
        <v>#REF!</v>
      </c>
      <c r="O182" t="e">
        <f>AND(Liste!#REF!,"AAAAAHfW/w4=")</f>
        <v>#REF!</v>
      </c>
      <c r="P182" t="e">
        <f>AND(Liste!#REF!,"AAAAAHfW/w8=")</f>
        <v>#REF!</v>
      </c>
      <c r="Q182" t="e">
        <f>AND(Liste!#REF!,"AAAAAHfW/xA=")</f>
        <v>#REF!</v>
      </c>
      <c r="R182" t="e">
        <f>AND(Liste!#REF!,"AAAAAHfW/xE=")</f>
        <v>#REF!</v>
      </c>
      <c r="S182" t="e">
        <f>AND(Liste!#REF!,"AAAAAHfW/xI=")</f>
        <v>#REF!</v>
      </c>
      <c r="T182" t="e">
        <f>AND(Liste!#REF!,"AAAAAHfW/xM=")</f>
        <v>#REF!</v>
      </c>
      <c r="U182" t="e">
        <f>AND(Liste!#REF!,"AAAAAHfW/xQ=")</f>
        <v>#REF!</v>
      </c>
      <c r="V182" t="e">
        <f>AND(Liste!#REF!,"AAAAAHfW/xU=")</f>
        <v>#REF!</v>
      </c>
      <c r="W182" t="e">
        <f>AND(Liste!#REF!,"AAAAAHfW/xY=")</f>
        <v>#REF!</v>
      </c>
      <c r="X182" t="e">
        <f>AND(Liste!#REF!,"AAAAAHfW/xc=")</f>
        <v>#REF!</v>
      </c>
      <c r="Y182" t="e">
        <f>AND(Liste!#REF!,"AAAAAHfW/xg=")</f>
        <v>#REF!</v>
      </c>
      <c r="Z182" t="e">
        <f>AND(Liste!#REF!,"AAAAAHfW/xk=")</f>
        <v>#REF!</v>
      </c>
      <c r="AA182" t="e">
        <f>AND(Liste!#REF!,"AAAAAHfW/xo=")</f>
        <v>#REF!</v>
      </c>
      <c r="AB182" t="e">
        <f>AND(Liste!#REF!,"AAAAAHfW/xs=")</f>
        <v>#REF!</v>
      </c>
      <c r="AC182" t="e">
        <f>AND(Liste!#REF!,"AAAAAHfW/xw=")</f>
        <v>#REF!</v>
      </c>
      <c r="AD182" t="e">
        <f>AND(Liste!#REF!,"AAAAAHfW/x0=")</f>
        <v>#REF!</v>
      </c>
      <c r="AE182" t="e">
        <f>AND(Liste!#REF!,"AAAAAHfW/x4=")</f>
        <v>#REF!</v>
      </c>
      <c r="AF182" t="e">
        <f>AND(Liste!#REF!,"AAAAAHfW/x8=")</f>
        <v>#REF!</v>
      </c>
      <c r="AG182" t="e">
        <f>AND(Liste!#REF!,"AAAAAHfW/yA=")</f>
        <v>#REF!</v>
      </c>
      <c r="AH182" t="e">
        <f>AND(Liste!#REF!,"AAAAAHfW/yE=")</f>
        <v>#REF!</v>
      </c>
      <c r="AI182" t="e">
        <f>AND(Liste!#REF!,"AAAAAHfW/yI=")</f>
        <v>#REF!</v>
      </c>
      <c r="AJ182" t="e">
        <f>AND(Liste!#REF!,"AAAAAHfW/yM=")</f>
        <v>#REF!</v>
      </c>
      <c r="AK182" t="e">
        <f>AND(Liste!#REF!,"AAAAAHfW/yQ=")</f>
        <v>#REF!</v>
      </c>
      <c r="AL182" t="e">
        <f>AND(Liste!#REF!,"AAAAAHfW/yU=")</f>
        <v>#REF!</v>
      </c>
      <c r="AM182" t="e">
        <f>AND(Liste!#REF!,"AAAAAHfW/yY=")</f>
        <v>#REF!</v>
      </c>
      <c r="AN182" t="e">
        <f>AND(Liste!#REF!,"AAAAAHfW/yc=")</f>
        <v>#REF!</v>
      </c>
      <c r="AO182" t="e">
        <f>AND(Liste!#REF!,"AAAAAHfW/yg=")</f>
        <v>#REF!</v>
      </c>
      <c r="AP182" t="e">
        <f>AND(Liste!#REF!,"AAAAAHfW/yk=")</f>
        <v>#REF!</v>
      </c>
      <c r="AQ182" t="e">
        <f>AND(Liste!#REF!,"AAAAAHfW/yo=")</f>
        <v>#REF!</v>
      </c>
      <c r="AR182" t="e">
        <f>AND(Liste!#REF!,"AAAAAHfW/ys=")</f>
        <v>#REF!</v>
      </c>
      <c r="AS182" t="e">
        <f>AND(Liste!#REF!,"AAAAAHfW/yw=")</f>
        <v>#REF!</v>
      </c>
      <c r="AT182" t="e">
        <f>AND(Liste!#REF!,"AAAAAHfW/y0=")</f>
        <v>#REF!</v>
      </c>
      <c r="AU182" t="e">
        <f>AND(Liste!#REF!,"AAAAAHfW/y4=")</f>
        <v>#REF!</v>
      </c>
      <c r="AV182" t="e">
        <f>AND(Liste!#REF!,"AAAAAHfW/y8=")</f>
        <v>#REF!</v>
      </c>
      <c r="AW182" t="e">
        <f>AND(Liste!#REF!,"AAAAAHfW/zA=")</f>
        <v>#REF!</v>
      </c>
      <c r="AX182" t="e">
        <f>AND(Liste!#REF!,"AAAAAHfW/zE=")</f>
        <v>#REF!</v>
      </c>
      <c r="AY182" t="e">
        <f>AND(Liste!#REF!,"AAAAAHfW/zI=")</f>
        <v>#REF!</v>
      </c>
      <c r="AZ182" t="e">
        <f>AND(Liste!#REF!,"AAAAAHfW/zM=")</f>
        <v>#REF!</v>
      </c>
      <c r="BA182" t="e">
        <f>AND(Liste!#REF!,"AAAAAHfW/zQ=")</f>
        <v>#REF!</v>
      </c>
      <c r="BB182" t="e">
        <f>AND(Liste!#REF!,"AAAAAHfW/zU=")</f>
        <v>#REF!</v>
      </c>
      <c r="BC182" t="e">
        <f>AND(Liste!#REF!,"AAAAAHfW/zY=")</f>
        <v>#REF!</v>
      </c>
      <c r="BD182" t="e">
        <f>AND(Liste!#REF!,"AAAAAHfW/zc=")</f>
        <v>#REF!</v>
      </c>
      <c r="BE182" t="e">
        <f>AND(Liste!#REF!,"AAAAAHfW/zg=")</f>
        <v>#REF!</v>
      </c>
      <c r="BF182" t="e">
        <f>AND(Liste!#REF!,"AAAAAHfW/zk=")</f>
        <v>#REF!</v>
      </c>
      <c r="BG182" t="e">
        <f>AND(Liste!#REF!,"AAAAAHfW/zo=")</f>
        <v>#REF!</v>
      </c>
      <c r="BH182" t="e">
        <f>AND(Liste!#REF!,"AAAAAHfW/zs=")</f>
        <v>#REF!</v>
      </c>
      <c r="BI182" t="e">
        <f>AND(Liste!#REF!,"AAAAAHfW/zw=")</f>
        <v>#REF!</v>
      </c>
      <c r="BJ182" t="e">
        <f>AND(Liste!#REF!,"AAAAAHfW/z0=")</f>
        <v>#REF!</v>
      </c>
      <c r="BK182" t="e">
        <f>AND(Liste!#REF!,"AAAAAHfW/z4=")</f>
        <v>#REF!</v>
      </c>
      <c r="BL182" t="e">
        <f>AND(Liste!#REF!,"AAAAAHfW/z8=")</f>
        <v>#REF!</v>
      </c>
      <c r="BM182" t="e">
        <f>AND(Liste!#REF!,"AAAAAHfW/0A=")</f>
        <v>#REF!</v>
      </c>
      <c r="BN182" t="e">
        <f>AND(Liste!#REF!,"AAAAAHfW/0E=")</f>
        <v>#REF!</v>
      </c>
      <c r="BO182" t="e">
        <f>AND(Liste!#REF!,"AAAAAHfW/0I=")</f>
        <v>#REF!</v>
      </c>
      <c r="BP182" t="e">
        <f>AND(Liste!#REF!,"AAAAAHfW/0M=")</f>
        <v>#REF!</v>
      </c>
      <c r="BQ182" t="e">
        <f>AND(Liste!#REF!,"AAAAAHfW/0Q=")</f>
        <v>#REF!</v>
      </c>
      <c r="BR182" t="e">
        <f>AND(Liste!#REF!,"AAAAAHfW/0U=")</f>
        <v>#REF!</v>
      </c>
      <c r="BS182" t="e">
        <f>AND(Liste!#REF!,"AAAAAHfW/0Y=")</f>
        <v>#REF!</v>
      </c>
      <c r="BT182" t="e">
        <f>AND(Liste!#REF!,"AAAAAHfW/0c=")</f>
        <v>#REF!</v>
      </c>
      <c r="BU182" t="e">
        <f>AND(Liste!#REF!,"AAAAAHfW/0g=")</f>
        <v>#REF!</v>
      </c>
      <c r="BV182" t="e">
        <f>AND(Liste!#REF!,"AAAAAHfW/0k=")</f>
        <v>#REF!</v>
      </c>
      <c r="BW182" t="e">
        <f>AND(Liste!#REF!,"AAAAAHfW/0o=")</f>
        <v>#REF!</v>
      </c>
      <c r="BX182" t="e">
        <f>AND(Liste!#REF!,"AAAAAHfW/0s=")</f>
        <v>#REF!</v>
      </c>
      <c r="BY182" t="e">
        <f>AND(Liste!#REF!,"AAAAAHfW/0w=")</f>
        <v>#REF!</v>
      </c>
      <c r="BZ182" t="e">
        <f>AND(Liste!#REF!,"AAAAAHfW/00=")</f>
        <v>#REF!</v>
      </c>
      <c r="CA182" t="e">
        <f>AND(Liste!#REF!,"AAAAAHfW/04=")</f>
        <v>#REF!</v>
      </c>
      <c r="CB182" t="e">
        <f>AND(Liste!#REF!,"AAAAAHfW/08=")</f>
        <v>#REF!</v>
      </c>
      <c r="CC182" t="e">
        <f>AND(Liste!#REF!,"AAAAAHfW/1A=")</f>
        <v>#REF!</v>
      </c>
      <c r="CD182" t="e">
        <f>AND(Liste!#REF!,"AAAAAHfW/1E=")</f>
        <v>#REF!</v>
      </c>
      <c r="CE182" t="e">
        <f>AND(Liste!#REF!,"AAAAAHfW/1I=")</f>
        <v>#REF!</v>
      </c>
      <c r="CF182" t="e">
        <f>AND(Liste!#REF!,"AAAAAHfW/1M=")</f>
        <v>#REF!</v>
      </c>
      <c r="CG182" t="e">
        <f>AND(Liste!#REF!,"AAAAAHfW/1Q=")</f>
        <v>#REF!</v>
      </c>
      <c r="CH182" t="e">
        <f>AND(Liste!#REF!,"AAAAAHfW/1U=")</f>
        <v>#REF!</v>
      </c>
      <c r="CI182" t="e">
        <f>AND(Liste!#REF!,"AAAAAHfW/1Y=")</f>
        <v>#REF!</v>
      </c>
      <c r="CJ182" t="e">
        <f>AND(Liste!#REF!,"AAAAAHfW/1c=")</f>
        <v>#REF!</v>
      </c>
      <c r="CK182" t="e">
        <f>AND(Liste!#REF!,"AAAAAHfW/1g=")</f>
        <v>#REF!</v>
      </c>
      <c r="CL182" t="e">
        <f>AND(Liste!#REF!,"AAAAAHfW/1k=")</f>
        <v>#REF!</v>
      </c>
      <c r="CM182" t="e">
        <f>AND(Liste!#REF!,"AAAAAHfW/1o=")</f>
        <v>#REF!</v>
      </c>
      <c r="CN182" t="e">
        <f>AND(Liste!#REF!,"AAAAAHfW/1s=")</f>
        <v>#REF!</v>
      </c>
      <c r="CO182" t="e">
        <f>AND(Liste!#REF!,"AAAAAHfW/1w=")</f>
        <v>#REF!</v>
      </c>
      <c r="CP182" t="e">
        <f>AND(Liste!#REF!,"AAAAAHfW/10=")</f>
        <v>#REF!</v>
      </c>
      <c r="CQ182" t="e">
        <f>AND(Liste!#REF!,"AAAAAHfW/14=")</f>
        <v>#REF!</v>
      </c>
      <c r="CR182" t="e">
        <f>AND(Liste!#REF!,"AAAAAHfW/18=")</f>
        <v>#REF!</v>
      </c>
      <c r="CS182" t="e">
        <f>AND(Liste!#REF!,"AAAAAHfW/2A=")</f>
        <v>#REF!</v>
      </c>
      <c r="CT182" t="e">
        <f>AND(Liste!#REF!,"AAAAAHfW/2E=")</f>
        <v>#REF!</v>
      </c>
      <c r="CU182" t="e">
        <f>AND(Liste!#REF!,"AAAAAHfW/2I=")</f>
        <v>#REF!</v>
      </c>
      <c r="CV182" t="e">
        <f>AND(Liste!#REF!,"AAAAAHfW/2M=")</f>
        <v>#REF!</v>
      </c>
      <c r="CW182" t="e">
        <f>AND(Liste!#REF!,"AAAAAHfW/2Q=")</f>
        <v>#REF!</v>
      </c>
      <c r="CX182" t="e">
        <f>AND(Liste!#REF!,"AAAAAHfW/2U=")</f>
        <v>#REF!</v>
      </c>
      <c r="CY182" t="e">
        <f>AND(Liste!#REF!,"AAAAAHfW/2Y=")</f>
        <v>#REF!</v>
      </c>
      <c r="CZ182" t="e">
        <f>AND(Liste!#REF!,"AAAAAHfW/2c=")</f>
        <v>#REF!</v>
      </c>
      <c r="DA182" t="e">
        <f>AND(Liste!#REF!,"AAAAAHfW/2g=")</f>
        <v>#REF!</v>
      </c>
      <c r="DB182" t="e">
        <f>AND(Liste!#REF!,"AAAAAHfW/2k=")</f>
        <v>#REF!</v>
      </c>
      <c r="DC182" t="e">
        <f>AND(Liste!#REF!,"AAAAAHfW/2o=")</f>
        <v>#REF!</v>
      </c>
      <c r="DD182" t="e">
        <f>AND(Liste!#REF!,"AAAAAHfW/2s=")</f>
        <v>#REF!</v>
      </c>
      <c r="DE182" t="e">
        <f>AND(Liste!#REF!,"AAAAAHfW/2w=")</f>
        <v>#REF!</v>
      </c>
      <c r="DF182" t="e">
        <f>AND(Liste!#REF!,"AAAAAHfW/20=")</f>
        <v>#REF!</v>
      </c>
      <c r="DG182" t="e">
        <f>AND(Liste!#REF!,"AAAAAHfW/24=")</f>
        <v>#REF!</v>
      </c>
      <c r="DH182" t="e">
        <f>AND(Liste!#REF!,"AAAAAHfW/28=")</f>
        <v>#REF!</v>
      </c>
      <c r="DI182" t="e">
        <f>AND(Liste!#REF!,"AAAAAHfW/3A=")</f>
        <v>#REF!</v>
      </c>
      <c r="DJ182" t="e">
        <f>AND(Liste!#REF!,"AAAAAHfW/3E=")</f>
        <v>#REF!</v>
      </c>
      <c r="DK182" t="e">
        <f>AND(Liste!#REF!,"AAAAAHfW/3I=")</f>
        <v>#REF!</v>
      </c>
      <c r="DL182" t="e">
        <f>AND(Liste!#REF!,"AAAAAHfW/3M=")</f>
        <v>#REF!</v>
      </c>
      <c r="DM182" t="e">
        <f>AND(Liste!#REF!,"AAAAAHfW/3Q=")</f>
        <v>#REF!</v>
      </c>
      <c r="DN182" t="e">
        <f>AND(Liste!#REF!,"AAAAAHfW/3U=")</f>
        <v>#REF!</v>
      </c>
      <c r="DO182" t="e">
        <f>AND(Liste!#REF!,"AAAAAHfW/3Y=")</f>
        <v>#REF!</v>
      </c>
      <c r="DP182" t="e">
        <f>AND(Liste!#REF!,"AAAAAHfW/3c=")</f>
        <v>#REF!</v>
      </c>
      <c r="DQ182" t="e">
        <f>AND(Liste!#REF!,"AAAAAHfW/3g=")</f>
        <v>#REF!</v>
      </c>
      <c r="DR182" t="e">
        <f>AND(Liste!#REF!,"AAAAAHfW/3k=")</f>
        <v>#REF!</v>
      </c>
      <c r="DS182" t="e">
        <f>AND(Liste!#REF!,"AAAAAHfW/3o=")</f>
        <v>#REF!</v>
      </c>
      <c r="DT182" t="e">
        <f>AND(Liste!#REF!,"AAAAAHfW/3s=")</f>
        <v>#REF!</v>
      </c>
      <c r="DU182" t="e">
        <f>AND(Liste!#REF!,"AAAAAHfW/3w=")</f>
        <v>#REF!</v>
      </c>
      <c r="DV182" t="e">
        <f>AND(Liste!#REF!,"AAAAAHfW/30=")</f>
        <v>#REF!</v>
      </c>
      <c r="DW182" t="e">
        <f>AND(Liste!#REF!,"AAAAAHfW/34=")</f>
        <v>#REF!</v>
      </c>
      <c r="DX182" t="e">
        <f>AND(Liste!#REF!,"AAAAAHfW/38=")</f>
        <v>#REF!</v>
      </c>
      <c r="DY182" t="e">
        <f>AND(Liste!#REF!,"AAAAAHfW/4A=")</f>
        <v>#REF!</v>
      </c>
      <c r="DZ182" t="e">
        <f>AND(Liste!#REF!,"AAAAAHfW/4E=")</f>
        <v>#REF!</v>
      </c>
      <c r="EA182" t="e">
        <f>AND(Liste!#REF!,"AAAAAHfW/4I=")</f>
        <v>#REF!</v>
      </c>
      <c r="EB182" t="e">
        <f>AND(Liste!#REF!,"AAAAAHfW/4M=")</f>
        <v>#REF!</v>
      </c>
      <c r="EC182" t="e">
        <f>AND(Liste!#REF!,"AAAAAHfW/4Q=")</f>
        <v>#REF!</v>
      </c>
      <c r="ED182" t="e">
        <f>AND(Liste!#REF!,"AAAAAHfW/4U=")</f>
        <v>#REF!</v>
      </c>
      <c r="EE182" t="e">
        <f>AND(Liste!#REF!,"AAAAAHfW/4Y=")</f>
        <v>#REF!</v>
      </c>
      <c r="EF182" t="e">
        <f>AND(Liste!#REF!,"AAAAAHfW/4c=")</f>
        <v>#REF!</v>
      </c>
      <c r="EG182" t="e">
        <f>AND(Liste!#REF!,"AAAAAHfW/4g=")</f>
        <v>#REF!</v>
      </c>
      <c r="EH182" t="e">
        <f>AND(Liste!#REF!,"AAAAAHfW/4k=")</f>
        <v>#REF!</v>
      </c>
      <c r="EI182" t="e">
        <f>AND(Liste!#REF!,"AAAAAHfW/4o=")</f>
        <v>#REF!</v>
      </c>
      <c r="EJ182" t="e">
        <f>AND(Liste!#REF!,"AAAAAHfW/4s=")</f>
        <v>#REF!</v>
      </c>
      <c r="EK182" t="e">
        <f>AND(Liste!#REF!,"AAAAAHfW/4w=")</f>
        <v>#REF!</v>
      </c>
      <c r="EL182" t="e">
        <f>AND(Liste!#REF!,"AAAAAHfW/40=")</f>
        <v>#REF!</v>
      </c>
      <c r="EM182" t="e">
        <f>AND(Liste!#REF!,"AAAAAHfW/44=")</f>
        <v>#REF!</v>
      </c>
      <c r="EN182" t="e">
        <f>AND(Liste!#REF!,"AAAAAHfW/48=")</f>
        <v>#REF!</v>
      </c>
      <c r="EO182" t="e">
        <f>AND(Liste!#REF!,"AAAAAHfW/5A=")</f>
        <v>#REF!</v>
      </c>
      <c r="EP182" t="e">
        <f>AND(Liste!#REF!,"AAAAAHfW/5E=")</f>
        <v>#REF!</v>
      </c>
      <c r="EQ182" t="e">
        <f>AND(Liste!#REF!,"AAAAAHfW/5I=")</f>
        <v>#REF!</v>
      </c>
      <c r="ER182" t="e">
        <f>AND(Liste!#REF!,"AAAAAHfW/5M=")</f>
        <v>#REF!</v>
      </c>
      <c r="ES182" t="e">
        <f>AND(Liste!#REF!,"AAAAAHfW/5Q=")</f>
        <v>#REF!</v>
      </c>
      <c r="ET182" t="e">
        <f>AND(Liste!#REF!,"AAAAAHfW/5U=")</f>
        <v>#REF!</v>
      </c>
      <c r="EU182" t="e">
        <f>AND(Liste!#REF!,"AAAAAHfW/5Y=")</f>
        <v>#REF!</v>
      </c>
      <c r="EV182" t="e">
        <f>AND(Liste!#REF!,"AAAAAHfW/5c=")</f>
        <v>#REF!</v>
      </c>
      <c r="EW182" t="e">
        <f>AND(Liste!#REF!,"AAAAAHfW/5g=")</f>
        <v>#REF!</v>
      </c>
      <c r="EX182" t="e">
        <f>AND(Liste!#REF!,"AAAAAHfW/5k=")</f>
        <v>#REF!</v>
      </c>
      <c r="EY182" t="e">
        <f>AND(Liste!#REF!,"AAAAAHfW/5o=")</f>
        <v>#REF!</v>
      </c>
      <c r="EZ182" t="e">
        <f>AND(Liste!#REF!,"AAAAAHfW/5s=")</f>
        <v>#REF!</v>
      </c>
      <c r="FA182" t="e">
        <f>AND(Liste!#REF!,"AAAAAHfW/5w=")</f>
        <v>#REF!</v>
      </c>
      <c r="FB182" t="e">
        <f>AND(Liste!#REF!,"AAAAAHfW/50=")</f>
        <v>#REF!</v>
      </c>
      <c r="FC182" t="e">
        <f>AND(Liste!#REF!,"AAAAAHfW/54=")</f>
        <v>#REF!</v>
      </c>
      <c r="FD182" t="e">
        <f>AND(Liste!#REF!,"AAAAAHfW/58=")</f>
        <v>#REF!</v>
      </c>
      <c r="FE182" t="e">
        <f>AND(Liste!#REF!,"AAAAAHfW/6A=")</f>
        <v>#REF!</v>
      </c>
      <c r="FF182" t="e">
        <f>AND(Liste!#REF!,"AAAAAHfW/6E=")</f>
        <v>#REF!</v>
      </c>
      <c r="FG182" t="e">
        <f>AND(Liste!#REF!,"AAAAAHfW/6I=")</f>
        <v>#REF!</v>
      </c>
      <c r="FH182" t="e">
        <f>AND(Liste!#REF!,"AAAAAHfW/6M=")</f>
        <v>#REF!</v>
      </c>
      <c r="FI182" t="e">
        <f>AND(Liste!#REF!,"AAAAAHfW/6Q=")</f>
        <v>#REF!</v>
      </c>
      <c r="FJ182" t="e">
        <f>AND(Liste!#REF!,"AAAAAHfW/6U=")</f>
        <v>#REF!</v>
      </c>
      <c r="FK182" t="e">
        <f>AND(Liste!#REF!,"AAAAAHfW/6Y=")</f>
        <v>#REF!</v>
      </c>
      <c r="FL182" t="e">
        <f>AND(Liste!#REF!,"AAAAAHfW/6c=")</f>
        <v>#REF!</v>
      </c>
      <c r="FM182" t="e">
        <f>AND(Liste!#REF!,"AAAAAHfW/6g=")</f>
        <v>#REF!</v>
      </c>
      <c r="FN182" t="e">
        <f>AND(Liste!#REF!,"AAAAAHfW/6k=")</f>
        <v>#REF!</v>
      </c>
      <c r="FO182" t="e">
        <f>AND(Liste!#REF!,"AAAAAHfW/6o=")</f>
        <v>#REF!</v>
      </c>
      <c r="FP182" t="e">
        <f>AND(Liste!#REF!,"AAAAAHfW/6s=")</f>
        <v>#REF!</v>
      </c>
      <c r="FQ182" t="e">
        <f>AND(Liste!#REF!,"AAAAAHfW/6w=")</f>
        <v>#REF!</v>
      </c>
      <c r="FR182" t="e">
        <f>AND(Liste!#REF!,"AAAAAHfW/60=")</f>
        <v>#REF!</v>
      </c>
      <c r="FS182" t="e">
        <f>AND(Liste!#REF!,"AAAAAHfW/64=")</f>
        <v>#REF!</v>
      </c>
      <c r="FT182" t="e">
        <f>AND(Liste!#REF!,"AAAAAHfW/68=")</f>
        <v>#REF!</v>
      </c>
      <c r="FU182" t="e">
        <f>AND(Liste!#REF!,"AAAAAHfW/7A=")</f>
        <v>#REF!</v>
      </c>
      <c r="FV182" t="e">
        <f>AND(Liste!#REF!,"AAAAAHfW/7E=")</f>
        <v>#REF!</v>
      </c>
      <c r="FW182" t="e">
        <f>AND(Liste!#REF!,"AAAAAHfW/7I=")</f>
        <v>#REF!</v>
      </c>
      <c r="FX182" t="e">
        <f>AND(Liste!#REF!,"AAAAAHfW/7M=")</f>
        <v>#REF!</v>
      </c>
      <c r="FY182" t="e">
        <f>AND(Liste!#REF!,"AAAAAHfW/7Q=")</f>
        <v>#REF!</v>
      </c>
      <c r="FZ182" t="e">
        <f>AND(Liste!#REF!,"AAAAAHfW/7U=")</f>
        <v>#REF!</v>
      </c>
      <c r="GA182" t="e">
        <f>AND(Liste!#REF!,"AAAAAHfW/7Y=")</f>
        <v>#REF!</v>
      </c>
      <c r="GB182" t="e">
        <f>AND(Liste!#REF!,"AAAAAHfW/7c=")</f>
        <v>#REF!</v>
      </c>
      <c r="GC182" t="e">
        <f>AND(Liste!#REF!,"AAAAAHfW/7g=")</f>
        <v>#REF!</v>
      </c>
      <c r="GD182" t="e">
        <f>AND(Liste!#REF!,"AAAAAHfW/7k=")</f>
        <v>#REF!</v>
      </c>
      <c r="GE182" t="e">
        <f>AND(Liste!#REF!,"AAAAAHfW/7o=")</f>
        <v>#REF!</v>
      </c>
      <c r="GF182" t="e">
        <f>AND(Liste!#REF!,"AAAAAHfW/7s=")</f>
        <v>#REF!</v>
      </c>
      <c r="GG182" t="e">
        <f>AND(Liste!#REF!,"AAAAAHfW/7w=")</f>
        <v>#REF!</v>
      </c>
      <c r="GH182" t="e">
        <f>AND(Liste!#REF!,"AAAAAHfW/70=")</f>
        <v>#REF!</v>
      </c>
      <c r="GI182" t="e">
        <f>AND(Liste!#REF!,"AAAAAHfW/74=")</f>
        <v>#REF!</v>
      </c>
      <c r="GJ182" t="e">
        <f>AND(Liste!#REF!,"AAAAAHfW/78=")</f>
        <v>#REF!</v>
      </c>
      <c r="GK182" t="e">
        <f>AND(Liste!#REF!,"AAAAAHfW/8A=")</f>
        <v>#REF!</v>
      </c>
      <c r="GL182" t="e">
        <f>AND(Liste!#REF!,"AAAAAHfW/8E=")</f>
        <v>#REF!</v>
      </c>
      <c r="GM182" t="e">
        <f>AND(Liste!#REF!,"AAAAAHfW/8I=")</f>
        <v>#REF!</v>
      </c>
      <c r="GN182" t="e">
        <f>AND(Liste!#REF!,"AAAAAHfW/8M=")</f>
        <v>#REF!</v>
      </c>
      <c r="GO182" t="e">
        <f>AND(Liste!#REF!,"AAAAAHfW/8Q=")</f>
        <v>#REF!</v>
      </c>
      <c r="GP182" t="e">
        <f>AND(Liste!C545,"AAAAAHfW/8U=")</f>
        <v>#VALUE!</v>
      </c>
      <c r="GQ182" t="e">
        <f>AND(Liste!D545,"AAAAAHfW/8Y=")</f>
        <v>#VALUE!</v>
      </c>
      <c r="GR182" t="e">
        <f>AND(Liste!E545,"AAAAAHfW/8c=")</f>
        <v>#VALUE!</v>
      </c>
      <c r="GS182" t="e">
        <f>AND(Liste!C546,"AAAAAHfW/8g=")</f>
        <v>#VALUE!</v>
      </c>
      <c r="GT182" t="e">
        <f>AND(Liste!D546,"AAAAAHfW/8k=")</f>
        <v>#VALUE!</v>
      </c>
      <c r="GU182" t="e">
        <f>AND(Liste!E546,"AAAAAHfW/8o=")</f>
        <v>#VALUE!</v>
      </c>
      <c r="GV182" t="e">
        <f>AND(Liste!#REF!,"AAAAAHfW/8s=")</f>
        <v>#REF!</v>
      </c>
      <c r="GW182" t="e">
        <f>AND(Liste!#REF!,"AAAAAHfW/8w=")</f>
        <v>#REF!</v>
      </c>
      <c r="GX182" t="e">
        <f>AND(Liste!#REF!,"AAAAAHfW/80=")</f>
        <v>#REF!</v>
      </c>
      <c r="GY182" t="e">
        <f>AND(Liste!#REF!,"AAAAAHfW/84=")</f>
        <v>#REF!</v>
      </c>
      <c r="GZ182" t="e">
        <f>AND(Liste!#REF!,"AAAAAHfW/88=")</f>
        <v>#REF!</v>
      </c>
      <c r="HA182" t="e">
        <f>AND(Liste!#REF!,"AAAAAHfW/9A=")</f>
        <v>#REF!</v>
      </c>
      <c r="HB182" t="e">
        <f>AND(Liste!#REF!,"AAAAAHfW/9E=")</f>
        <v>#REF!</v>
      </c>
      <c r="HC182" t="e">
        <f>AND(Liste!#REF!,"AAAAAHfW/9I=")</f>
        <v>#REF!</v>
      </c>
      <c r="HD182" t="e">
        <f>AND(Liste!#REF!,"AAAAAHfW/9M=")</f>
        <v>#REF!</v>
      </c>
      <c r="HE182" t="e">
        <f>AND(Liste!#REF!,"AAAAAHfW/9Q=")</f>
        <v>#REF!</v>
      </c>
      <c r="HF182" t="e">
        <f>AND(Liste!#REF!,"AAAAAHfW/9U=")</f>
        <v>#REF!</v>
      </c>
      <c r="HG182" t="e">
        <f>AND(Liste!#REF!,"AAAAAHfW/9Y=")</f>
        <v>#REF!</v>
      </c>
      <c r="HH182" t="e">
        <f>AND(Liste!#REF!,"AAAAAHfW/9c=")</f>
        <v>#REF!</v>
      </c>
      <c r="HI182" t="e">
        <f>AND(Liste!#REF!,"AAAAAHfW/9g=")</f>
        <v>#REF!</v>
      </c>
      <c r="HJ182" t="e">
        <f>AND(Liste!#REF!,"AAAAAHfW/9k=")</f>
        <v>#REF!</v>
      </c>
      <c r="HK182" t="e">
        <f>AND(Liste!#REF!,"AAAAAHfW/9o=")</f>
        <v>#REF!</v>
      </c>
      <c r="HL182" t="e">
        <f>AND(Liste!#REF!,"AAAAAHfW/9s=")</f>
        <v>#REF!</v>
      </c>
      <c r="HM182" t="e">
        <f>AND(Liste!#REF!,"AAAAAHfW/9w=")</f>
        <v>#REF!</v>
      </c>
      <c r="HN182" t="e">
        <f>AND(Liste!#REF!,"AAAAAHfW/90=")</f>
        <v>#REF!</v>
      </c>
      <c r="HO182" t="e">
        <f>AND(Liste!#REF!,"AAAAAHfW/94=")</f>
        <v>#REF!</v>
      </c>
      <c r="HP182" t="e">
        <f>AND(Liste!#REF!,"AAAAAHfW/98=")</f>
        <v>#REF!</v>
      </c>
      <c r="HQ182" t="e">
        <f>AND(Liste!#REF!,"AAAAAHfW/+A=")</f>
        <v>#REF!</v>
      </c>
      <c r="HR182" t="e">
        <f>AND(Liste!#REF!,"AAAAAHfW/+E=")</f>
        <v>#REF!</v>
      </c>
      <c r="HS182" t="e">
        <f>AND(Liste!#REF!,"AAAAAHfW/+I=")</f>
        <v>#REF!</v>
      </c>
      <c r="HT182" t="e">
        <f>AND(Liste!#REF!,"AAAAAHfW/+M=")</f>
        <v>#REF!</v>
      </c>
      <c r="HU182" t="e">
        <f>AND(Liste!#REF!,"AAAAAHfW/+Q=")</f>
        <v>#REF!</v>
      </c>
      <c r="HV182" t="e">
        <f>AND(Liste!#REF!,"AAAAAHfW/+U=")</f>
        <v>#REF!</v>
      </c>
      <c r="HW182" t="e">
        <f>AND(Liste!#REF!,"AAAAAHfW/+Y=")</f>
        <v>#REF!</v>
      </c>
      <c r="HX182" t="e">
        <f>AND(Liste!#REF!,"AAAAAHfW/+c=")</f>
        <v>#REF!</v>
      </c>
      <c r="HY182" t="e">
        <f>AND(Liste!#REF!,"AAAAAHfW/+g=")</f>
        <v>#REF!</v>
      </c>
      <c r="HZ182" t="e">
        <f>AND(Liste!#REF!,"AAAAAHfW/+k=")</f>
        <v>#REF!</v>
      </c>
      <c r="IA182" t="e">
        <f>AND(Liste!#REF!,"AAAAAHfW/+o=")</f>
        <v>#REF!</v>
      </c>
      <c r="IB182" t="e">
        <f>AND(Liste!#REF!,"AAAAAHfW/+s=")</f>
        <v>#REF!</v>
      </c>
      <c r="IC182" t="e">
        <f>AND(Liste!#REF!,"AAAAAHfW/+w=")</f>
        <v>#REF!</v>
      </c>
      <c r="ID182" t="e">
        <f>AND(Liste!#REF!,"AAAAAHfW/+0=")</f>
        <v>#REF!</v>
      </c>
      <c r="IE182" t="e">
        <f>AND(Liste!#REF!,"AAAAAHfW/+4=")</f>
        <v>#REF!</v>
      </c>
      <c r="IF182" t="e">
        <f>AND(Liste!#REF!,"AAAAAHfW/+8=")</f>
        <v>#REF!</v>
      </c>
      <c r="IG182" t="e">
        <f>AND(Liste!#REF!,"AAAAAHfW//A=")</f>
        <v>#REF!</v>
      </c>
      <c r="IH182" t="e">
        <f>AND(Liste!#REF!,"AAAAAHfW//E=")</f>
        <v>#REF!</v>
      </c>
      <c r="II182" t="e">
        <f>AND(Liste!#REF!,"AAAAAHfW//I=")</f>
        <v>#REF!</v>
      </c>
      <c r="IJ182" t="e">
        <f>AND(Liste!#REF!,"AAAAAHfW//M=")</f>
        <v>#REF!</v>
      </c>
      <c r="IK182" t="e">
        <f>AND(Liste!#REF!,"AAAAAHfW//Q=")</f>
        <v>#REF!</v>
      </c>
      <c r="IL182" t="e">
        <f>AND(Liste!#REF!,"AAAAAHfW//U=")</f>
        <v>#REF!</v>
      </c>
      <c r="IM182" t="e">
        <f>AND(Liste!#REF!,"AAAAAHfW//Y=")</f>
        <v>#REF!</v>
      </c>
      <c r="IN182" t="e">
        <f>AND(Liste!#REF!,"AAAAAHfW//c=")</f>
        <v>#REF!</v>
      </c>
    </row>
    <row r="183" spans="1:256" x14ac:dyDescent="0.2">
      <c r="A183" t="e">
        <f>AND(#REF!,"AAAAAH77YwA=")</f>
        <v>#REF!</v>
      </c>
      <c r="B183" t="e">
        <f>AND(#REF!,"AAAAAH77YwE=")</f>
        <v>#REF!</v>
      </c>
      <c r="C183" t="e">
        <f>AND(#REF!,"AAAAAH77YwI=")</f>
        <v>#REF!</v>
      </c>
      <c r="D183" t="e">
        <f>AND(#REF!,"AAAAAH77YwM=")</f>
        <v>#REF!</v>
      </c>
      <c r="E183" t="e">
        <f>AND(#REF!,"AAAAAH77YwQ=")</f>
        <v>#REF!</v>
      </c>
      <c r="F183" t="e">
        <f>AND(#REF!,"AAAAAH77YwU=")</f>
        <v>#REF!</v>
      </c>
      <c r="G183" t="e">
        <f>AND(#REF!,"AAAAAH77YwY=")</f>
        <v>#REF!</v>
      </c>
      <c r="H183" t="e">
        <f>AND(#REF!,"AAAAAH77Ywc=")</f>
        <v>#REF!</v>
      </c>
      <c r="I183" t="e">
        <f>AND(#REF!,"AAAAAH77Ywg=")</f>
        <v>#REF!</v>
      </c>
      <c r="J183" t="e">
        <f>AND(#REF!,"AAAAAH77Ywk=")</f>
        <v>#REF!</v>
      </c>
      <c r="K183" t="e">
        <f>AND(#REF!,"AAAAAH77Ywo=")</f>
        <v>#REF!</v>
      </c>
      <c r="L183" t="e">
        <f>AND(#REF!,"AAAAAH77Yws=")</f>
        <v>#REF!</v>
      </c>
      <c r="M183" t="e">
        <f>AND(#REF!,"AAAAAH77Yww=")</f>
        <v>#REF!</v>
      </c>
      <c r="N183" t="e">
        <f>AND(#REF!,"AAAAAH77Yw0=")</f>
        <v>#REF!</v>
      </c>
      <c r="O183" t="e">
        <f>AND(#REF!,"AAAAAH77Yw4=")</f>
        <v>#REF!</v>
      </c>
      <c r="P183" t="e">
        <f>AND(#REF!,"AAAAAH77Yw8=")</f>
        <v>#REF!</v>
      </c>
      <c r="Q183" t="e">
        <f>AND(#REF!,"AAAAAH77YxA=")</f>
        <v>#REF!</v>
      </c>
      <c r="R183" t="e">
        <f>AND(#REF!,"AAAAAH77YxE=")</f>
        <v>#REF!</v>
      </c>
      <c r="S183" t="e">
        <f>AND(#REF!,"AAAAAH77YxI=")</f>
        <v>#REF!</v>
      </c>
      <c r="T183" t="e">
        <f>AND(#REF!,"AAAAAH77YxM=")</f>
        <v>#REF!</v>
      </c>
      <c r="U183" t="e">
        <f>AND(#REF!,"AAAAAH77YxQ=")</f>
        <v>#REF!</v>
      </c>
      <c r="V183" t="e">
        <f>AND(#REF!,"AAAAAH77YxU=")</f>
        <v>#REF!</v>
      </c>
      <c r="W183" t="e">
        <f>AND(#REF!,"AAAAAH77YxY=")</f>
        <v>#REF!</v>
      </c>
      <c r="X183" t="e">
        <f>AND(#REF!,"AAAAAH77Yxc=")</f>
        <v>#REF!</v>
      </c>
      <c r="Y183" t="e">
        <f>AND(#REF!,"AAAAAH77Yxg=")</f>
        <v>#REF!</v>
      </c>
      <c r="Z183" t="e">
        <f>AND(#REF!,"AAAAAH77Yxk=")</f>
        <v>#REF!</v>
      </c>
      <c r="AA183" t="e">
        <f>AND(#REF!,"AAAAAH77Yxo=")</f>
        <v>#REF!</v>
      </c>
      <c r="AB183" t="e">
        <f>AND(#REF!,"AAAAAH77Yxs=")</f>
        <v>#REF!</v>
      </c>
      <c r="AC183" t="e">
        <f>AND(#REF!,"AAAAAH77Yxw=")</f>
        <v>#REF!</v>
      </c>
      <c r="AD183" t="e">
        <f>AND(#REF!,"AAAAAH77Yx0=")</f>
        <v>#REF!</v>
      </c>
      <c r="AE183" t="e">
        <f>AND(#REF!,"AAAAAH77Yx4=")</f>
        <v>#REF!</v>
      </c>
      <c r="AF183" t="e">
        <f>AND(#REF!,"AAAAAH77Yx8=")</f>
        <v>#REF!</v>
      </c>
      <c r="AG183" t="e">
        <f>AND(#REF!,"AAAAAH77YyA=")</f>
        <v>#REF!</v>
      </c>
      <c r="AH183" t="e">
        <f>AND(#REF!,"AAAAAH77YyE=")</f>
        <v>#REF!</v>
      </c>
      <c r="AI183" t="e">
        <f>AND(#REF!,"AAAAAH77YyI=")</f>
        <v>#REF!</v>
      </c>
      <c r="AJ183" t="e">
        <f>AND(#REF!,"AAAAAH77YyM=")</f>
        <v>#REF!</v>
      </c>
      <c r="AK183" t="e">
        <f>AND(#REF!,"AAAAAH77YyQ=")</f>
        <v>#REF!</v>
      </c>
      <c r="AL183" t="e">
        <f>AND(#REF!,"AAAAAH77YyU=")</f>
        <v>#REF!</v>
      </c>
      <c r="AM183" t="e">
        <f>AND(#REF!,"AAAAAH77YyY=")</f>
        <v>#REF!</v>
      </c>
      <c r="AN183" t="e">
        <f>AND(#REF!,"AAAAAH77Yyc=")</f>
        <v>#REF!</v>
      </c>
      <c r="AO183" t="e">
        <f>AND(#REF!,"AAAAAH77Yyg=")</f>
        <v>#REF!</v>
      </c>
      <c r="AP183" t="e">
        <f>AND(#REF!,"AAAAAH77Yyk=")</f>
        <v>#REF!</v>
      </c>
      <c r="AQ183" t="e">
        <f>AND(#REF!,"AAAAAH77Yyo=")</f>
        <v>#REF!</v>
      </c>
      <c r="AR183" t="e">
        <f>AND(#REF!,"AAAAAH77Yys=")</f>
        <v>#REF!</v>
      </c>
      <c r="AS183" t="e">
        <f>AND(#REF!,"AAAAAH77Yyw=")</f>
        <v>#REF!</v>
      </c>
      <c r="AT183" t="e">
        <f>AND(#REF!,"AAAAAH77Yy0=")</f>
        <v>#REF!</v>
      </c>
      <c r="AU183" t="e">
        <f>AND(#REF!,"AAAAAH77Yy4=")</f>
        <v>#REF!</v>
      </c>
      <c r="AV183" t="e">
        <f>AND(#REF!,"AAAAAH77Yy8=")</f>
        <v>#REF!</v>
      </c>
      <c r="AW183" t="e">
        <f>AND(#REF!,"AAAAAH77YzA=")</f>
        <v>#REF!</v>
      </c>
      <c r="AX183" t="e">
        <f>AND(#REF!,"AAAAAH77YzE=")</f>
        <v>#REF!</v>
      </c>
      <c r="AY183" t="e">
        <f>AND(#REF!,"AAAAAH77YzI=")</f>
        <v>#REF!</v>
      </c>
      <c r="AZ183" t="e">
        <f>AND(#REF!,"AAAAAH77YzM=")</f>
        <v>#REF!</v>
      </c>
      <c r="BA183" t="e">
        <f>AND(#REF!,"AAAAAH77YzQ=")</f>
        <v>#REF!</v>
      </c>
      <c r="BB183" t="e">
        <f>AND(#REF!,"AAAAAH77YzU=")</f>
        <v>#REF!</v>
      </c>
      <c r="BC183" t="e">
        <f>AND(#REF!,"AAAAAH77YzY=")</f>
        <v>#REF!</v>
      </c>
      <c r="BD183" t="e">
        <f>AND(#REF!,"AAAAAH77Yzc=")</f>
        <v>#REF!</v>
      </c>
      <c r="BE183" t="e">
        <f>AND(#REF!,"AAAAAH77Yzg=")</f>
        <v>#REF!</v>
      </c>
      <c r="BF183" t="e">
        <f>AND(#REF!,"AAAAAH77Yzk=")</f>
        <v>#REF!</v>
      </c>
      <c r="BG183" t="e">
        <f>AND(#REF!,"AAAAAH77Yzo=")</f>
        <v>#REF!</v>
      </c>
      <c r="BH183" t="e">
        <f>AND(#REF!,"AAAAAH77Yzs=")</f>
        <v>#REF!</v>
      </c>
      <c r="BI183" t="e">
        <f>AND(#REF!,"AAAAAH77Yzw=")</f>
        <v>#REF!</v>
      </c>
      <c r="BJ183" t="e">
        <f>AND(#REF!,"AAAAAH77Yz0=")</f>
        <v>#REF!</v>
      </c>
      <c r="BK183" t="e">
        <f>AND(#REF!,"AAAAAH77Yz4=")</f>
        <v>#REF!</v>
      </c>
      <c r="BL183" t="e">
        <f>AND(#REF!,"AAAAAH77Yz8=")</f>
        <v>#REF!</v>
      </c>
      <c r="BM183" t="e">
        <f>AND(#REF!,"AAAAAH77Y0A=")</f>
        <v>#REF!</v>
      </c>
      <c r="BN183" t="e">
        <f>AND(#REF!,"AAAAAH77Y0E=")</f>
        <v>#REF!</v>
      </c>
      <c r="BO183" t="e">
        <f>AND(#REF!,"AAAAAH77Y0I=")</f>
        <v>#REF!</v>
      </c>
      <c r="BP183" t="e">
        <f>AND(#REF!,"AAAAAH77Y0M=")</f>
        <v>#REF!</v>
      </c>
      <c r="BQ183" t="e">
        <f>AND(#REF!,"AAAAAH77Y0Q=")</f>
        <v>#REF!</v>
      </c>
      <c r="BR183" t="e">
        <f>AND(#REF!,"AAAAAH77Y0U=")</f>
        <v>#REF!</v>
      </c>
      <c r="BS183" t="e">
        <f>AND(#REF!,"AAAAAH77Y0Y=")</f>
        <v>#REF!</v>
      </c>
      <c r="BT183" t="e">
        <f>AND(#REF!,"AAAAAH77Y0c=")</f>
        <v>#REF!</v>
      </c>
      <c r="BU183" t="e">
        <f>AND(#REF!,"AAAAAH77Y0g=")</f>
        <v>#REF!</v>
      </c>
      <c r="BV183" t="e">
        <f>AND(#REF!,"AAAAAH77Y0k=")</f>
        <v>#REF!</v>
      </c>
      <c r="BW183" t="e">
        <f>AND(#REF!,"AAAAAH77Y0o=")</f>
        <v>#REF!</v>
      </c>
      <c r="BX183" t="e">
        <f>AND(#REF!,"AAAAAH77Y0s=")</f>
        <v>#REF!</v>
      </c>
      <c r="BY183" t="e">
        <f>AND(#REF!,"AAAAAH77Y0w=")</f>
        <v>#REF!</v>
      </c>
      <c r="BZ183" t="e">
        <f>AND(#REF!,"AAAAAH77Y00=")</f>
        <v>#REF!</v>
      </c>
      <c r="CA183" t="e">
        <f>AND(#REF!,"AAAAAH77Y04=")</f>
        <v>#REF!</v>
      </c>
      <c r="CB183" t="e">
        <f>AND(#REF!,"AAAAAH77Y08=")</f>
        <v>#REF!</v>
      </c>
      <c r="CC183" t="e">
        <f>AND(#REF!,"AAAAAH77Y1A=")</f>
        <v>#REF!</v>
      </c>
      <c r="CD183" t="e">
        <f>AND(#REF!,"AAAAAH77Y1E=")</f>
        <v>#REF!</v>
      </c>
      <c r="CE183" t="e">
        <f>AND(#REF!,"AAAAAH77Y1I=")</f>
        <v>#REF!</v>
      </c>
      <c r="CF183" t="e">
        <f>AND(#REF!,"AAAAAH77Y1M=")</f>
        <v>#REF!</v>
      </c>
      <c r="CG183" t="e">
        <f>AND(#REF!,"AAAAAH77Y1Q=")</f>
        <v>#REF!</v>
      </c>
      <c r="CH183" t="e">
        <f>AND(#REF!,"AAAAAH77Y1U=")</f>
        <v>#REF!</v>
      </c>
      <c r="CI183" t="e">
        <f>AND(#REF!,"AAAAAH77Y1Y=")</f>
        <v>#REF!</v>
      </c>
      <c r="CJ183" t="e">
        <f>AND(#REF!,"AAAAAH77Y1c=")</f>
        <v>#REF!</v>
      </c>
      <c r="CK183" t="e">
        <f>AND(#REF!,"AAAAAH77Y1g=")</f>
        <v>#REF!</v>
      </c>
      <c r="CL183" t="e">
        <f>AND(#REF!,"AAAAAH77Y1k=")</f>
        <v>#REF!</v>
      </c>
      <c r="CM183" t="e">
        <f>AND(#REF!,"AAAAAH77Y1o=")</f>
        <v>#REF!</v>
      </c>
      <c r="CN183" t="e">
        <f>AND(#REF!,"AAAAAH77Y1s=")</f>
        <v>#REF!</v>
      </c>
      <c r="CO183" t="e">
        <f>AND(#REF!,"AAAAAH77Y1w=")</f>
        <v>#REF!</v>
      </c>
      <c r="CP183" t="e">
        <f>AND(#REF!,"AAAAAH77Y10=")</f>
        <v>#REF!</v>
      </c>
      <c r="CQ183" t="e">
        <f>AND(#REF!,"AAAAAH77Y14=")</f>
        <v>#REF!</v>
      </c>
      <c r="CR183" t="e">
        <f>AND(#REF!,"AAAAAH77Y18=")</f>
        <v>#REF!</v>
      </c>
      <c r="CS183" t="e">
        <f>AND(#REF!,"AAAAAH77Y2A=")</f>
        <v>#REF!</v>
      </c>
      <c r="CT183" t="e">
        <f>AND(#REF!,"AAAAAH77Y2E=")</f>
        <v>#REF!</v>
      </c>
      <c r="CU183" t="e">
        <f>AND(#REF!,"AAAAAH77Y2I=")</f>
        <v>#REF!</v>
      </c>
      <c r="CV183" t="e">
        <f>AND(#REF!,"AAAAAH77Y2M=")</f>
        <v>#REF!</v>
      </c>
      <c r="CW183" t="e">
        <f>AND(#REF!,"AAAAAH77Y2Q=")</f>
        <v>#REF!</v>
      </c>
      <c r="CX183" t="e">
        <f>AND(#REF!,"AAAAAH77Y2U=")</f>
        <v>#REF!</v>
      </c>
      <c r="CY183" t="e">
        <f>AND(#REF!,"AAAAAH77Y2Y=")</f>
        <v>#REF!</v>
      </c>
      <c r="CZ183" t="e">
        <f>AND(#REF!,"AAAAAH77Y2c=")</f>
        <v>#REF!</v>
      </c>
      <c r="DA183" t="e">
        <f>AND(#REF!,"AAAAAH77Y2g=")</f>
        <v>#REF!</v>
      </c>
      <c r="DB183" t="e">
        <f>AND(#REF!,"AAAAAH77Y2k=")</f>
        <v>#REF!</v>
      </c>
      <c r="DC183" t="e">
        <f>AND(#REF!,"AAAAAH77Y2o=")</f>
        <v>#REF!</v>
      </c>
      <c r="DD183" t="e">
        <f>AND(#REF!,"AAAAAH77Y2s=")</f>
        <v>#REF!</v>
      </c>
      <c r="DE183" t="e">
        <f>AND(#REF!,"AAAAAH77Y2w=")</f>
        <v>#REF!</v>
      </c>
      <c r="DF183" t="e">
        <f>AND(#REF!,"AAAAAH77Y20=")</f>
        <v>#REF!</v>
      </c>
      <c r="DG183" t="e">
        <f>AND(#REF!,"AAAAAH77Y24=")</f>
        <v>#REF!</v>
      </c>
      <c r="DH183" t="e">
        <f>AND(#REF!,"AAAAAH77Y28=")</f>
        <v>#REF!</v>
      </c>
      <c r="DI183" t="e">
        <f>AND(#REF!,"AAAAAH77Y3A=")</f>
        <v>#REF!</v>
      </c>
      <c r="DJ183" t="e">
        <f>AND(#REF!,"AAAAAH77Y3E=")</f>
        <v>#REF!</v>
      </c>
      <c r="DK183" t="e">
        <f>AND(#REF!,"AAAAAH77Y3I=")</f>
        <v>#REF!</v>
      </c>
      <c r="DL183" t="e">
        <f>AND(#REF!,"AAAAAH77Y3M=")</f>
        <v>#REF!</v>
      </c>
      <c r="DM183" t="e">
        <f>AND(#REF!,"AAAAAH77Y3Q=")</f>
        <v>#REF!</v>
      </c>
      <c r="DN183" t="e">
        <f>AND(#REF!,"AAAAAH77Y3U=")</f>
        <v>#REF!</v>
      </c>
      <c r="DO183" t="e">
        <f>AND(#REF!,"AAAAAH77Y3Y=")</f>
        <v>#REF!</v>
      </c>
      <c r="DP183" t="e">
        <f>AND(#REF!,"AAAAAH77Y3c=")</f>
        <v>#REF!</v>
      </c>
      <c r="DQ183" t="e">
        <f>AND(#REF!,"AAAAAH77Y3g=")</f>
        <v>#REF!</v>
      </c>
      <c r="DR183" t="e">
        <f>AND(#REF!,"AAAAAH77Y3k=")</f>
        <v>#REF!</v>
      </c>
      <c r="DS183" t="e">
        <f>AND(#REF!,"AAAAAH77Y3o=")</f>
        <v>#REF!</v>
      </c>
      <c r="DT183" t="e">
        <f>AND(#REF!,"AAAAAH77Y3s=")</f>
        <v>#REF!</v>
      </c>
      <c r="DU183" t="e">
        <f>AND(#REF!,"AAAAAH77Y3w=")</f>
        <v>#REF!</v>
      </c>
      <c r="DV183" t="e">
        <f>AND(#REF!,"AAAAAH77Y30=")</f>
        <v>#REF!</v>
      </c>
      <c r="DW183" t="e">
        <f>AND(#REF!,"AAAAAH77Y34=")</f>
        <v>#REF!</v>
      </c>
      <c r="DX183" t="e">
        <f>AND(#REF!,"AAAAAH77Y38=")</f>
        <v>#REF!</v>
      </c>
      <c r="DY183" t="e">
        <f>AND(#REF!,"AAAAAH77Y4A=")</f>
        <v>#REF!</v>
      </c>
      <c r="DZ183" t="e">
        <f>AND(#REF!,"AAAAAH77Y4E=")</f>
        <v>#REF!</v>
      </c>
      <c r="EA183" t="e">
        <f>AND(#REF!,"AAAAAH77Y4I=")</f>
        <v>#REF!</v>
      </c>
      <c r="EB183" t="e">
        <f>AND(#REF!,"AAAAAH77Y4M=")</f>
        <v>#REF!</v>
      </c>
      <c r="EC183" t="e">
        <f>AND(#REF!,"AAAAAH77Y4Q=")</f>
        <v>#REF!</v>
      </c>
      <c r="ED183" t="e">
        <f>AND(#REF!,"AAAAAH77Y4U=")</f>
        <v>#REF!</v>
      </c>
      <c r="EE183" t="e">
        <f>AND(#REF!,"AAAAAH77Y4Y=")</f>
        <v>#REF!</v>
      </c>
      <c r="EF183" t="e">
        <f>AND(#REF!,"AAAAAH77Y4c=")</f>
        <v>#REF!</v>
      </c>
      <c r="EG183" t="e">
        <f>AND(#REF!,"AAAAAH77Y4g=")</f>
        <v>#REF!</v>
      </c>
      <c r="EH183" t="e">
        <f>AND(#REF!,"AAAAAH77Y4k=")</f>
        <v>#REF!</v>
      </c>
      <c r="EI183" t="e">
        <f>AND(#REF!,"AAAAAH77Y4o=")</f>
        <v>#REF!</v>
      </c>
      <c r="EJ183" t="e">
        <f>AND(#REF!,"AAAAAH77Y4s=")</f>
        <v>#REF!</v>
      </c>
      <c r="EK183" t="e">
        <f>AND(#REF!,"AAAAAH77Y4w=")</f>
        <v>#REF!</v>
      </c>
      <c r="EL183" t="e">
        <f>AND(#REF!,"AAAAAH77Y40=")</f>
        <v>#REF!</v>
      </c>
      <c r="EM183" t="e">
        <f>AND(#REF!,"AAAAAH77Y44=")</f>
        <v>#REF!</v>
      </c>
      <c r="EN183" t="e">
        <f>AND(#REF!,"AAAAAH77Y48=")</f>
        <v>#REF!</v>
      </c>
      <c r="EO183" t="e">
        <f>AND(#REF!,"AAAAAH77Y5A=")</f>
        <v>#REF!</v>
      </c>
      <c r="EP183" t="e">
        <f>AND(#REF!,"AAAAAH77Y5E=")</f>
        <v>#REF!</v>
      </c>
      <c r="EQ183" t="e">
        <f>AND(#REF!,"AAAAAH77Y5I=")</f>
        <v>#REF!</v>
      </c>
      <c r="ER183" t="e">
        <f>AND(#REF!,"AAAAAH77Y5M=")</f>
        <v>#REF!</v>
      </c>
      <c r="ES183" t="e">
        <f>AND(#REF!,"AAAAAH77Y5Q=")</f>
        <v>#REF!</v>
      </c>
      <c r="ET183" t="e">
        <f>AND(#REF!,"AAAAAH77Y5U=")</f>
        <v>#REF!</v>
      </c>
      <c r="EU183" t="e">
        <f>AND(#REF!,"AAAAAH77Y5Y=")</f>
        <v>#REF!</v>
      </c>
      <c r="EV183" t="e">
        <f>AND(#REF!,"AAAAAH77Y5c=")</f>
        <v>#REF!</v>
      </c>
      <c r="EW183" t="e">
        <f>AND(#REF!,"AAAAAH77Y5g=")</f>
        <v>#REF!</v>
      </c>
      <c r="EX183" t="e">
        <f>AND(#REF!,"AAAAAH77Y5k=")</f>
        <v>#REF!</v>
      </c>
      <c r="EY183" t="e">
        <f>AND(#REF!,"AAAAAH77Y5o=")</f>
        <v>#REF!</v>
      </c>
      <c r="EZ183" t="e">
        <f>AND(#REF!,"AAAAAH77Y5s=")</f>
        <v>#REF!</v>
      </c>
      <c r="FA183" t="e">
        <f>AND(#REF!,"AAAAAH77Y5w=")</f>
        <v>#REF!</v>
      </c>
      <c r="FB183" t="e">
        <f>AND(#REF!,"AAAAAH77Y50=")</f>
        <v>#REF!</v>
      </c>
      <c r="FC183" t="e">
        <f>AND(#REF!,"AAAAAH77Y54=")</f>
        <v>#REF!</v>
      </c>
      <c r="FD183" t="e">
        <f>AND(#REF!,"AAAAAH77Y58=")</f>
        <v>#REF!</v>
      </c>
      <c r="FE183" t="e">
        <f>AND(#REF!,"AAAAAH77Y6A=")</f>
        <v>#REF!</v>
      </c>
      <c r="FF183" t="e">
        <f>AND(#REF!,"AAAAAH77Y6E=")</f>
        <v>#REF!</v>
      </c>
      <c r="FG183" t="e">
        <f>AND(#REF!,"AAAAAH77Y6I=")</f>
        <v>#REF!</v>
      </c>
      <c r="FH183" t="e">
        <f>AND(#REF!,"AAAAAH77Y6M=")</f>
        <v>#REF!</v>
      </c>
      <c r="FI183" t="e">
        <f>AND(#REF!,"AAAAAH77Y6Q=")</f>
        <v>#REF!</v>
      </c>
      <c r="FJ183" t="e">
        <f>AND(#REF!,"AAAAAH77Y6U=")</f>
        <v>#REF!</v>
      </c>
      <c r="FK183" t="e">
        <f>AND(#REF!,"AAAAAH77Y6Y=")</f>
        <v>#REF!</v>
      </c>
      <c r="FL183" t="e">
        <f>AND(#REF!,"AAAAAH77Y6c=")</f>
        <v>#REF!</v>
      </c>
      <c r="FM183" t="e">
        <f>AND(#REF!,"AAAAAH77Y6g=")</f>
        <v>#REF!</v>
      </c>
      <c r="FN183" t="e">
        <f>AND(#REF!,"AAAAAH77Y6k=")</f>
        <v>#REF!</v>
      </c>
      <c r="FO183" t="e">
        <f>AND(#REF!,"AAAAAH77Y6o=")</f>
        <v>#REF!</v>
      </c>
      <c r="FP183" t="e">
        <f>AND(#REF!,"AAAAAH77Y6s=")</f>
        <v>#REF!</v>
      </c>
      <c r="FQ183" t="e">
        <f>AND(#REF!,"AAAAAH77Y6w=")</f>
        <v>#REF!</v>
      </c>
      <c r="FR183" t="e">
        <f>AND(#REF!,"AAAAAH77Y60=")</f>
        <v>#REF!</v>
      </c>
      <c r="FS183" t="e">
        <f>AND(#REF!,"AAAAAH77Y64=")</f>
        <v>#REF!</v>
      </c>
      <c r="FT183" t="e">
        <f>AND(#REF!,"AAAAAH77Y68=")</f>
        <v>#REF!</v>
      </c>
      <c r="FU183" t="e">
        <f>AND(#REF!,"AAAAAH77Y7A=")</f>
        <v>#REF!</v>
      </c>
      <c r="FV183" t="e">
        <f>AND(#REF!,"AAAAAH77Y7E=")</f>
        <v>#REF!</v>
      </c>
      <c r="FW183" t="e">
        <f>AND(#REF!,"AAAAAH77Y7I=")</f>
        <v>#REF!</v>
      </c>
      <c r="FX183" t="e">
        <f>AND(#REF!,"AAAAAH77Y7M=")</f>
        <v>#REF!</v>
      </c>
      <c r="FY183" t="e">
        <f>AND(#REF!,"AAAAAH77Y7Q=")</f>
        <v>#REF!</v>
      </c>
      <c r="FZ183" t="e">
        <f>AND(#REF!,"AAAAAH77Y7U=")</f>
        <v>#REF!</v>
      </c>
      <c r="GA183" t="e">
        <f>AND(#REF!,"AAAAAH77Y7Y=")</f>
        <v>#REF!</v>
      </c>
      <c r="GB183" t="e">
        <f>AND(#REF!,"AAAAAH77Y7c=")</f>
        <v>#REF!</v>
      </c>
      <c r="GC183" t="e">
        <f>AND(#REF!,"AAAAAH77Y7g=")</f>
        <v>#REF!</v>
      </c>
      <c r="GD183" t="e">
        <f>AND(#REF!,"AAAAAH77Y7k=")</f>
        <v>#REF!</v>
      </c>
      <c r="GE183" t="e">
        <f>AND(#REF!,"AAAAAH77Y7o=")</f>
        <v>#REF!</v>
      </c>
      <c r="GF183" t="e">
        <f>AND(#REF!,"AAAAAH77Y7s=")</f>
        <v>#REF!</v>
      </c>
      <c r="GG183" t="e">
        <f>AND(#REF!,"AAAAAH77Y7w=")</f>
        <v>#REF!</v>
      </c>
      <c r="GH183" t="e">
        <f>AND(#REF!,"AAAAAH77Y70=")</f>
        <v>#REF!</v>
      </c>
      <c r="GI183" t="e">
        <f>AND(#REF!,"AAAAAH77Y74=")</f>
        <v>#REF!</v>
      </c>
      <c r="GJ183" t="e">
        <f>AND(#REF!,"AAAAAH77Y78=")</f>
        <v>#REF!</v>
      </c>
      <c r="GK183" t="e">
        <f>AND(#REF!,"AAAAAH77Y8A=")</f>
        <v>#REF!</v>
      </c>
      <c r="GL183" t="e">
        <f>AND(#REF!,"AAAAAH77Y8E=")</f>
        <v>#REF!</v>
      </c>
      <c r="GM183" t="e">
        <f>AND(#REF!,"AAAAAH77Y8I=")</f>
        <v>#REF!</v>
      </c>
      <c r="GN183" t="e">
        <f>AND(#REF!,"AAAAAH77Y8M=")</f>
        <v>#REF!</v>
      </c>
      <c r="GO183" t="e">
        <f>AND(#REF!,"AAAAAH77Y8Q=")</f>
        <v>#REF!</v>
      </c>
      <c r="GP183" t="e">
        <f>AND(#REF!,"AAAAAH77Y8U=")</f>
        <v>#REF!</v>
      </c>
      <c r="GQ183" t="e">
        <f>AND(#REF!,"AAAAAH77Y8Y=")</f>
        <v>#REF!</v>
      </c>
      <c r="GR183" t="e">
        <f>AND(#REF!,"AAAAAH77Y8c=")</f>
        <v>#REF!</v>
      </c>
      <c r="GS183" t="e">
        <f>AND(#REF!,"AAAAAH77Y8g=")</f>
        <v>#REF!</v>
      </c>
      <c r="GT183" t="e">
        <f>AND(#REF!,"AAAAAH77Y8k=")</f>
        <v>#REF!</v>
      </c>
      <c r="GU183" t="e">
        <f>AND(#REF!,"AAAAAH77Y8o=")</f>
        <v>#REF!</v>
      </c>
      <c r="GV183" t="e">
        <f>AND(#REF!,"AAAAAH77Y8s=")</f>
        <v>#REF!</v>
      </c>
      <c r="GW183" t="e">
        <f>AND(#REF!,"AAAAAH77Y8w=")</f>
        <v>#REF!</v>
      </c>
      <c r="GX183" t="e">
        <f>AND(#REF!,"AAAAAH77Y80=")</f>
        <v>#REF!</v>
      </c>
      <c r="GY183" t="e">
        <f>AND(#REF!,"AAAAAH77Y84=")</f>
        <v>#REF!</v>
      </c>
      <c r="GZ183" t="e">
        <f>AND(#REF!,"AAAAAH77Y88=")</f>
        <v>#REF!</v>
      </c>
      <c r="HA183" t="e">
        <f>AND(#REF!,"AAAAAH77Y9A=")</f>
        <v>#REF!</v>
      </c>
      <c r="HB183" t="e">
        <f>AND(#REF!,"AAAAAH77Y9E=")</f>
        <v>#REF!</v>
      </c>
      <c r="HC183" t="e">
        <f>AND(#REF!,"AAAAAH77Y9I=")</f>
        <v>#REF!</v>
      </c>
      <c r="HD183" t="e">
        <f>AND(#REF!,"AAAAAH77Y9M=")</f>
        <v>#REF!</v>
      </c>
      <c r="HE183" t="e">
        <f>AND(#REF!,"AAAAAH77Y9Q=")</f>
        <v>#REF!</v>
      </c>
      <c r="HF183" t="e">
        <f>AND(#REF!,"AAAAAH77Y9U=")</f>
        <v>#REF!</v>
      </c>
      <c r="HG183" t="e">
        <f>AND(#REF!,"AAAAAH77Y9Y=")</f>
        <v>#REF!</v>
      </c>
      <c r="HH183" t="e">
        <f>AND(#REF!,"AAAAAH77Y9c=")</f>
        <v>#REF!</v>
      </c>
      <c r="HI183" t="e">
        <f>AND(#REF!,"AAAAAH77Y9g=")</f>
        <v>#REF!</v>
      </c>
      <c r="HJ183" t="e">
        <f>AND(#REF!,"AAAAAH77Y9k=")</f>
        <v>#REF!</v>
      </c>
      <c r="HK183" t="e">
        <f>AND(#REF!,"AAAAAH77Y9o=")</f>
        <v>#REF!</v>
      </c>
      <c r="HL183" t="e">
        <f>AND(#REF!,"AAAAAH77Y9s=")</f>
        <v>#REF!</v>
      </c>
      <c r="HM183" t="e">
        <f>AND(#REF!,"AAAAAH77Y9w=")</f>
        <v>#REF!</v>
      </c>
      <c r="HN183" t="e">
        <f>AND(#REF!,"AAAAAH77Y90=")</f>
        <v>#REF!</v>
      </c>
      <c r="HO183" t="e">
        <f>AND(#REF!,"AAAAAH77Y94=")</f>
        <v>#REF!</v>
      </c>
      <c r="HP183" t="e">
        <f>AND(#REF!,"AAAAAH77Y98=")</f>
        <v>#REF!</v>
      </c>
      <c r="HQ183" t="e">
        <f>AND(#REF!,"AAAAAH77Y+A=")</f>
        <v>#REF!</v>
      </c>
      <c r="HR183" t="e">
        <f>AND(#REF!,"AAAAAH77Y+E=")</f>
        <v>#REF!</v>
      </c>
      <c r="HS183" t="e">
        <f>AND(#REF!,"AAAAAH77Y+I=")</f>
        <v>#REF!</v>
      </c>
      <c r="HT183" t="e">
        <f>AND(#REF!,"AAAAAH77Y+M=")</f>
        <v>#REF!</v>
      </c>
      <c r="HU183" t="e">
        <f>AND(#REF!,"AAAAAH77Y+Q=")</f>
        <v>#REF!</v>
      </c>
      <c r="HV183" t="e">
        <f>AND(#REF!,"AAAAAH77Y+U=")</f>
        <v>#REF!</v>
      </c>
      <c r="HW183" t="e">
        <f>AND(#REF!,"AAAAAH77Y+Y=")</f>
        <v>#REF!</v>
      </c>
      <c r="HX183" t="e">
        <f>AND(#REF!,"AAAAAH77Y+c=")</f>
        <v>#REF!</v>
      </c>
      <c r="HY183" t="e">
        <f>AND(#REF!,"AAAAAH77Y+g=")</f>
        <v>#REF!</v>
      </c>
      <c r="HZ183" t="e">
        <f>AND(#REF!,"AAAAAH77Y+k=")</f>
        <v>#REF!</v>
      </c>
      <c r="IA183" t="e">
        <f>AND(#REF!,"AAAAAH77Y+o=")</f>
        <v>#REF!</v>
      </c>
      <c r="IB183" t="e">
        <f>AND(#REF!,"AAAAAH77Y+s=")</f>
        <v>#REF!</v>
      </c>
      <c r="IC183" t="e">
        <f>AND(#REF!,"AAAAAH77Y+w=")</f>
        <v>#REF!</v>
      </c>
      <c r="ID183" t="e">
        <f>AND(#REF!,"AAAAAH77Y+0=")</f>
        <v>#REF!</v>
      </c>
      <c r="IE183" t="e">
        <f>AND(#REF!,"AAAAAH77Y+4=")</f>
        <v>#REF!</v>
      </c>
      <c r="IF183" t="e">
        <f>AND(#REF!,"AAAAAH77Y+8=")</f>
        <v>#REF!</v>
      </c>
      <c r="IG183" t="e">
        <f>AND(#REF!,"AAAAAH77Y/A=")</f>
        <v>#REF!</v>
      </c>
      <c r="IH183" t="e">
        <f>AND(#REF!,"AAAAAH77Y/E=")</f>
        <v>#REF!</v>
      </c>
      <c r="II183" t="e">
        <f>AND(#REF!,"AAAAAH77Y/I=")</f>
        <v>#REF!</v>
      </c>
      <c r="IJ183" t="e">
        <f>AND(#REF!,"AAAAAH77Y/M=")</f>
        <v>#REF!</v>
      </c>
      <c r="IK183" t="e">
        <f>AND(#REF!,"AAAAAH77Y/Q=")</f>
        <v>#REF!</v>
      </c>
      <c r="IL183" t="e">
        <f>AND(#REF!,"AAAAAH77Y/U=")</f>
        <v>#REF!</v>
      </c>
      <c r="IM183" t="e">
        <f>AND(#REF!,"AAAAAH77Y/Y=")</f>
        <v>#REF!</v>
      </c>
      <c r="IN183" t="e">
        <f>AND(#REF!,"AAAAAH77Y/c=")</f>
        <v>#REF!</v>
      </c>
      <c r="IO183" t="e">
        <f>AND(#REF!,"AAAAAH77Y/g=")</f>
        <v>#REF!</v>
      </c>
      <c r="IP183" t="e">
        <f>AND(#REF!,"AAAAAH77Y/k=")</f>
        <v>#REF!</v>
      </c>
      <c r="IQ183" t="e">
        <f>AND(#REF!,"AAAAAH77Y/o=")</f>
        <v>#REF!</v>
      </c>
      <c r="IR183" t="e">
        <f>AND(#REF!,"AAAAAH77Y/s=")</f>
        <v>#REF!</v>
      </c>
      <c r="IS183" t="e">
        <f>AND(#REF!,"AAAAAH77Y/w=")</f>
        <v>#REF!</v>
      </c>
      <c r="IT183" t="e">
        <f>AND(#REF!,"AAAAAH77Y/0=")</f>
        <v>#REF!</v>
      </c>
      <c r="IU183" t="e">
        <f>AND(#REF!,"AAAAAH77Y/4=")</f>
        <v>#REF!</v>
      </c>
      <c r="IV183" t="e">
        <f>AND(#REF!,"AAAAAH77Y/8=")</f>
        <v>#REF!</v>
      </c>
    </row>
    <row r="184" spans="1:256" x14ac:dyDescent="0.2">
      <c r="A184" t="e">
        <f>AND(#REF!,"AAAAAH9+1wA=")</f>
        <v>#REF!</v>
      </c>
      <c r="B184" t="e">
        <f>AND(#REF!,"AAAAAH9+1wE=")</f>
        <v>#REF!</v>
      </c>
      <c r="C184" t="e">
        <f>AND(#REF!,"AAAAAH9+1wI=")</f>
        <v>#REF!</v>
      </c>
      <c r="D184" t="e">
        <f>AND(#REF!,"AAAAAH9+1wM=")</f>
        <v>#REF!</v>
      </c>
      <c r="E184" t="e">
        <f>AND(#REF!,"AAAAAH9+1wQ=")</f>
        <v>#REF!</v>
      </c>
      <c r="F184" t="e">
        <f>AND(#REF!,"AAAAAH9+1wU=")</f>
        <v>#REF!</v>
      </c>
      <c r="G184" t="e">
        <f>AND(#REF!,"AAAAAH9+1wY=")</f>
        <v>#REF!</v>
      </c>
      <c r="H184" t="e">
        <f>AND(#REF!,"AAAAAH9+1wc=")</f>
        <v>#REF!</v>
      </c>
      <c r="I184" t="e">
        <f>AND(#REF!,"AAAAAH9+1wg=")</f>
        <v>#REF!</v>
      </c>
      <c r="J184" t="e">
        <f>AND(#REF!,"AAAAAH9+1wk=")</f>
        <v>#REF!</v>
      </c>
      <c r="K184" t="e">
        <f>AND(#REF!,"AAAAAH9+1wo=")</f>
        <v>#REF!</v>
      </c>
      <c r="L184" t="e">
        <f>AND(#REF!,"AAAAAH9+1ws=")</f>
        <v>#REF!</v>
      </c>
      <c r="M184" t="e">
        <f>AND(#REF!,"AAAAAH9+1ww=")</f>
        <v>#REF!</v>
      </c>
      <c r="N184" t="e">
        <f>AND(#REF!,"AAAAAH9+1w0=")</f>
        <v>#REF!</v>
      </c>
      <c r="O184" t="e">
        <f>AND(#REF!,"AAAAAH9+1w4=")</f>
        <v>#REF!</v>
      </c>
      <c r="P184" t="e">
        <f>AND(#REF!,"AAAAAH9+1w8=")</f>
        <v>#REF!</v>
      </c>
      <c r="Q184" t="e">
        <f>AND(#REF!,"AAAAAH9+1xA=")</f>
        <v>#REF!</v>
      </c>
      <c r="R184" t="e">
        <f>AND(#REF!,"AAAAAH9+1xE=")</f>
        <v>#REF!</v>
      </c>
      <c r="S184" t="e">
        <f>AND(#REF!,"AAAAAH9+1xI=")</f>
        <v>#REF!</v>
      </c>
      <c r="T184" t="e">
        <f>AND(#REF!,"AAAAAH9+1xM=")</f>
        <v>#REF!</v>
      </c>
      <c r="U184" t="e">
        <f>AND(#REF!,"AAAAAH9+1xQ=")</f>
        <v>#REF!</v>
      </c>
      <c r="V184" t="e">
        <f>AND(#REF!,"AAAAAH9+1xU=")</f>
        <v>#REF!</v>
      </c>
      <c r="W184" t="e">
        <f>AND(#REF!,"AAAAAH9+1xY=")</f>
        <v>#REF!</v>
      </c>
      <c r="X184" t="e">
        <f>AND(#REF!,"AAAAAH9+1xc=")</f>
        <v>#REF!</v>
      </c>
      <c r="Y184" t="e">
        <f>AND(#REF!,"AAAAAH9+1xg=")</f>
        <v>#REF!</v>
      </c>
      <c r="Z184" t="e">
        <f>AND(#REF!,"AAAAAH9+1xk=")</f>
        <v>#REF!</v>
      </c>
      <c r="AA184" t="e">
        <f>AND(#REF!,"AAAAAH9+1xo=")</f>
        <v>#REF!</v>
      </c>
      <c r="AB184" t="e">
        <f>AND(#REF!,"AAAAAH9+1xs=")</f>
        <v>#REF!</v>
      </c>
      <c r="AC184" t="e">
        <f>AND(#REF!,"AAAAAH9+1xw=")</f>
        <v>#REF!</v>
      </c>
      <c r="AD184" t="e">
        <f>AND(#REF!,"AAAAAH9+1x0=")</f>
        <v>#REF!</v>
      </c>
      <c r="AE184" t="e">
        <f>AND(#REF!,"AAAAAH9+1x4=")</f>
        <v>#REF!</v>
      </c>
      <c r="AF184" t="e">
        <f>AND(#REF!,"AAAAAH9+1x8=")</f>
        <v>#REF!</v>
      </c>
      <c r="AG184" t="e">
        <f>AND(#REF!,"AAAAAH9+1yA=")</f>
        <v>#REF!</v>
      </c>
      <c r="AH184" t="e">
        <f>AND(#REF!,"AAAAAH9+1yE=")</f>
        <v>#REF!</v>
      </c>
      <c r="AI184" t="e">
        <f>AND(#REF!,"AAAAAH9+1yI=")</f>
        <v>#REF!</v>
      </c>
      <c r="AJ184" t="e">
        <f>AND(#REF!,"AAAAAH9+1yM=")</f>
        <v>#REF!</v>
      </c>
      <c r="AK184" t="e">
        <f>AND(#REF!,"AAAAAH9+1yQ=")</f>
        <v>#REF!</v>
      </c>
      <c r="AL184" t="e">
        <f>AND(#REF!,"AAAAAH9+1yU=")</f>
        <v>#REF!</v>
      </c>
      <c r="AM184" t="e">
        <f>AND(#REF!,"AAAAAH9+1yY=")</f>
        <v>#REF!</v>
      </c>
      <c r="AN184" t="e">
        <f>AND(#REF!,"AAAAAH9+1yc=")</f>
        <v>#REF!</v>
      </c>
      <c r="AO184" t="e">
        <f>AND(#REF!,"AAAAAH9+1yg=")</f>
        <v>#REF!</v>
      </c>
      <c r="AP184" t="e">
        <f>AND(#REF!,"AAAAAH9+1yk=")</f>
        <v>#REF!</v>
      </c>
      <c r="AQ184" t="e">
        <f>AND(#REF!,"AAAAAH9+1yo=")</f>
        <v>#REF!</v>
      </c>
      <c r="AR184" t="e">
        <f>AND(#REF!,"AAAAAH9+1ys=")</f>
        <v>#REF!</v>
      </c>
      <c r="AS184" t="e">
        <f>AND(#REF!,"AAAAAH9+1yw=")</f>
        <v>#REF!</v>
      </c>
      <c r="AT184" t="e">
        <f>AND(#REF!,"AAAAAH9+1y0=")</f>
        <v>#REF!</v>
      </c>
      <c r="AU184" t="e">
        <f>AND(#REF!,"AAAAAH9+1y4=")</f>
        <v>#REF!</v>
      </c>
      <c r="AV184" t="e">
        <f>AND(#REF!,"AAAAAH9+1y8=")</f>
        <v>#REF!</v>
      </c>
      <c r="AW184" t="e">
        <f>AND(#REF!,"AAAAAH9+1zA=")</f>
        <v>#REF!</v>
      </c>
      <c r="AX184" t="e">
        <f>AND(#REF!,"AAAAAH9+1zE=")</f>
        <v>#REF!</v>
      </c>
      <c r="AY184" t="e">
        <f>AND(#REF!,"AAAAAH9+1zI=")</f>
        <v>#REF!</v>
      </c>
      <c r="AZ184" t="e">
        <f>AND(#REF!,"AAAAAH9+1zM=")</f>
        <v>#REF!</v>
      </c>
      <c r="BA184" t="e">
        <f>AND(#REF!,"AAAAAH9+1zQ=")</f>
        <v>#REF!</v>
      </c>
      <c r="BB184" t="e">
        <f>AND(#REF!,"AAAAAH9+1zU=")</f>
        <v>#REF!</v>
      </c>
      <c r="BC184" t="e">
        <f>AND(#REF!,"AAAAAH9+1zY=")</f>
        <v>#REF!</v>
      </c>
      <c r="BD184" t="e">
        <f>AND(#REF!,"AAAAAH9+1zc=")</f>
        <v>#REF!</v>
      </c>
      <c r="BE184" t="e">
        <f>AND(#REF!,"AAAAAH9+1zg=")</f>
        <v>#REF!</v>
      </c>
      <c r="BF184" t="e">
        <f>AND(#REF!,"AAAAAH9+1zk=")</f>
        <v>#REF!</v>
      </c>
      <c r="BG184" t="e">
        <f>AND(#REF!,"AAAAAH9+1zo=")</f>
        <v>#REF!</v>
      </c>
      <c r="BH184" t="e">
        <f>AND(#REF!,"AAAAAH9+1zs=")</f>
        <v>#REF!</v>
      </c>
      <c r="BI184" t="e">
        <f>AND(#REF!,"AAAAAH9+1zw=")</f>
        <v>#REF!</v>
      </c>
      <c r="BJ184" t="e">
        <f>AND(#REF!,"AAAAAH9+1z0=")</f>
        <v>#REF!</v>
      </c>
      <c r="BK184" t="e">
        <f>AND(#REF!,"AAAAAH9+1z4=")</f>
        <v>#REF!</v>
      </c>
      <c r="BL184" t="e">
        <f>AND(#REF!,"AAAAAH9+1z8=")</f>
        <v>#REF!</v>
      </c>
      <c r="BM184" t="e">
        <f>AND(#REF!,"AAAAAH9+10A=")</f>
        <v>#REF!</v>
      </c>
      <c r="BN184" t="e">
        <f>AND(#REF!,"AAAAAH9+10E=")</f>
        <v>#REF!</v>
      </c>
      <c r="BO184" t="e">
        <f>AND(#REF!,"AAAAAH9+10I=")</f>
        <v>#REF!</v>
      </c>
      <c r="BP184" t="e">
        <f>AND(#REF!,"AAAAAH9+10M=")</f>
        <v>#REF!</v>
      </c>
      <c r="BQ184" t="e">
        <f>AND(#REF!,"AAAAAH9+10Q=")</f>
        <v>#REF!</v>
      </c>
      <c r="BR184" t="e">
        <f>AND(#REF!,"AAAAAH9+10U=")</f>
        <v>#REF!</v>
      </c>
      <c r="BS184" t="e">
        <f>AND(#REF!,"AAAAAH9+10Y=")</f>
        <v>#REF!</v>
      </c>
      <c r="BT184" t="e">
        <f>AND(#REF!,"AAAAAH9+10c=")</f>
        <v>#REF!</v>
      </c>
      <c r="BU184" t="e">
        <f>AND(#REF!,"AAAAAH9+10g=")</f>
        <v>#REF!</v>
      </c>
      <c r="BV184" t="e">
        <f>AND(#REF!,"AAAAAH9+10k=")</f>
        <v>#REF!</v>
      </c>
      <c r="BW184" t="e">
        <f>AND(#REF!,"AAAAAH9+10o=")</f>
        <v>#REF!</v>
      </c>
      <c r="BX184" t="e">
        <f>AND(#REF!,"AAAAAH9+10s=")</f>
        <v>#REF!</v>
      </c>
      <c r="BY184" t="e">
        <f>AND(#REF!,"AAAAAH9+10w=")</f>
        <v>#REF!</v>
      </c>
      <c r="BZ184" t="e">
        <f>AND(#REF!,"AAAAAH9+100=")</f>
        <v>#REF!</v>
      </c>
      <c r="CA184" t="e">
        <f>AND(#REF!,"AAAAAH9+104=")</f>
        <v>#REF!</v>
      </c>
      <c r="CB184" t="e">
        <f>AND(#REF!,"AAAAAH9+108=")</f>
        <v>#REF!</v>
      </c>
      <c r="CC184" t="e">
        <f>AND(#REF!,"AAAAAH9+11A=")</f>
        <v>#REF!</v>
      </c>
      <c r="CD184" t="e">
        <f>AND(#REF!,"AAAAAH9+11E=")</f>
        <v>#REF!</v>
      </c>
      <c r="CE184" t="e">
        <f>AND(#REF!,"AAAAAH9+11I=")</f>
        <v>#REF!</v>
      </c>
      <c r="CF184" t="e">
        <f>AND(#REF!,"AAAAAH9+11M=")</f>
        <v>#REF!</v>
      </c>
      <c r="CG184" t="e">
        <f>AND(#REF!,"AAAAAH9+11Q=")</f>
        <v>#REF!</v>
      </c>
      <c r="CH184" t="e">
        <f>AND(#REF!,"AAAAAH9+11U=")</f>
        <v>#REF!</v>
      </c>
      <c r="CI184" t="e">
        <f>AND(#REF!,"AAAAAH9+11Y=")</f>
        <v>#REF!</v>
      </c>
      <c r="CJ184" t="e">
        <f>AND(#REF!,"AAAAAH9+11c=")</f>
        <v>#REF!</v>
      </c>
      <c r="CK184" t="e">
        <f>AND(#REF!,"AAAAAH9+11g=")</f>
        <v>#REF!</v>
      </c>
      <c r="CL184" t="e">
        <f>AND(#REF!,"AAAAAH9+11k=")</f>
        <v>#REF!</v>
      </c>
      <c r="CM184" t="e">
        <f>AND(#REF!,"AAAAAH9+11o=")</f>
        <v>#REF!</v>
      </c>
      <c r="CN184" t="e">
        <f>AND(#REF!,"AAAAAH9+11s=")</f>
        <v>#REF!</v>
      </c>
      <c r="CO184" t="e">
        <f>AND(#REF!,"AAAAAH9+11w=")</f>
        <v>#REF!</v>
      </c>
      <c r="CP184" t="e">
        <f>AND(#REF!,"AAAAAH9+110=")</f>
        <v>#REF!</v>
      </c>
      <c r="CQ184" t="e">
        <f>AND(#REF!,"AAAAAH9+114=")</f>
        <v>#REF!</v>
      </c>
      <c r="CR184" t="e">
        <f>AND(#REF!,"AAAAAH9+118=")</f>
        <v>#REF!</v>
      </c>
      <c r="CS184" t="e">
        <f>AND(#REF!,"AAAAAH9+12A=")</f>
        <v>#REF!</v>
      </c>
      <c r="CT184" t="e">
        <f>AND(#REF!,"AAAAAH9+12E=")</f>
        <v>#REF!</v>
      </c>
      <c r="CU184" t="e">
        <f>AND(#REF!,"AAAAAH9+12I=")</f>
        <v>#REF!</v>
      </c>
      <c r="CV184" t="e">
        <f>AND(#REF!,"AAAAAH9+12M=")</f>
        <v>#REF!</v>
      </c>
      <c r="CW184" t="e">
        <f>AND(#REF!,"AAAAAH9+12Q=")</f>
        <v>#REF!</v>
      </c>
      <c r="CX184" t="e">
        <f>AND(#REF!,"AAAAAH9+12U=")</f>
        <v>#REF!</v>
      </c>
      <c r="CY184" t="e">
        <f>AND(#REF!,"AAAAAH9+12Y=")</f>
        <v>#REF!</v>
      </c>
      <c r="CZ184" t="e">
        <f>AND(#REF!,"AAAAAH9+12c=")</f>
        <v>#REF!</v>
      </c>
      <c r="DA184" t="e">
        <f>AND(#REF!,"AAAAAH9+12g=")</f>
        <v>#REF!</v>
      </c>
      <c r="DB184" t="e">
        <f>AND(#REF!,"AAAAAH9+12k=")</f>
        <v>#REF!</v>
      </c>
      <c r="DC184" t="e">
        <f>AND(#REF!,"AAAAAH9+12o=")</f>
        <v>#REF!</v>
      </c>
      <c r="DD184" t="e">
        <f>AND(#REF!,"AAAAAH9+12s=")</f>
        <v>#REF!</v>
      </c>
      <c r="DE184" t="e">
        <f>AND(#REF!,"AAAAAH9+12w=")</f>
        <v>#REF!</v>
      </c>
      <c r="DF184" t="e">
        <f>AND(#REF!,"AAAAAH9+120=")</f>
        <v>#REF!</v>
      </c>
      <c r="DG184" t="e">
        <f>AND(#REF!,"AAAAAH9+124=")</f>
        <v>#REF!</v>
      </c>
      <c r="DH184" t="e">
        <f>AND(#REF!,"AAAAAH9+128=")</f>
        <v>#REF!</v>
      </c>
      <c r="DI184" t="e">
        <f>AND(#REF!,"AAAAAH9+13A=")</f>
        <v>#REF!</v>
      </c>
      <c r="DJ184" t="e">
        <f>AND(#REF!,"AAAAAH9+13E=")</f>
        <v>#REF!</v>
      </c>
      <c r="DK184" t="e">
        <f>AND(#REF!,"AAAAAH9+13I=")</f>
        <v>#REF!</v>
      </c>
      <c r="DL184" t="e">
        <f>AND(#REF!,"AAAAAH9+13M=")</f>
        <v>#REF!</v>
      </c>
      <c r="DM184" t="e">
        <f>AND(#REF!,"AAAAAH9+13Q=")</f>
        <v>#REF!</v>
      </c>
      <c r="DN184" t="e">
        <f>AND(#REF!,"AAAAAH9+13U=")</f>
        <v>#REF!</v>
      </c>
      <c r="DO184" t="e">
        <f>AND(#REF!,"AAAAAH9+13Y=")</f>
        <v>#REF!</v>
      </c>
      <c r="DP184" t="e">
        <f>AND(#REF!,"AAAAAH9+13c=")</f>
        <v>#REF!</v>
      </c>
      <c r="DQ184" t="e">
        <f>AND(#REF!,"AAAAAH9+13g=")</f>
        <v>#REF!</v>
      </c>
      <c r="DR184" t="e">
        <f>AND(#REF!,"AAAAAH9+13k=")</f>
        <v>#REF!</v>
      </c>
      <c r="DS184" t="e">
        <f>AND(#REF!,"AAAAAH9+13o=")</f>
        <v>#REF!</v>
      </c>
      <c r="DT184" t="e">
        <f>AND(#REF!,"AAAAAH9+13s=")</f>
        <v>#REF!</v>
      </c>
      <c r="DU184" t="e">
        <f>AND(#REF!,"AAAAAH9+13w=")</f>
        <v>#REF!</v>
      </c>
      <c r="DV184" t="e">
        <f>AND(#REF!,"AAAAAH9+130=")</f>
        <v>#REF!</v>
      </c>
      <c r="DW184" t="e">
        <f>AND(#REF!,"AAAAAH9+134=")</f>
        <v>#REF!</v>
      </c>
      <c r="DX184" t="e">
        <f>AND(#REF!,"AAAAAH9+138=")</f>
        <v>#REF!</v>
      </c>
      <c r="DY184" t="e">
        <f>AND(#REF!,"AAAAAH9+14A=")</f>
        <v>#REF!</v>
      </c>
      <c r="DZ184" t="e">
        <f>AND(#REF!,"AAAAAH9+14E=")</f>
        <v>#REF!</v>
      </c>
      <c r="EA184" t="e">
        <f>AND(#REF!,"AAAAAH9+14I=")</f>
        <v>#REF!</v>
      </c>
      <c r="EB184" t="e">
        <f>AND(#REF!,"AAAAAH9+14M=")</f>
        <v>#REF!</v>
      </c>
      <c r="EC184" t="e">
        <f>AND(#REF!,"AAAAAH9+14Q=")</f>
        <v>#REF!</v>
      </c>
      <c r="ED184" t="e">
        <f>AND(#REF!,"AAAAAH9+14U=")</f>
        <v>#REF!</v>
      </c>
      <c r="EE184" t="e">
        <f>AND(#REF!,"AAAAAH9+14Y=")</f>
        <v>#REF!</v>
      </c>
      <c r="EF184" t="e">
        <f>AND(#REF!,"AAAAAH9+14c=")</f>
        <v>#REF!</v>
      </c>
      <c r="EG184" t="e">
        <f>AND(#REF!,"AAAAAH9+14g=")</f>
        <v>#REF!</v>
      </c>
      <c r="EH184" t="e">
        <f>AND(#REF!,"AAAAAH9+14k=")</f>
        <v>#REF!</v>
      </c>
      <c r="EI184" t="e">
        <f>AND(#REF!,"AAAAAH9+14o=")</f>
        <v>#REF!</v>
      </c>
      <c r="EJ184" t="e">
        <f>AND(#REF!,"AAAAAH9+14s=")</f>
        <v>#REF!</v>
      </c>
      <c r="EK184" t="e">
        <f>AND(#REF!,"AAAAAH9+14w=")</f>
        <v>#REF!</v>
      </c>
      <c r="EL184" t="e">
        <f>AND(#REF!,"AAAAAH9+140=")</f>
        <v>#REF!</v>
      </c>
      <c r="EM184" t="e">
        <f>AND(#REF!,"AAAAAH9+144=")</f>
        <v>#REF!</v>
      </c>
      <c r="EN184" t="e">
        <f>AND(#REF!,"AAAAAH9+148=")</f>
        <v>#REF!</v>
      </c>
      <c r="EO184" t="e">
        <f>AND(#REF!,"AAAAAH9+15A=")</f>
        <v>#REF!</v>
      </c>
      <c r="EP184" t="e">
        <f>AND(#REF!,"AAAAAH9+15E=")</f>
        <v>#REF!</v>
      </c>
      <c r="EQ184" t="e">
        <f>AND(#REF!,"AAAAAH9+15I=")</f>
        <v>#REF!</v>
      </c>
      <c r="ER184" t="e">
        <f>AND(#REF!,"AAAAAH9+15M=")</f>
        <v>#REF!</v>
      </c>
      <c r="ES184" t="e">
        <f>AND(#REF!,"AAAAAH9+15Q=")</f>
        <v>#REF!</v>
      </c>
      <c r="ET184" t="e">
        <f>AND(#REF!,"AAAAAH9+15U=")</f>
        <v>#REF!</v>
      </c>
      <c r="EU184" t="e">
        <f>AND(#REF!,"AAAAAH9+15Y=")</f>
        <v>#REF!</v>
      </c>
      <c r="EV184" t="e">
        <f>AND(#REF!,"AAAAAH9+15c=")</f>
        <v>#REF!</v>
      </c>
      <c r="EW184" t="e">
        <f>AND(#REF!,"AAAAAH9+15g=")</f>
        <v>#REF!</v>
      </c>
      <c r="EX184" t="e">
        <f>AND(#REF!,"AAAAAH9+15k=")</f>
        <v>#REF!</v>
      </c>
      <c r="EY184" t="e">
        <f>AND(#REF!,"AAAAAH9+15o=")</f>
        <v>#REF!</v>
      </c>
      <c r="EZ184" t="e">
        <f>AND(#REF!,"AAAAAH9+15s=")</f>
        <v>#REF!</v>
      </c>
      <c r="FA184" t="e">
        <f>AND(#REF!,"AAAAAH9+15w=")</f>
        <v>#REF!</v>
      </c>
      <c r="FB184" t="e">
        <f>AND(#REF!,"AAAAAH9+150=")</f>
        <v>#REF!</v>
      </c>
      <c r="FC184" t="e">
        <f>AND(#REF!,"AAAAAH9+154=")</f>
        <v>#REF!</v>
      </c>
      <c r="FD184" t="e">
        <f>AND(#REF!,"AAAAAH9+158=")</f>
        <v>#REF!</v>
      </c>
      <c r="FE184" t="e">
        <f>AND(#REF!,"AAAAAH9+16A=")</f>
        <v>#REF!</v>
      </c>
      <c r="FF184" t="e">
        <f>AND(#REF!,"AAAAAH9+16E=")</f>
        <v>#REF!</v>
      </c>
      <c r="FG184" t="e">
        <f>AND(#REF!,"AAAAAH9+16I=")</f>
        <v>#REF!</v>
      </c>
      <c r="FH184" t="e">
        <f>AND(#REF!,"AAAAAH9+16M=")</f>
        <v>#REF!</v>
      </c>
      <c r="FI184" t="e">
        <f>AND(#REF!,"AAAAAH9+16Q=")</f>
        <v>#REF!</v>
      </c>
      <c r="FJ184" t="e">
        <f>AND(#REF!,"AAAAAH9+16U=")</f>
        <v>#REF!</v>
      </c>
      <c r="FK184" t="e">
        <f>AND(#REF!,"AAAAAH9+16Y=")</f>
        <v>#REF!</v>
      </c>
      <c r="FL184" t="e">
        <f>AND(#REF!,"AAAAAH9+16c=")</f>
        <v>#REF!</v>
      </c>
      <c r="FM184" t="e">
        <f>AND(#REF!,"AAAAAH9+16g=")</f>
        <v>#REF!</v>
      </c>
      <c r="FN184" t="e">
        <f>AND(#REF!,"AAAAAH9+16k=")</f>
        <v>#REF!</v>
      </c>
      <c r="FO184" t="e">
        <f>AND(#REF!,"AAAAAH9+16o=")</f>
        <v>#REF!</v>
      </c>
      <c r="FP184" t="e">
        <f>AND(#REF!,"AAAAAH9+16s=")</f>
        <v>#REF!</v>
      </c>
      <c r="FQ184" t="e">
        <f>AND(#REF!,"AAAAAH9+16w=")</f>
        <v>#REF!</v>
      </c>
      <c r="FR184" t="e">
        <f>AND(#REF!,"AAAAAH9+160=")</f>
        <v>#REF!</v>
      </c>
      <c r="FS184" t="e">
        <f>AND(#REF!,"AAAAAH9+164=")</f>
        <v>#REF!</v>
      </c>
      <c r="FT184" t="e">
        <f>AND(#REF!,"AAAAAH9+168=")</f>
        <v>#REF!</v>
      </c>
      <c r="FU184" t="e">
        <f>AND(#REF!,"AAAAAH9+17A=")</f>
        <v>#REF!</v>
      </c>
      <c r="FV184" t="e">
        <f>AND(#REF!,"AAAAAH9+17E=")</f>
        <v>#REF!</v>
      </c>
      <c r="FW184" t="e">
        <f>AND(#REF!,"AAAAAH9+17I=")</f>
        <v>#REF!</v>
      </c>
      <c r="FX184" t="e">
        <f>AND(#REF!,"AAAAAH9+17M=")</f>
        <v>#REF!</v>
      </c>
      <c r="FY184" t="e">
        <f>AND(#REF!,"AAAAAH9+17Q=")</f>
        <v>#REF!</v>
      </c>
      <c r="FZ184" t="e">
        <f>AND(#REF!,"AAAAAH9+17U=")</f>
        <v>#REF!</v>
      </c>
      <c r="GA184" t="e">
        <f>AND(#REF!,"AAAAAH9+17Y=")</f>
        <v>#REF!</v>
      </c>
      <c r="GB184" t="e">
        <f>AND(#REF!,"AAAAAH9+17c=")</f>
        <v>#REF!</v>
      </c>
      <c r="GC184" t="e">
        <f>AND(#REF!,"AAAAAH9+17g=")</f>
        <v>#REF!</v>
      </c>
      <c r="GD184" t="e">
        <f>AND(#REF!,"AAAAAH9+17k=")</f>
        <v>#REF!</v>
      </c>
      <c r="GE184" t="e">
        <f>AND(#REF!,"AAAAAH9+17o=")</f>
        <v>#REF!</v>
      </c>
      <c r="GF184" t="e">
        <f>AND(#REF!,"AAAAAH9+17s=")</f>
        <v>#REF!</v>
      </c>
      <c r="GG184" t="e">
        <f>AND(#REF!,"AAAAAH9+17w=")</f>
        <v>#REF!</v>
      </c>
      <c r="GH184" t="e">
        <f>AND(#REF!,"AAAAAH9+170=")</f>
        <v>#REF!</v>
      </c>
      <c r="GI184" t="e">
        <f>AND(#REF!,"AAAAAH9+174=")</f>
        <v>#REF!</v>
      </c>
      <c r="GJ184" t="e">
        <f>AND(#REF!,"AAAAAH9+178=")</f>
        <v>#REF!</v>
      </c>
      <c r="GK184" t="e">
        <f>AND(#REF!,"AAAAAH9+18A=")</f>
        <v>#REF!</v>
      </c>
      <c r="GL184" t="e">
        <f>AND(#REF!,"AAAAAH9+18E=")</f>
        <v>#REF!</v>
      </c>
      <c r="GM184" t="e">
        <f>AND(#REF!,"AAAAAH9+18I=")</f>
        <v>#REF!</v>
      </c>
      <c r="GN184" t="e">
        <f>AND(#REF!,"AAAAAH9+18M=")</f>
        <v>#REF!</v>
      </c>
      <c r="GO184" t="e">
        <f>AND(#REF!,"AAAAAH9+18Q=")</f>
        <v>#REF!</v>
      </c>
      <c r="GP184" t="e">
        <f>AND(#REF!,"AAAAAH9+18U=")</f>
        <v>#REF!</v>
      </c>
      <c r="GQ184" t="e">
        <f>AND(#REF!,"AAAAAH9+18Y=")</f>
        <v>#REF!</v>
      </c>
      <c r="GR184" t="e">
        <f>AND(#REF!,"AAAAAH9+18c=")</f>
        <v>#REF!</v>
      </c>
      <c r="GS184" t="e">
        <f>AND(#REF!,"AAAAAH9+18g=")</f>
        <v>#REF!</v>
      </c>
      <c r="GT184" t="e">
        <f>AND(#REF!,"AAAAAH9+18k=")</f>
        <v>#REF!</v>
      </c>
      <c r="GU184" t="e">
        <f>AND(#REF!,"AAAAAH9+18o=")</f>
        <v>#REF!</v>
      </c>
      <c r="GV184" t="e">
        <f>AND(#REF!,"AAAAAH9+18s=")</f>
        <v>#REF!</v>
      </c>
      <c r="GW184" t="e">
        <f>AND(#REF!,"AAAAAH9+18w=")</f>
        <v>#REF!</v>
      </c>
      <c r="GX184" t="e">
        <f>AND(#REF!,"AAAAAH9+180=")</f>
        <v>#REF!</v>
      </c>
      <c r="GY184" t="e">
        <f>AND(#REF!,"AAAAAH9+184=")</f>
        <v>#REF!</v>
      </c>
      <c r="GZ184" t="e">
        <f>AND(#REF!,"AAAAAH9+188=")</f>
        <v>#REF!</v>
      </c>
      <c r="HA184" t="e">
        <f>AND(#REF!,"AAAAAH9+19A=")</f>
        <v>#REF!</v>
      </c>
      <c r="HB184" t="e">
        <f>AND(#REF!,"AAAAAH9+19E=")</f>
        <v>#REF!</v>
      </c>
      <c r="HC184" t="e">
        <f>AND(#REF!,"AAAAAH9+19I=")</f>
        <v>#REF!</v>
      </c>
      <c r="HD184" t="e">
        <f>AND(#REF!,"AAAAAH9+19M=")</f>
        <v>#REF!</v>
      </c>
      <c r="HE184" t="e">
        <f>AND(#REF!,"AAAAAH9+19Q=")</f>
        <v>#REF!</v>
      </c>
      <c r="HF184" t="e">
        <f>AND(#REF!,"AAAAAH9+19U=")</f>
        <v>#REF!</v>
      </c>
      <c r="HG184" t="e">
        <f>AND(#REF!,"AAAAAH9+19Y=")</f>
        <v>#REF!</v>
      </c>
      <c r="HH184" t="e">
        <f>AND(#REF!,"AAAAAH9+19c=")</f>
        <v>#REF!</v>
      </c>
      <c r="HI184" t="e">
        <f>AND(#REF!,"AAAAAH9+19g=")</f>
        <v>#REF!</v>
      </c>
      <c r="HJ184" t="e">
        <f>AND(#REF!,"AAAAAH9+19k=")</f>
        <v>#REF!</v>
      </c>
      <c r="HK184" t="e">
        <f>AND(#REF!,"AAAAAH9+19o=")</f>
        <v>#REF!</v>
      </c>
      <c r="HL184" t="e">
        <f>AND(#REF!,"AAAAAH9+19s=")</f>
        <v>#REF!</v>
      </c>
      <c r="HM184" t="e">
        <f>AND(#REF!,"AAAAAH9+19w=")</f>
        <v>#REF!</v>
      </c>
      <c r="HN184" t="e">
        <f>AND(#REF!,"AAAAAH9+190=")</f>
        <v>#REF!</v>
      </c>
      <c r="HO184" t="e">
        <f>AND(#REF!,"AAAAAH9+194=")</f>
        <v>#REF!</v>
      </c>
      <c r="HP184" t="e">
        <f>AND(#REF!,"AAAAAH9+198=")</f>
        <v>#REF!</v>
      </c>
      <c r="HQ184" t="e">
        <f>AND(#REF!,"AAAAAH9+1+A=")</f>
        <v>#REF!</v>
      </c>
      <c r="HR184" t="e">
        <f>AND(#REF!,"AAAAAH9+1+E=")</f>
        <v>#REF!</v>
      </c>
      <c r="HS184" t="e">
        <f>AND(#REF!,"AAAAAH9+1+I=")</f>
        <v>#REF!</v>
      </c>
      <c r="HT184" t="e">
        <f>AND(#REF!,"AAAAAH9+1+M=")</f>
        <v>#REF!</v>
      </c>
      <c r="HU184" t="e">
        <f>AND(#REF!,"AAAAAH9+1+Q=")</f>
        <v>#REF!</v>
      </c>
      <c r="HV184" t="e">
        <f>AND(#REF!,"AAAAAH9+1+U=")</f>
        <v>#REF!</v>
      </c>
      <c r="HW184" t="e">
        <f>AND(#REF!,"AAAAAH9+1+Y=")</f>
        <v>#REF!</v>
      </c>
      <c r="HX184" t="e">
        <f>AND(#REF!,"AAAAAH9+1+c=")</f>
        <v>#REF!</v>
      </c>
      <c r="HY184" t="e">
        <f>AND(#REF!,"AAAAAH9+1+g=")</f>
        <v>#REF!</v>
      </c>
      <c r="HZ184" t="e">
        <f>AND(#REF!,"AAAAAH9+1+k=")</f>
        <v>#REF!</v>
      </c>
      <c r="IA184" t="e">
        <f>AND(#REF!,"AAAAAH9+1+o=")</f>
        <v>#REF!</v>
      </c>
      <c r="IB184" t="e">
        <f>AND(#REF!,"AAAAAH9+1+s=")</f>
        <v>#REF!</v>
      </c>
      <c r="IC184" t="e">
        <f>AND(#REF!,"AAAAAH9+1+w=")</f>
        <v>#REF!</v>
      </c>
      <c r="ID184" t="e">
        <f>AND(#REF!,"AAAAAH9+1+0=")</f>
        <v>#REF!</v>
      </c>
      <c r="IE184" t="e">
        <f>AND(#REF!,"AAAAAH9+1+4=")</f>
        <v>#REF!</v>
      </c>
      <c r="IF184" t="e">
        <f>AND(#REF!,"AAAAAH9+1+8=")</f>
        <v>#REF!</v>
      </c>
      <c r="IG184" t="e">
        <f>AND(#REF!,"AAAAAH9+1/A=")</f>
        <v>#REF!</v>
      </c>
      <c r="IH184" t="e">
        <f>AND(#REF!,"AAAAAH9+1/E=")</f>
        <v>#REF!</v>
      </c>
      <c r="II184" t="e">
        <f>AND(#REF!,"AAAAAH9+1/I=")</f>
        <v>#REF!</v>
      </c>
      <c r="IJ184" t="e">
        <f>AND(#REF!,"AAAAAH9+1/M=")</f>
        <v>#REF!</v>
      </c>
      <c r="IK184" t="e">
        <f>AND(#REF!,"AAAAAH9+1/Q=")</f>
        <v>#REF!</v>
      </c>
      <c r="IL184" t="e">
        <f>AND(#REF!,"AAAAAH9+1/U=")</f>
        <v>#REF!</v>
      </c>
      <c r="IM184" t="e">
        <f>AND(#REF!,"AAAAAH9+1/Y=")</f>
        <v>#REF!</v>
      </c>
      <c r="IN184" t="e">
        <f>AND(#REF!,"AAAAAH9+1/c=")</f>
        <v>#REF!</v>
      </c>
      <c r="IO184" t="e">
        <f>AND(#REF!,"AAAAAH9+1/g=")</f>
        <v>#REF!</v>
      </c>
      <c r="IP184" t="e">
        <f>AND(#REF!,"AAAAAH9+1/k=")</f>
        <v>#REF!</v>
      </c>
      <c r="IQ184" t="e">
        <f>AND(#REF!,"AAAAAH9+1/o=")</f>
        <v>#REF!</v>
      </c>
      <c r="IR184" t="e">
        <f>AND(#REF!,"AAAAAH9+1/s=")</f>
        <v>#REF!</v>
      </c>
      <c r="IS184" t="e">
        <f>AND(#REF!,"AAAAAH9+1/w=")</f>
        <v>#REF!</v>
      </c>
      <c r="IT184" t="e">
        <f>AND(#REF!,"AAAAAH9+1/0=")</f>
        <v>#REF!</v>
      </c>
      <c r="IU184" t="e">
        <f>AND(#REF!,"AAAAAH9+1/4=")</f>
        <v>#REF!</v>
      </c>
      <c r="IV184" t="e">
        <f>AND(#REF!,"AAAAAH9+1/8=")</f>
        <v>#REF!</v>
      </c>
    </row>
    <row r="185" spans="1:256" x14ac:dyDescent="0.2">
      <c r="A185" t="e">
        <f>AND(#REF!,"AAAAAEPu+wA=")</f>
        <v>#REF!</v>
      </c>
      <c r="B185" t="e">
        <f>AND(#REF!,"AAAAAEPu+wE=")</f>
        <v>#REF!</v>
      </c>
      <c r="C185" t="e">
        <f>AND(#REF!,"AAAAAEPu+wI=")</f>
        <v>#REF!</v>
      </c>
      <c r="D185" t="e">
        <f>AND(#REF!,"AAAAAEPu+wM=")</f>
        <v>#REF!</v>
      </c>
      <c r="E185" t="e">
        <f>AND(#REF!,"AAAAAEPu+wQ=")</f>
        <v>#REF!</v>
      </c>
      <c r="F185" t="e">
        <f>AND(#REF!,"AAAAAEPu+wU=")</f>
        <v>#REF!</v>
      </c>
      <c r="G185" t="e">
        <f>AND(#REF!,"AAAAAEPu+wY=")</f>
        <v>#REF!</v>
      </c>
      <c r="H185" t="e">
        <f>AND(#REF!,"AAAAAEPu+wc=")</f>
        <v>#REF!</v>
      </c>
      <c r="I185" t="e">
        <f>AND(#REF!,"AAAAAEPu+wg=")</f>
        <v>#REF!</v>
      </c>
      <c r="J185" t="e">
        <f>AND(#REF!,"AAAAAEPu+wk=")</f>
        <v>#REF!</v>
      </c>
      <c r="K185" t="e">
        <f>AND(#REF!,"AAAAAEPu+wo=")</f>
        <v>#REF!</v>
      </c>
      <c r="L185" t="e">
        <f>AND(#REF!,"AAAAAEPu+ws=")</f>
        <v>#REF!</v>
      </c>
      <c r="M185" t="e">
        <f>AND(#REF!,"AAAAAEPu+ww=")</f>
        <v>#REF!</v>
      </c>
      <c r="N185" t="e">
        <f>AND(#REF!,"AAAAAEPu+w0=")</f>
        <v>#REF!</v>
      </c>
      <c r="O185" t="e">
        <f>AND(#REF!,"AAAAAEPu+w4=")</f>
        <v>#REF!</v>
      </c>
      <c r="P185" t="e">
        <f>AND(#REF!,"AAAAAEPu+w8=")</f>
        <v>#REF!</v>
      </c>
      <c r="Q185" t="e">
        <f>AND(#REF!,"AAAAAEPu+xA=")</f>
        <v>#REF!</v>
      </c>
      <c r="R185" t="e">
        <f>AND(#REF!,"AAAAAEPu+xE=")</f>
        <v>#REF!</v>
      </c>
      <c r="S185" t="e">
        <f>AND(#REF!,"AAAAAEPu+xI=")</f>
        <v>#REF!</v>
      </c>
      <c r="T185" t="e">
        <f>AND(#REF!,"AAAAAEPu+xM=")</f>
        <v>#REF!</v>
      </c>
      <c r="U185" t="e">
        <f>AND(#REF!,"AAAAAEPu+xQ=")</f>
        <v>#REF!</v>
      </c>
      <c r="V185" t="e">
        <f>AND(#REF!,"AAAAAEPu+xU=")</f>
        <v>#REF!</v>
      </c>
      <c r="W185" t="e">
        <f>AND(#REF!,"AAAAAEPu+xY=")</f>
        <v>#REF!</v>
      </c>
      <c r="X185" t="e">
        <f>AND(#REF!,"AAAAAEPu+xc=")</f>
        <v>#REF!</v>
      </c>
      <c r="Y185" t="e">
        <f>AND(#REF!,"AAAAAEPu+xg=")</f>
        <v>#REF!</v>
      </c>
      <c r="Z185" t="e">
        <f>AND(#REF!,"AAAAAEPu+xk=")</f>
        <v>#REF!</v>
      </c>
      <c r="AA185" t="e">
        <f>AND(#REF!,"AAAAAEPu+xo=")</f>
        <v>#REF!</v>
      </c>
      <c r="AB185" t="e">
        <f>AND(#REF!,"AAAAAEPu+xs=")</f>
        <v>#REF!</v>
      </c>
      <c r="AC185" t="e">
        <f>AND(#REF!,"AAAAAEPu+xw=")</f>
        <v>#REF!</v>
      </c>
      <c r="AD185" t="e">
        <f>AND(#REF!,"AAAAAEPu+x0=")</f>
        <v>#REF!</v>
      </c>
      <c r="AE185" t="e">
        <f>AND(#REF!,"AAAAAEPu+x4=")</f>
        <v>#REF!</v>
      </c>
      <c r="AF185" t="e">
        <f>AND(#REF!,"AAAAAEPu+x8=")</f>
        <v>#REF!</v>
      </c>
      <c r="AG185" t="e">
        <f>AND(#REF!,"AAAAAEPu+yA=")</f>
        <v>#REF!</v>
      </c>
      <c r="AH185" t="e">
        <f>AND(#REF!,"AAAAAEPu+yE=")</f>
        <v>#REF!</v>
      </c>
      <c r="AI185" t="e">
        <f>AND(#REF!,"AAAAAEPu+yI=")</f>
        <v>#REF!</v>
      </c>
      <c r="AJ185" t="e">
        <f>AND(#REF!,"AAAAAEPu+yM=")</f>
        <v>#REF!</v>
      </c>
      <c r="AK185" t="e">
        <f>AND(#REF!,"AAAAAEPu+yQ=")</f>
        <v>#REF!</v>
      </c>
      <c r="AL185" t="e">
        <f>AND(#REF!,"AAAAAEPu+yU=")</f>
        <v>#REF!</v>
      </c>
      <c r="AM185" t="e">
        <f>AND(#REF!,"AAAAAEPu+yY=")</f>
        <v>#REF!</v>
      </c>
      <c r="AN185" t="e">
        <f>AND(#REF!,"AAAAAEPu+yc=")</f>
        <v>#REF!</v>
      </c>
      <c r="AO185" t="e">
        <f>AND(#REF!,"AAAAAEPu+yg=")</f>
        <v>#REF!</v>
      </c>
      <c r="AP185" t="e">
        <f>AND(#REF!,"AAAAAEPu+yk=")</f>
        <v>#REF!</v>
      </c>
      <c r="AQ185" t="e">
        <f>AND(#REF!,"AAAAAEPu+yo=")</f>
        <v>#REF!</v>
      </c>
      <c r="AR185" t="e">
        <f>AND(#REF!,"AAAAAEPu+ys=")</f>
        <v>#REF!</v>
      </c>
      <c r="AS185" t="e">
        <f>AND(#REF!,"AAAAAEPu+yw=")</f>
        <v>#REF!</v>
      </c>
      <c r="AT185" t="e">
        <f>AND(#REF!,"AAAAAEPu+y0=")</f>
        <v>#REF!</v>
      </c>
      <c r="AU185" t="e">
        <f>AND(#REF!,"AAAAAEPu+y4=")</f>
        <v>#REF!</v>
      </c>
      <c r="AV185" t="e">
        <f>AND(#REF!,"AAAAAEPu+y8=")</f>
        <v>#REF!</v>
      </c>
      <c r="AW185" t="e">
        <f>AND(#REF!,"AAAAAEPu+zA=")</f>
        <v>#REF!</v>
      </c>
      <c r="AX185" t="e">
        <f>AND(#REF!,"AAAAAEPu+zE=")</f>
        <v>#REF!</v>
      </c>
      <c r="AY185" t="e">
        <f>AND(#REF!,"AAAAAEPu+zI=")</f>
        <v>#REF!</v>
      </c>
      <c r="AZ185" t="e">
        <f>AND(#REF!,"AAAAAEPu+zM=")</f>
        <v>#REF!</v>
      </c>
      <c r="BA185" t="e">
        <f>AND(#REF!,"AAAAAEPu+zQ=")</f>
        <v>#REF!</v>
      </c>
      <c r="BB185" t="e">
        <f>AND(#REF!,"AAAAAEPu+zU=")</f>
        <v>#REF!</v>
      </c>
      <c r="BC185" t="e">
        <f>AND(#REF!,"AAAAAEPu+zY=")</f>
        <v>#REF!</v>
      </c>
      <c r="BD185" t="e">
        <f>AND(#REF!,"AAAAAEPu+zc=")</f>
        <v>#REF!</v>
      </c>
      <c r="BE185" t="e">
        <f>AND(#REF!,"AAAAAEPu+zg=")</f>
        <v>#REF!</v>
      </c>
      <c r="BF185" t="e">
        <f>AND(#REF!,"AAAAAEPu+zk=")</f>
        <v>#REF!</v>
      </c>
      <c r="BG185" t="e">
        <f>AND(#REF!,"AAAAAEPu+zo=")</f>
        <v>#REF!</v>
      </c>
      <c r="BH185" t="e">
        <f>AND(#REF!,"AAAAAEPu+zs=")</f>
        <v>#REF!</v>
      </c>
      <c r="BI185" t="e">
        <f>AND(#REF!,"AAAAAEPu+zw=")</f>
        <v>#REF!</v>
      </c>
      <c r="BJ185" t="e">
        <f>AND(#REF!,"AAAAAEPu+z0=")</f>
        <v>#REF!</v>
      </c>
      <c r="BK185" t="e">
        <f>AND(#REF!,"AAAAAEPu+z4=")</f>
        <v>#REF!</v>
      </c>
      <c r="BL185" t="e">
        <f>AND(#REF!,"AAAAAEPu+z8=")</f>
        <v>#REF!</v>
      </c>
      <c r="BM185" t="e">
        <f>AND(#REF!,"AAAAAEPu+0A=")</f>
        <v>#REF!</v>
      </c>
      <c r="BN185" t="e">
        <f>AND(#REF!,"AAAAAEPu+0E=")</f>
        <v>#REF!</v>
      </c>
      <c r="BO185" t="e">
        <f>AND(#REF!,"AAAAAEPu+0I=")</f>
        <v>#REF!</v>
      </c>
      <c r="BP185" t="e">
        <f>AND(#REF!,"AAAAAEPu+0M=")</f>
        <v>#REF!</v>
      </c>
      <c r="BQ185" t="e">
        <f>AND(#REF!,"AAAAAEPu+0Q=")</f>
        <v>#REF!</v>
      </c>
      <c r="BR185" t="e">
        <f>AND(#REF!,"AAAAAEPu+0U=")</f>
        <v>#REF!</v>
      </c>
      <c r="BS185" t="e">
        <f>AND(#REF!,"AAAAAEPu+0Y=")</f>
        <v>#REF!</v>
      </c>
      <c r="BT185" t="e">
        <f>AND(#REF!,"AAAAAEPu+0c=")</f>
        <v>#REF!</v>
      </c>
      <c r="BU185" t="e">
        <f>AND(#REF!,"AAAAAEPu+0g=")</f>
        <v>#REF!</v>
      </c>
      <c r="BV185" t="e">
        <f>AND(#REF!,"AAAAAEPu+0k=")</f>
        <v>#REF!</v>
      </c>
      <c r="BW185" t="e">
        <f>AND(#REF!,"AAAAAEPu+0o=")</f>
        <v>#REF!</v>
      </c>
      <c r="BX185" t="e">
        <f>AND(#REF!,"AAAAAEPu+0s=")</f>
        <v>#REF!</v>
      </c>
      <c r="BY185" t="e">
        <f>AND(#REF!,"AAAAAEPu+0w=")</f>
        <v>#REF!</v>
      </c>
      <c r="BZ185" t="e">
        <f>AND(#REF!,"AAAAAEPu+00=")</f>
        <v>#REF!</v>
      </c>
      <c r="CA185" t="e">
        <f>AND(#REF!,"AAAAAEPu+04=")</f>
        <v>#REF!</v>
      </c>
      <c r="CB185" t="e">
        <f>AND(#REF!,"AAAAAEPu+08=")</f>
        <v>#REF!</v>
      </c>
      <c r="CC185" t="e">
        <f>AND(#REF!,"AAAAAEPu+1A=")</f>
        <v>#REF!</v>
      </c>
      <c r="CD185" t="e">
        <f>AND(#REF!,"AAAAAEPu+1E=")</f>
        <v>#REF!</v>
      </c>
      <c r="CE185" t="e">
        <f>AND(#REF!,"AAAAAEPu+1I=")</f>
        <v>#REF!</v>
      </c>
      <c r="CF185" t="e">
        <f>AND(#REF!,"AAAAAEPu+1M=")</f>
        <v>#REF!</v>
      </c>
      <c r="CG185" t="e">
        <f>AND(#REF!,"AAAAAEPu+1Q=")</f>
        <v>#REF!</v>
      </c>
      <c r="CH185" t="e">
        <f>AND(#REF!,"AAAAAEPu+1U=")</f>
        <v>#REF!</v>
      </c>
      <c r="CI185" t="e">
        <f>AND(#REF!,"AAAAAEPu+1Y=")</f>
        <v>#REF!</v>
      </c>
      <c r="CJ185" t="e">
        <f>AND(#REF!,"AAAAAEPu+1c=")</f>
        <v>#REF!</v>
      </c>
      <c r="CK185" t="e">
        <f>AND(#REF!,"AAAAAEPu+1g=")</f>
        <v>#REF!</v>
      </c>
      <c r="CL185" t="e">
        <f>AND(#REF!,"AAAAAEPu+1k=")</f>
        <v>#REF!</v>
      </c>
      <c r="CM185" t="e">
        <f>AND(#REF!,"AAAAAEPu+1o=")</f>
        <v>#REF!</v>
      </c>
      <c r="CN185" t="e">
        <f>AND(#REF!,"AAAAAEPu+1s=")</f>
        <v>#REF!</v>
      </c>
      <c r="CO185" t="e">
        <f>AND(#REF!,"AAAAAEPu+1w=")</f>
        <v>#REF!</v>
      </c>
      <c r="CP185" t="e">
        <f>AND(#REF!,"AAAAAEPu+10=")</f>
        <v>#REF!</v>
      </c>
      <c r="CQ185" t="e">
        <f>AND(#REF!,"AAAAAEPu+14=")</f>
        <v>#REF!</v>
      </c>
      <c r="CR185" t="e">
        <f>AND(#REF!,"AAAAAEPu+18=")</f>
        <v>#REF!</v>
      </c>
      <c r="CS185" t="e">
        <f>AND(#REF!,"AAAAAEPu+2A=")</f>
        <v>#REF!</v>
      </c>
      <c r="CT185" t="e">
        <f>AND(#REF!,"AAAAAEPu+2E=")</f>
        <v>#REF!</v>
      </c>
      <c r="CU185" t="e">
        <f>AND(#REF!,"AAAAAEPu+2I=")</f>
        <v>#REF!</v>
      </c>
      <c r="CV185" t="e">
        <f>AND(#REF!,"AAAAAEPu+2M=")</f>
        <v>#REF!</v>
      </c>
      <c r="CW185" t="e">
        <f>AND(#REF!,"AAAAAEPu+2Q=")</f>
        <v>#REF!</v>
      </c>
      <c r="CX185" t="e">
        <f>AND(#REF!,"AAAAAEPu+2U=")</f>
        <v>#REF!</v>
      </c>
      <c r="CY185" t="e">
        <f>AND(#REF!,"AAAAAEPu+2Y=")</f>
        <v>#REF!</v>
      </c>
      <c r="CZ185" t="e">
        <f>AND(#REF!,"AAAAAEPu+2c=")</f>
        <v>#REF!</v>
      </c>
      <c r="DA185" t="e">
        <f>AND(#REF!,"AAAAAEPu+2g=")</f>
        <v>#REF!</v>
      </c>
      <c r="DB185" t="e">
        <f>AND(#REF!,"AAAAAEPu+2k=")</f>
        <v>#REF!</v>
      </c>
      <c r="DC185" t="e">
        <f>AND(#REF!,"AAAAAEPu+2o=")</f>
        <v>#REF!</v>
      </c>
      <c r="DD185" t="e">
        <f>AND(#REF!,"AAAAAEPu+2s=")</f>
        <v>#REF!</v>
      </c>
      <c r="DE185" t="e">
        <f>AND(#REF!,"AAAAAEPu+2w=")</f>
        <v>#REF!</v>
      </c>
      <c r="DF185" t="e">
        <f>AND(#REF!,"AAAAAEPu+20=")</f>
        <v>#REF!</v>
      </c>
      <c r="DG185" t="e">
        <f>AND(#REF!,"AAAAAEPu+24=")</f>
        <v>#REF!</v>
      </c>
      <c r="DH185" t="e">
        <f>AND(#REF!,"AAAAAEPu+28=")</f>
        <v>#REF!</v>
      </c>
      <c r="DI185" t="e">
        <f>AND(#REF!,"AAAAAEPu+3A=")</f>
        <v>#REF!</v>
      </c>
      <c r="DJ185" t="e">
        <f>AND(#REF!,"AAAAAEPu+3E=")</f>
        <v>#REF!</v>
      </c>
      <c r="DK185" t="e">
        <f>AND(#REF!,"AAAAAEPu+3I=")</f>
        <v>#REF!</v>
      </c>
      <c r="DL185" t="e">
        <f>AND(#REF!,"AAAAAEPu+3M=")</f>
        <v>#REF!</v>
      </c>
      <c r="DM185" t="e">
        <f>AND(#REF!,"AAAAAEPu+3Q=")</f>
        <v>#REF!</v>
      </c>
      <c r="DN185" t="e">
        <f>AND(#REF!,"AAAAAEPu+3U=")</f>
        <v>#REF!</v>
      </c>
      <c r="DO185" t="e">
        <f>AND(#REF!,"AAAAAEPu+3Y=")</f>
        <v>#REF!</v>
      </c>
      <c r="DP185" t="e">
        <f>AND(#REF!,"AAAAAEPu+3c=")</f>
        <v>#REF!</v>
      </c>
      <c r="DQ185" t="e">
        <f>AND(#REF!,"AAAAAEPu+3g=")</f>
        <v>#REF!</v>
      </c>
      <c r="DR185" t="e">
        <f>AND(#REF!,"AAAAAEPu+3k=")</f>
        <v>#REF!</v>
      </c>
      <c r="DS185" t="e">
        <f>AND(#REF!,"AAAAAEPu+3o=")</f>
        <v>#REF!</v>
      </c>
      <c r="DT185" t="e">
        <f>AND(#REF!,"AAAAAEPu+3s=")</f>
        <v>#REF!</v>
      </c>
      <c r="DU185" t="e">
        <f>AND(#REF!,"AAAAAEPu+3w=")</f>
        <v>#REF!</v>
      </c>
      <c r="DV185" t="e">
        <f>AND(#REF!,"AAAAAEPu+30=")</f>
        <v>#REF!</v>
      </c>
      <c r="DW185" t="e">
        <f>AND(#REF!,"AAAAAEPu+34=")</f>
        <v>#REF!</v>
      </c>
      <c r="DX185" t="e">
        <f>AND(#REF!,"AAAAAEPu+38=")</f>
        <v>#REF!</v>
      </c>
      <c r="DY185" t="e">
        <f>AND(#REF!,"AAAAAEPu+4A=")</f>
        <v>#REF!</v>
      </c>
      <c r="DZ185" t="e">
        <f>AND(#REF!,"AAAAAEPu+4E=")</f>
        <v>#REF!</v>
      </c>
      <c r="EA185" t="e">
        <f>AND(#REF!,"AAAAAEPu+4I=")</f>
        <v>#REF!</v>
      </c>
      <c r="EB185" t="e">
        <f>AND(#REF!,"AAAAAEPu+4M=")</f>
        <v>#REF!</v>
      </c>
      <c r="EC185" t="e">
        <f>AND(#REF!,"AAAAAEPu+4Q=")</f>
        <v>#REF!</v>
      </c>
      <c r="ED185" t="e">
        <f>AND(#REF!,"AAAAAEPu+4U=")</f>
        <v>#REF!</v>
      </c>
      <c r="EE185" t="e">
        <f>AND(#REF!,"AAAAAEPu+4Y=")</f>
        <v>#REF!</v>
      </c>
      <c r="EF185" t="e">
        <f>AND(#REF!,"AAAAAEPu+4c=")</f>
        <v>#REF!</v>
      </c>
      <c r="EG185" t="e">
        <f>AND(#REF!,"AAAAAEPu+4g=")</f>
        <v>#REF!</v>
      </c>
      <c r="EH185" t="e">
        <f>AND(#REF!,"AAAAAEPu+4k=")</f>
        <v>#REF!</v>
      </c>
    </row>
    <row r="186" spans="1:256" x14ac:dyDescent="0.2">
      <c r="A186" t="e">
        <f>AND(Liste!#REF!,"AAAAAF3s/wA=")</f>
        <v>#REF!</v>
      </c>
      <c r="B186" t="e">
        <f>AND(Liste!#REF!,"AAAAAF3s/wE=")</f>
        <v>#REF!</v>
      </c>
      <c r="C186" t="e">
        <f>AND(Liste!#REF!,"AAAAAF3s/wI=")</f>
        <v>#REF!</v>
      </c>
      <c r="D186" t="e">
        <f>AND(Liste!#REF!,"AAAAAF3s/wM=")</f>
        <v>#REF!</v>
      </c>
      <c r="E186" t="e">
        <f>AND(Liste!#REF!,"AAAAAF3s/wQ=")</f>
        <v>#REF!</v>
      </c>
      <c r="F186" t="e">
        <f>AND(Liste!#REF!,"AAAAAF3s/wU=")</f>
        <v>#REF!</v>
      </c>
      <c r="G186" t="e">
        <f>AND(Liste!#REF!,"AAAAAF3s/wY=")</f>
        <v>#REF!</v>
      </c>
      <c r="H186" t="e">
        <f>AND(Liste!#REF!,"AAAAAF3s/wc=")</f>
        <v>#REF!</v>
      </c>
      <c r="I186" t="e">
        <f>AND(Liste!#REF!,"AAAAAF3s/wg=")</f>
        <v>#REF!</v>
      </c>
      <c r="J186" t="e">
        <f>AND(Liste!#REF!,"AAAAAF3s/wk=")</f>
        <v>#REF!</v>
      </c>
      <c r="K186" t="e">
        <f>AND(Liste!#REF!,"AAAAAF3s/wo=")</f>
        <v>#REF!</v>
      </c>
      <c r="L186" t="e">
        <f>IF(Liste!#REF!,"AAAAAF3s/ws=",0)</f>
        <v>#REF!</v>
      </c>
      <c r="M186" t="e">
        <f>AND(Liste!#REF!,"AAAAAF3s/ww=")</f>
        <v>#REF!</v>
      </c>
      <c r="N186" t="e">
        <f>AND(Liste!#REF!,"AAAAAF3s/w0=")</f>
        <v>#REF!</v>
      </c>
      <c r="O186" t="e">
        <f>AND(Liste!#REF!,"AAAAAF3s/w4=")</f>
        <v>#REF!</v>
      </c>
      <c r="P186" t="e">
        <f>AND(Liste!#REF!,"AAAAAF3s/w8=")</f>
        <v>#REF!</v>
      </c>
      <c r="Q186" t="e">
        <f>IF(Liste!#REF!,"AAAAAF3s/xA=",0)</f>
        <v>#REF!</v>
      </c>
      <c r="R186" t="e">
        <f>AND(Liste!#REF!,"AAAAAF3s/xE=")</f>
        <v>#REF!</v>
      </c>
      <c r="S186" t="e">
        <f>AND(Liste!#REF!,"AAAAAF3s/xI=")</f>
        <v>#REF!</v>
      </c>
      <c r="T186" t="e">
        <f>AND(Liste!#REF!,"AAAAAF3s/xM=")</f>
        <v>#REF!</v>
      </c>
      <c r="U186" t="e">
        <f>AND(Liste!#REF!,"AAAAAF3s/xQ=")</f>
        <v>#REF!</v>
      </c>
      <c r="V186" t="e">
        <f>IF(Liste!#REF!,"AAAAAF3s/xU=",0)</f>
        <v>#REF!</v>
      </c>
      <c r="W186" t="e">
        <f>AND(Liste!#REF!,"AAAAAF3s/xY=")</f>
        <v>#REF!</v>
      </c>
      <c r="X186" t="e">
        <f>AND(Liste!#REF!,"AAAAAF3s/xc=")</f>
        <v>#REF!</v>
      </c>
      <c r="Y186" t="e">
        <f>AND(Liste!#REF!,"AAAAAF3s/xg=")</f>
        <v>#REF!</v>
      </c>
      <c r="Z186" t="e">
        <f>AND(Liste!#REF!,"AAAAAF3s/xk=")</f>
        <v>#REF!</v>
      </c>
      <c r="AA186" t="e">
        <f>IF(Liste!#REF!,"AAAAAF3s/xo=",0)</f>
        <v>#REF!</v>
      </c>
      <c r="AB186" t="e">
        <f>AND(Liste!#REF!,"AAAAAF3s/xs=")</f>
        <v>#REF!</v>
      </c>
      <c r="AC186" t="e">
        <f>AND(Liste!#REF!,"AAAAAF3s/xw=")</f>
        <v>#REF!</v>
      </c>
      <c r="AD186" t="e">
        <f>AND(Liste!#REF!,"AAAAAF3s/x0=")</f>
        <v>#REF!</v>
      </c>
      <c r="AE186" t="e">
        <f>AND(Liste!#REF!,"AAAAAF3s/x4=")</f>
        <v>#REF!</v>
      </c>
      <c r="AF186" t="e">
        <f>IF(Liste!#REF!,"AAAAAF3s/x8=",0)</f>
        <v>#REF!</v>
      </c>
      <c r="AG186" t="e">
        <f>AND(Liste!#REF!,"AAAAAF3s/yA=")</f>
        <v>#REF!</v>
      </c>
      <c r="AH186" t="e">
        <f>AND(Liste!#REF!,"AAAAAF3s/yE=")</f>
        <v>#REF!</v>
      </c>
      <c r="AI186" t="e">
        <f>AND(Liste!#REF!,"AAAAAF3s/yI=")</f>
        <v>#REF!</v>
      </c>
      <c r="AJ186" t="e">
        <f>AND(Liste!#REF!,"AAAAAF3s/yM=")</f>
        <v>#REF!</v>
      </c>
      <c r="AK186" t="e">
        <f>IF(Liste!#REF!,"AAAAAF3s/yQ=",0)</f>
        <v>#REF!</v>
      </c>
      <c r="AL186" t="e">
        <f>AND(Liste!#REF!,"AAAAAF3s/yU=")</f>
        <v>#REF!</v>
      </c>
      <c r="AM186" t="e">
        <f>AND(Liste!#REF!,"AAAAAF3s/yY=")</f>
        <v>#REF!</v>
      </c>
      <c r="AN186" t="e">
        <f>AND(Liste!#REF!,"AAAAAF3s/yc=")</f>
        <v>#REF!</v>
      </c>
      <c r="AO186" t="e">
        <f>AND(Liste!#REF!,"AAAAAF3s/yg=")</f>
        <v>#REF!</v>
      </c>
      <c r="AP186" t="e">
        <f>IF(Liste!#REF!,"AAAAAF3s/yk=",0)</f>
        <v>#REF!</v>
      </c>
      <c r="AQ186" t="e">
        <f>AND(Liste!#REF!,"AAAAAF3s/yo=")</f>
        <v>#REF!</v>
      </c>
      <c r="AR186" t="e">
        <f>AND(Liste!#REF!,"AAAAAF3s/ys=")</f>
        <v>#REF!</v>
      </c>
      <c r="AS186" t="e">
        <f>AND(Liste!#REF!,"AAAAAF3s/yw=")</f>
        <v>#REF!</v>
      </c>
      <c r="AT186" t="e">
        <f>AND(Liste!#REF!,"AAAAAF3s/y0=")</f>
        <v>#REF!</v>
      </c>
      <c r="AU186" t="e">
        <f>IF(Liste!#REF!,"AAAAAF3s/y4=",0)</f>
        <v>#REF!</v>
      </c>
      <c r="AV186" t="e">
        <f>AND(Liste!#REF!,"AAAAAF3s/y8=")</f>
        <v>#REF!</v>
      </c>
      <c r="AW186" t="e">
        <f>AND(Liste!#REF!,"AAAAAF3s/zA=")</f>
        <v>#REF!</v>
      </c>
      <c r="AX186" t="e">
        <f>AND(Liste!#REF!,"AAAAAF3s/zE=")</f>
        <v>#REF!</v>
      </c>
      <c r="AY186" t="e">
        <f>AND(Liste!#REF!,"AAAAAF3s/zI=")</f>
        <v>#REF!</v>
      </c>
    </row>
    <row r="187" spans="1:256" x14ac:dyDescent="0.2">
      <c r="A187" s="1" t="s">
        <v>2</v>
      </c>
    </row>
    <row r="188" spans="1:256" x14ac:dyDescent="0.2">
      <c r="A188" t="str">
        <f>IF(Liste!300:300,"AAAAAH3d+wA=",0)</f>
        <v>AAAAAH3d+wA=</v>
      </c>
      <c r="B188" t="b">
        <f>AND(Liste!A300,"AAAAAH3d+wE=")</f>
        <v>1</v>
      </c>
      <c r="C188" t="e">
        <f>AND(Liste!#REF!,"AAAAAH3d+wI=")</f>
        <v>#REF!</v>
      </c>
      <c r="D188" t="e">
        <f>AND(Liste!#REF!,"AAAAAH3d+wM=")</f>
        <v>#REF!</v>
      </c>
      <c r="E188" t="e">
        <f>AND(Liste!#REF!,"AAAAAH3d+wQ=")</f>
        <v>#REF!</v>
      </c>
      <c r="F188" t="e">
        <f>AND(Liste!F356,"AAAAAH3d+wU=")</f>
        <v>#VALUE!</v>
      </c>
      <c r="G188" t="e">
        <f>AND(Liste!G356,"AAAAAH3d+wY=")</f>
        <v>#VALUE!</v>
      </c>
      <c r="H188" t="e">
        <f>AND(Liste!H356,"AAAAAH3d+wc=")</f>
        <v>#VALUE!</v>
      </c>
      <c r="I188" t="e">
        <f>AND(Liste!I356,"AAAAAH3d+wg=")</f>
        <v>#VALUE!</v>
      </c>
      <c r="J188" t="e">
        <f>AND(Liste!J356,"AAAAAH3d+wk=")</f>
        <v>#VALUE!</v>
      </c>
      <c r="K188" t="e">
        <f>AND(Liste!#REF!,"AAAAAH3d+wo=")</f>
        <v>#REF!</v>
      </c>
      <c r="L188" t="e">
        <f>AND(Liste!#REF!,"AAAAAH3d+ws=")</f>
        <v>#REF!</v>
      </c>
      <c r="M188" t="e">
        <f>AND(Liste!#REF!,"AAAAAH3d+ww=")</f>
        <v>#REF!</v>
      </c>
      <c r="N188" t="e">
        <f>AND(Liste!#REF!,"AAAAAH3d+w0=")</f>
        <v>#REF!</v>
      </c>
      <c r="O188" t="e">
        <f>AND(Liste!#REF!,"AAAAAH3d+w4=")</f>
        <v>#REF!</v>
      </c>
      <c r="P188" t="e">
        <f>AND(Liste!#REF!,"AAAAAH3d+w8=")</f>
        <v>#REF!</v>
      </c>
      <c r="Q188" t="e">
        <f>AND(Liste!#REF!,"AAAAAH3d+xA=")</f>
        <v>#REF!</v>
      </c>
      <c r="R188" t="e">
        <f>AND(Liste!#REF!,"AAAAAH3d+xE=")</f>
        <v>#REF!</v>
      </c>
      <c r="S188" t="e">
        <f>AND(Liste!#REF!,"AAAAAH3d+xI=")</f>
        <v>#REF!</v>
      </c>
      <c r="T188" t="e">
        <f>AND(Liste!#REF!,"AAAAAH3d+xM=")</f>
        <v>#REF!</v>
      </c>
      <c r="U188" t="e">
        <f>AND(Liste!#REF!,"AAAAAH3d+xQ=")</f>
        <v>#REF!</v>
      </c>
      <c r="V188" t="e">
        <f>AND(Liste!#REF!,"AAAAAH3d+xU=")</f>
        <v>#REF!</v>
      </c>
      <c r="W188" t="e">
        <f>AND(Liste!#REF!,"AAAAAH3d+xY=")</f>
        <v>#REF!</v>
      </c>
      <c r="X188" t="e">
        <f>AND(Liste!#REF!,"AAAAAH3d+xc=")</f>
        <v>#REF!</v>
      </c>
      <c r="Y188" t="e">
        <f>AND(Liste!#REF!,"AAAAAH3d+xg=")</f>
        <v>#REF!</v>
      </c>
      <c r="Z188" t="e">
        <f>AND(Liste!#REF!,"AAAAAH3d+xk=")</f>
        <v>#REF!</v>
      </c>
      <c r="AA188" t="e">
        <f>AND(Liste!#REF!,"AAAAAH3d+xo=")</f>
        <v>#REF!</v>
      </c>
      <c r="AB188" t="e">
        <f>AND(Liste!#REF!,"AAAAAH3d+xs=")</f>
        <v>#REF!</v>
      </c>
      <c r="AC188" t="e">
        <f>AND(Liste!#REF!,"AAAAAH3d+xw=")</f>
        <v>#REF!</v>
      </c>
      <c r="AD188" t="e">
        <f>AND(Liste!#REF!,"AAAAAH3d+x0=")</f>
        <v>#REF!</v>
      </c>
      <c r="AE188" t="e">
        <f>AND(Liste!#REF!,"AAAAAH3d+x4=")</f>
        <v>#REF!</v>
      </c>
      <c r="AF188">
        <f>IF(Liste!313:313,"AAAAAH3d+x8=",0)</f>
        <v>0</v>
      </c>
      <c r="AG188" t="e">
        <f>AND(Liste!F369,"AAAAAH3d+yA=")</f>
        <v>#VALUE!</v>
      </c>
      <c r="AH188" t="e">
        <f>AND(Liste!G369,"AAAAAH3d+yE=")</f>
        <v>#VALUE!</v>
      </c>
      <c r="AI188" t="e">
        <f>AND(Liste!H369,"AAAAAH3d+yI=")</f>
        <v>#VALUE!</v>
      </c>
      <c r="AJ188" t="e">
        <f>AND(Liste!I369,"AAAAAH3d+yM=")</f>
        <v>#VALUE!</v>
      </c>
      <c r="AK188" t="e">
        <f>AND(Liste!J369,"AAAAAH3d+yQ=")</f>
        <v>#VALUE!</v>
      </c>
      <c r="AL188" t="e">
        <f>AND(Liste!#REF!,"AAAAAH3d+yU=")</f>
        <v>#REF!</v>
      </c>
      <c r="AM188" t="e">
        <f>AND(Liste!#REF!,"AAAAAH3d+yY=")</f>
        <v>#REF!</v>
      </c>
      <c r="AN188" t="e">
        <f>AND(Liste!#REF!,"AAAAAH3d+yc=")</f>
        <v>#REF!</v>
      </c>
      <c r="AO188" t="e">
        <f>AND(Liste!#REF!,"AAAAAH3d+yg=")</f>
        <v>#REF!</v>
      </c>
      <c r="AP188" t="e">
        <f>AND(Liste!#REF!,"AAAAAH3d+yk=")</f>
        <v>#REF!</v>
      </c>
      <c r="AQ188" t="e">
        <f>AND(Liste!#REF!,"AAAAAH3d+yo=")</f>
        <v>#REF!</v>
      </c>
      <c r="AR188" t="e">
        <f>AND(Liste!#REF!,"AAAAAH3d+ys=")</f>
        <v>#REF!</v>
      </c>
      <c r="AS188" t="e">
        <f>AND(Liste!#REF!,"AAAAAH3d+yw=")</f>
        <v>#REF!</v>
      </c>
      <c r="AT188" t="e">
        <f>AND(Liste!#REF!,"AAAAAH3d+y0=")</f>
        <v>#REF!</v>
      </c>
      <c r="AU188" t="e">
        <f>AND(Liste!#REF!,"AAAAAH3d+y4=")</f>
        <v>#REF!</v>
      </c>
      <c r="AV188" t="e">
        <f>AND(Liste!#REF!,"AAAAAH3d+y8=")</f>
        <v>#REF!</v>
      </c>
      <c r="AW188" t="e">
        <f>AND(Liste!#REF!,"AAAAAH3d+zA=")</f>
        <v>#REF!</v>
      </c>
      <c r="AX188" t="e">
        <f>AND(Liste!#REF!,"AAAAAH3d+zE=")</f>
        <v>#REF!</v>
      </c>
      <c r="AY188" t="e">
        <f>AND(Liste!#REF!,"AAAAAH3d+zI=")</f>
        <v>#REF!</v>
      </c>
      <c r="AZ188" t="e">
        <f>AND(Liste!#REF!,"AAAAAH3d+zM=")</f>
        <v>#REF!</v>
      </c>
      <c r="BA188" t="e">
        <f>AND(Liste!#REF!,"AAAAAH3d+zQ=")</f>
        <v>#REF!</v>
      </c>
      <c r="BB188" t="e">
        <f>AND(Liste!#REF!,"AAAAAH3d+zU=")</f>
        <v>#REF!</v>
      </c>
      <c r="BC188" t="e">
        <f>AND(Liste!#REF!,"AAAAAH3d+zY=")</f>
        <v>#REF!</v>
      </c>
      <c r="BD188" t="e">
        <f>AND(Liste!#REF!,"AAAAAH3d+zc=")</f>
        <v>#REF!</v>
      </c>
      <c r="BE188" t="e">
        <f>AND(Liste!#REF!,"AAAAAH3d+zg=")</f>
        <v>#REF!</v>
      </c>
      <c r="BF188" t="e">
        <f>AND(Liste!#REF!,"AAAAAH3d+zk=")</f>
        <v>#REF!</v>
      </c>
      <c r="BG188">
        <f>IF(Liste!314:314,"AAAAAH3d+zo=",0)</f>
        <v>0</v>
      </c>
      <c r="BH188" t="b">
        <f>AND(Liste!A314,"AAAAAH3d+zs=")</f>
        <v>1</v>
      </c>
      <c r="BI188" t="e">
        <f>AND(Liste!#REF!,"AAAAAH3d+zw=")</f>
        <v>#REF!</v>
      </c>
      <c r="BJ188" t="e">
        <f>AND(Liste!#REF!,"AAAAAH3d+z0=")</f>
        <v>#REF!</v>
      </c>
      <c r="BK188" t="e">
        <f>AND(Liste!#REF!,"AAAAAH3d+z4=")</f>
        <v>#REF!</v>
      </c>
      <c r="BL188" t="e">
        <f>AND(Liste!F370,"AAAAAH3d+z8=")</f>
        <v>#VALUE!</v>
      </c>
      <c r="BM188" t="e">
        <f>AND(Liste!G370,"AAAAAH3d+0A=")</f>
        <v>#VALUE!</v>
      </c>
      <c r="BN188" t="e">
        <f>AND(Liste!H370,"AAAAAH3d+0E=")</f>
        <v>#VALUE!</v>
      </c>
      <c r="BO188" t="e">
        <f>AND(Liste!I370,"AAAAAH3d+0I=")</f>
        <v>#VALUE!</v>
      </c>
      <c r="BP188" t="e">
        <f>AND(Liste!J370,"AAAAAH3d+0M=")</f>
        <v>#VALUE!</v>
      </c>
      <c r="BQ188" t="e">
        <f>AND(Liste!#REF!,"AAAAAH3d+0Q=")</f>
        <v>#REF!</v>
      </c>
      <c r="BR188" t="e">
        <f>AND(Liste!#REF!,"AAAAAH3d+0U=")</f>
        <v>#REF!</v>
      </c>
      <c r="BS188" t="e">
        <f>AND(Liste!#REF!,"AAAAAH3d+0Y=")</f>
        <v>#REF!</v>
      </c>
      <c r="BT188" t="e">
        <f>AND(Liste!#REF!,"AAAAAH3d+0c=")</f>
        <v>#REF!</v>
      </c>
      <c r="BU188" t="e">
        <f>AND(Liste!#REF!,"AAAAAH3d+0g=")</f>
        <v>#REF!</v>
      </c>
      <c r="BV188" t="e">
        <f>AND(Liste!#REF!,"AAAAAH3d+0k=")</f>
        <v>#REF!</v>
      </c>
      <c r="BW188" t="e">
        <f>AND(Liste!#REF!,"AAAAAH3d+0o=")</f>
        <v>#REF!</v>
      </c>
      <c r="BX188" t="e">
        <f>AND(Liste!#REF!,"AAAAAH3d+0s=")</f>
        <v>#REF!</v>
      </c>
      <c r="BY188" t="e">
        <f>AND(Liste!#REF!,"AAAAAH3d+0w=")</f>
        <v>#REF!</v>
      </c>
      <c r="BZ188" t="e">
        <f>AND(Liste!#REF!,"AAAAAH3d+00=")</f>
        <v>#REF!</v>
      </c>
      <c r="CA188" t="e">
        <f>AND(Liste!#REF!,"AAAAAH3d+04=")</f>
        <v>#REF!</v>
      </c>
      <c r="CB188" t="e">
        <f>AND(Liste!#REF!,"AAAAAH3d+08=")</f>
        <v>#REF!</v>
      </c>
      <c r="CC188" t="e">
        <f>AND(Liste!#REF!,"AAAAAH3d+1A=")</f>
        <v>#REF!</v>
      </c>
      <c r="CD188" t="e">
        <f>AND(Liste!#REF!,"AAAAAH3d+1E=")</f>
        <v>#REF!</v>
      </c>
      <c r="CE188" t="e">
        <f>AND(Liste!#REF!,"AAAAAH3d+1I=")</f>
        <v>#REF!</v>
      </c>
      <c r="CF188" t="e">
        <f>AND(Liste!#REF!,"AAAAAH3d+1M=")</f>
        <v>#REF!</v>
      </c>
      <c r="CG188" t="e">
        <f>AND(Liste!#REF!,"AAAAAH3d+1Q=")</f>
        <v>#REF!</v>
      </c>
      <c r="CH188" t="e">
        <f>AND(Liste!#REF!,"AAAAAH3d+1U=")</f>
        <v>#REF!</v>
      </c>
      <c r="CI188" t="e">
        <f>AND(Liste!#REF!,"AAAAAH3d+1Y=")</f>
        <v>#REF!</v>
      </c>
      <c r="CJ188" t="e">
        <f>AND(Liste!#REF!,"AAAAAH3d+1c=")</f>
        <v>#REF!</v>
      </c>
      <c r="CK188" t="e">
        <f>AND(Liste!#REF!,"AAAAAH3d+1g=")</f>
        <v>#REF!</v>
      </c>
      <c r="CL188">
        <f>IF(Liste!315:315,"AAAAAH3d+1k=",0)</f>
        <v>0</v>
      </c>
      <c r="CM188" t="b">
        <f>AND(Liste!A315,"AAAAAH3d+1o=")</f>
        <v>1</v>
      </c>
      <c r="CN188" t="e">
        <f>AND(Liste!#REF!,"AAAAAH3d+1s=")</f>
        <v>#REF!</v>
      </c>
      <c r="CO188" t="e">
        <f>AND(Liste!#REF!,"AAAAAH3d+1w=")</f>
        <v>#REF!</v>
      </c>
      <c r="CP188" t="e">
        <f>AND(Liste!#REF!,"AAAAAH3d+10=")</f>
        <v>#REF!</v>
      </c>
      <c r="CQ188" t="e">
        <f>AND(Liste!F371,"AAAAAH3d+14=")</f>
        <v>#VALUE!</v>
      </c>
      <c r="CR188" t="e">
        <f>AND(Liste!G371,"AAAAAH3d+18=")</f>
        <v>#VALUE!</v>
      </c>
      <c r="CS188" t="e">
        <f>AND(Liste!H371,"AAAAAH3d+2A=")</f>
        <v>#VALUE!</v>
      </c>
      <c r="CT188" t="e">
        <f>AND(Liste!I371,"AAAAAH3d+2E=")</f>
        <v>#VALUE!</v>
      </c>
      <c r="CU188" t="e">
        <f>AND(Liste!J371,"AAAAAH3d+2I=")</f>
        <v>#VALUE!</v>
      </c>
      <c r="CV188" t="e">
        <f>AND(Liste!#REF!,"AAAAAH3d+2M=")</f>
        <v>#REF!</v>
      </c>
      <c r="CW188" t="e">
        <f>AND(Liste!#REF!,"AAAAAH3d+2Q=")</f>
        <v>#REF!</v>
      </c>
      <c r="CX188" t="e">
        <f>AND(Liste!#REF!,"AAAAAH3d+2U=")</f>
        <v>#REF!</v>
      </c>
      <c r="CY188" t="e">
        <f>AND(Liste!#REF!,"AAAAAH3d+2Y=")</f>
        <v>#REF!</v>
      </c>
      <c r="CZ188" t="e">
        <f>AND(Liste!#REF!,"AAAAAH3d+2c=")</f>
        <v>#REF!</v>
      </c>
      <c r="DA188" t="e">
        <f>AND(Liste!#REF!,"AAAAAH3d+2g=")</f>
        <v>#REF!</v>
      </c>
      <c r="DB188" t="e">
        <f>AND(Liste!#REF!,"AAAAAH3d+2k=")</f>
        <v>#REF!</v>
      </c>
      <c r="DC188" t="e">
        <f>AND(Liste!#REF!,"AAAAAH3d+2o=")</f>
        <v>#REF!</v>
      </c>
      <c r="DD188" t="e">
        <f>AND(Liste!#REF!,"AAAAAH3d+2s=")</f>
        <v>#REF!</v>
      </c>
      <c r="DE188" t="e">
        <f>AND(Liste!#REF!,"AAAAAH3d+2w=")</f>
        <v>#REF!</v>
      </c>
      <c r="DF188" t="e">
        <f>AND(Liste!#REF!,"AAAAAH3d+20=")</f>
        <v>#REF!</v>
      </c>
      <c r="DG188" t="e">
        <f>AND(Liste!#REF!,"AAAAAH3d+24=")</f>
        <v>#REF!</v>
      </c>
      <c r="DH188" t="e">
        <f>AND(Liste!#REF!,"AAAAAH3d+28=")</f>
        <v>#REF!</v>
      </c>
      <c r="DI188" t="e">
        <f>AND(Liste!#REF!,"AAAAAH3d+3A=")</f>
        <v>#REF!</v>
      </c>
      <c r="DJ188" t="e">
        <f>AND(Liste!#REF!,"AAAAAH3d+3E=")</f>
        <v>#REF!</v>
      </c>
      <c r="DK188" t="e">
        <f>AND(Liste!#REF!,"AAAAAH3d+3I=")</f>
        <v>#REF!</v>
      </c>
      <c r="DL188" t="e">
        <f>AND(Liste!#REF!,"AAAAAH3d+3M=")</f>
        <v>#REF!</v>
      </c>
      <c r="DM188" t="e">
        <f>AND(Liste!#REF!,"AAAAAH3d+3Q=")</f>
        <v>#REF!</v>
      </c>
      <c r="DN188" t="e">
        <f>AND(Liste!#REF!,"AAAAAH3d+3U=")</f>
        <v>#REF!</v>
      </c>
      <c r="DO188" t="e">
        <f>AND(Liste!#REF!,"AAAAAH3d+3Y=")</f>
        <v>#REF!</v>
      </c>
      <c r="DP188" t="e">
        <f>AND(Liste!#REF!,"AAAAAH3d+3c=")</f>
        <v>#REF!</v>
      </c>
      <c r="DQ188">
        <f>IF(Liste!316:316,"AAAAAH3d+3g=",0)</f>
        <v>0</v>
      </c>
      <c r="DR188" t="b">
        <f>AND(Liste!A316,"AAAAAH3d+3k=")</f>
        <v>1</v>
      </c>
      <c r="DS188" t="e">
        <f>AND(Liste!#REF!,"AAAAAH3d+3o=")</f>
        <v>#REF!</v>
      </c>
      <c r="DT188" t="e">
        <f>AND(Liste!#REF!,"AAAAAH3d+3s=")</f>
        <v>#REF!</v>
      </c>
      <c r="DU188" t="e">
        <f>AND(Liste!#REF!,"AAAAAH3d+3w=")</f>
        <v>#REF!</v>
      </c>
      <c r="DV188" t="e">
        <f>AND(Liste!F372,"AAAAAH3d+30=")</f>
        <v>#VALUE!</v>
      </c>
      <c r="DW188" t="e">
        <f>AND(Liste!G372,"AAAAAH3d+34=")</f>
        <v>#VALUE!</v>
      </c>
      <c r="DX188" t="e">
        <f>AND(Liste!H372,"AAAAAH3d+38=")</f>
        <v>#VALUE!</v>
      </c>
      <c r="DY188" t="e">
        <f>AND(Liste!I372,"AAAAAH3d+4A=")</f>
        <v>#VALUE!</v>
      </c>
      <c r="DZ188" t="e">
        <f>AND(Liste!J372,"AAAAAH3d+4E=")</f>
        <v>#VALUE!</v>
      </c>
      <c r="EA188" t="e">
        <f>AND(Liste!#REF!,"AAAAAH3d+4I=")</f>
        <v>#REF!</v>
      </c>
      <c r="EB188" t="e">
        <f>AND(Liste!#REF!,"AAAAAH3d+4M=")</f>
        <v>#REF!</v>
      </c>
      <c r="EC188" t="e">
        <f>AND(Liste!#REF!,"AAAAAH3d+4Q=")</f>
        <v>#REF!</v>
      </c>
      <c r="ED188" t="e">
        <f>AND(Liste!#REF!,"AAAAAH3d+4U=")</f>
        <v>#REF!</v>
      </c>
      <c r="EE188" t="e">
        <f>AND(Liste!#REF!,"AAAAAH3d+4Y=")</f>
        <v>#REF!</v>
      </c>
      <c r="EF188" t="e">
        <f>AND(Liste!#REF!,"AAAAAH3d+4c=")</f>
        <v>#REF!</v>
      </c>
      <c r="EG188" t="e">
        <f>AND(Liste!#REF!,"AAAAAH3d+4g=")</f>
        <v>#REF!</v>
      </c>
      <c r="EH188" t="e">
        <f>AND(Liste!#REF!,"AAAAAH3d+4k=")</f>
        <v>#REF!</v>
      </c>
      <c r="EI188" t="e">
        <f>AND(Liste!#REF!,"AAAAAH3d+4o=")</f>
        <v>#REF!</v>
      </c>
      <c r="EJ188" t="e">
        <f>AND(Liste!#REF!,"AAAAAH3d+4s=")</f>
        <v>#REF!</v>
      </c>
      <c r="EK188" t="e">
        <f>AND(Liste!#REF!,"AAAAAH3d+4w=")</f>
        <v>#REF!</v>
      </c>
      <c r="EL188" t="e">
        <f>AND(Liste!#REF!,"AAAAAH3d+40=")</f>
        <v>#REF!</v>
      </c>
      <c r="EM188" t="e">
        <f>AND(Liste!#REF!,"AAAAAH3d+44=")</f>
        <v>#REF!</v>
      </c>
      <c r="EN188" t="e">
        <f>AND(Liste!#REF!,"AAAAAH3d+48=")</f>
        <v>#REF!</v>
      </c>
      <c r="EO188" t="e">
        <f>AND(Liste!#REF!,"AAAAAH3d+5A=")</f>
        <v>#REF!</v>
      </c>
      <c r="EP188" t="e">
        <f>AND(Liste!#REF!,"AAAAAH3d+5E=")</f>
        <v>#REF!</v>
      </c>
      <c r="EQ188" t="e">
        <f>AND(Liste!#REF!,"AAAAAH3d+5I=")</f>
        <v>#REF!</v>
      </c>
      <c r="ER188" t="e">
        <f>AND(Liste!#REF!,"AAAAAH3d+5M=")</f>
        <v>#REF!</v>
      </c>
      <c r="ES188" t="e">
        <f>AND(Liste!#REF!,"AAAAAH3d+5Q=")</f>
        <v>#REF!</v>
      </c>
      <c r="ET188" t="e">
        <f>AND(Liste!#REF!,"AAAAAH3d+5U=")</f>
        <v>#REF!</v>
      </c>
      <c r="EU188" t="e">
        <f>AND(Liste!#REF!,"AAAAAH3d+5Y=")</f>
        <v>#REF!</v>
      </c>
      <c r="EV188">
        <f>IF(Liste!317:317,"AAAAAH3d+5c=",0)</f>
        <v>0</v>
      </c>
      <c r="EW188" t="b">
        <f>AND(Liste!A317,"AAAAAH3d+5g=")</f>
        <v>1</v>
      </c>
      <c r="EX188" t="e">
        <f>AND(Liste!#REF!,"AAAAAH3d+5k=")</f>
        <v>#REF!</v>
      </c>
      <c r="EY188" t="e">
        <f>AND(Liste!#REF!,"AAAAAH3d+5o=")</f>
        <v>#REF!</v>
      </c>
      <c r="EZ188" t="e">
        <f>AND(Liste!#REF!,"AAAAAH3d+5s=")</f>
        <v>#REF!</v>
      </c>
      <c r="FA188" t="e">
        <f>AND(Liste!F373,"AAAAAH3d+5w=")</f>
        <v>#VALUE!</v>
      </c>
      <c r="FB188" t="e">
        <f>AND(Liste!G373,"AAAAAH3d+50=")</f>
        <v>#VALUE!</v>
      </c>
      <c r="FC188" t="e">
        <f>AND(Liste!H373,"AAAAAH3d+54=")</f>
        <v>#VALUE!</v>
      </c>
      <c r="FD188" t="e">
        <f>AND(Liste!I373,"AAAAAH3d+58=")</f>
        <v>#VALUE!</v>
      </c>
      <c r="FE188" t="e">
        <f>AND(Liste!J373,"AAAAAH3d+6A=")</f>
        <v>#VALUE!</v>
      </c>
      <c r="FF188" t="e">
        <f>AND(Liste!#REF!,"AAAAAH3d+6E=")</f>
        <v>#REF!</v>
      </c>
      <c r="FG188" t="e">
        <f>AND(Liste!#REF!,"AAAAAH3d+6I=")</f>
        <v>#REF!</v>
      </c>
      <c r="FH188" t="e">
        <f>AND(Liste!#REF!,"AAAAAH3d+6M=")</f>
        <v>#REF!</v>
      </c>
      <c r="FI188" t="e">
        <f>AND(Liste!#REF!,"AAAAAH3d+6Q=")</f>
        <v>#REF!</v>
      </c>
      <c r="FJ188" t="e">
        <f>AND(Liste!#REF!,"AAAAAH3d+6U=")</f>
        <v>#REF!</v>
      </c>
      <c r="FK188" t="e">
        <f>AND(Liste!#REF!,"AAAAAH3d+6Y=")</f>
        <v>#REF!</v>
      </c>
      <c r="FL188" t="e">
        <f>AND(Liste!#REF!,"AAAAAH3d+6c=")</f>
        <v>#REF!</v>
      </c>
      <c r="FM188" t="e">
        <f>AND(Liste!#REF!,"AAAAAH3d+6g=")</f>
        <v>#REF!</v>
      </c>
      <c r="FN188" t="e">
        <f>AND(Liste!#REF!,"AAAAAH3d+6k=")</f>
        <v>#REF!</v>
      </c>
      <c r="FO188" t="e">
        <f>AND(Liste!#REF!,"AAAAAH3d+6o=")</f>
        <v>#REF!</v>
      </c>
      <c r="FP188" t="e">
        <f>AND(Liste!#REF!,"AAAAAH3d+6s=")</f>
        <v>#REF!</v>
      </c>
      <c r="FQ188" t="e">
        <f>AND(Liste!#REF!,"AAAAAH3d+6w=")</f>
        <v>#REF!</v>
      </c>
      <c r="FR188" t="e">
        <f>AND(Liste!#REF!,"AAAAAH3d+60=")</f>
        <v>#REF!</v>
      </c>
      <c r="FS188" t="e">
        <f>AND(Liste!#REF!,"AAAAAH3d+64=")</f>
        <v>#REF!</v>
      </c>
      <c r="FT188" t="e">
        <f>AND(Liste!#REF!,"AAAAAH3d+68=")</f>
        <v>#REF!</v>
      </c>
      <c r="FU188" t="e">
        <f>AND(Liste!#REF!,"AAAAAH3d+7A=")</f>
        <v>#REF!</v>
      </c>
      <c r="FV188" t="e">
        <f>AND(Liste!#REF!,"AAAAAH3d+7E=")</f>
        <v>#REF!</v>
      </c>
      <c r="FW188" t="e">
        <f>AND(Liste!#REF!,"AAAAAH3d+7I=")</f>
        <v>#REF!</v>
      </c>
      <c r="FX188" t="e">
        <f>AND(Liste!#REF!,"AAAAAH3d+7M=")</f>
        <v>#REF!</v>
      </c>
      <c r="FY188" t="e">
        <f>AND(Liste!#REF!,"AAAAAH3d+7Q=")</f>
        <v>#REF!</v>
      </c>
      <c r="FZ188" t="e">
        <f>AND(Liste!#REF!,"AAAAAH3d+7U=")</f>
        <v>#REF!</v>
      </c>
      <c r="GA188" t="b">
        <f>AND(Liste!A328,"AAAAAH3d+7Y=")</f>
        <v>1</v>
      </c>
      <c r="GB188" t="e">
        <f>AND(Liste!#REF!,"AAAAAH3d+7c=")</f>
        <v>#REF!</v>
      </c>
      <c r="GC188" t="e">
        <f>AND(Liste!#REF!,"AAAAAH3d+7g=")</f>
        <v>#REF!</v>
      </c>
      <c r="GD188" t="e">
        <f>AND(Liste!#REF!,"AAAAAH3d+7k=")</f>
        <v>#REF!</v>
      </c>
      <c r="GE188" t="e">
        <f>AND(Liste!#REF!,"AAAAAH3d+7o=")</f>
        <v>#REF!</v>
      </c>
      <c r="GF188" t="e">
        <f>AND(Liste!#REF!,"AAAAAH3d+7s=")</f>
        <v>#REF!</v>
      </c>
      <c r="GG188" t="e">
        <f>AND(Liste!#REF!,"AAAAAH3d+7w=")</f>
        <v>#REF!</v>
      </c>
      <c r="GH188" t="e">
        <f>AND(Liste!#REF!,"AAAAAH3d+70=")</f>
        <v>#REF!</v>
      </c>
      <c r="GI188" t="e">
        <f>AND(Liste!#REF!,"AAAAAH3d+74=")</f>
        <v>#REF!</v>
      </c>
      <c r="GJ188" t="e">
        <f>AND(Liste!#REF!,"AAAAAH3d+78=")</f>
        <v>#REF!</v>
      </c>
      <c r="GK188" t="e">
        <f>AND(Liste!#REF!,"AAAAAH3d+8A=")</f>
        <v>#REF!</v>
      </c>
      <c r="GL188" t="e">
        <f>AND(Liste!#REF!,"AAAAAH3d+8E=")</f>
        <v>#REF!</v>
      </c>
      <c r="GM188" t="e">
        <f>AND(Liste!#REF!,"AAAAAH3d+8I=")</f>
        <v>#REF!</v>
      </c>
      <c r="GN188" t="e">
        <f>AND(Liste!#REF!,"AAAAAH3d+8M=")</f>
        <v>#REF!</v>
      </c>
      <c r="GO188" t="e">
        <f>AND(Liste!#REF!,"AAAAAH3d+8Q=")</f>
        <v>#REF!</v>
      </c>
    </row>
    <row r="189" spans="1:256" x14ac:dyDescent="0.2">
      <c r="A189" t="e">
        <f>AND(Liste!#REF!,"AAAAAHv3xwA=")</f>
        <v>#REF!</v>
      </c>
      <c r="B189" t="e">
        <f>AND(Liste!#REF!,"AAAAAHv3xwE=")</f>
        <v>#REF!</v>
      </c>
      <c r="C189" t="e">
        <f>AND(Liste!#REF!,"AAAAAHv3xwI=")</f>
        <v>#REF!</v>
      </c>
    </row>
    <row r="190" spans="1:256" x14ac:dyDescent="0.2">
      <c r="A190" t="e">
        <f>AND(Liste!#REF!,"AAAAAF73mwA=")</f>
        <v>#REF!</v>
      </c>
      <c r="B190" t="e">
        <f>AND(Liste!#REF!,"AAAAAF73mwE=")</f>
        <v>#REF!</v>
      </c>
      <c r="C190" t="e">
        <f>AND(Liste!#REF!,"AAAAAF73mwI=")</f>
        <v>#REF!</v>
      </c>
      <c r="D190" t="e">
        <f>AND(Liste!#REF!,"AAAAAF73mwM=")</f>
        <v>#REF!</v>
      </c>
      <c r="E190" t="e">
        <f>AND(Liste!#REF!,"AAAAAF73mwQ=")</f>
        <v>#REF!</v>
      </c>
      <c r="F190" t="e">
        <f>AND(Liste!#REF!,"AAAAAF73mwU=")</f>
        <v>#REF!</v>
      </c>
    </row>
    <row r="191" spans="1:256" x14ac:dyDescent="0.2">
      <c r="A191" t="e">
        <f>AND(Liste!#REF!,"AAAAAF796wA=")</f>
        <v>#REF!</v>
      </c>
      <c r="B191" t="e">
        <f>AND(Liste!#REF!,"AAAAAF796wE=")</f>
        <v>#REF!</v>
      </c>
      <c r="C191" t="e">
        <f>AND(Liste!#REF!,"AAAAAF796wI=")</f>
        <v>#REF!</v>
      </c>
      <c r="D191" t="e">
        <f>AND(Liste!#REF!,"AAAAAF796wM=")</f>
        <v>#REF!</v>
      </c>
      <c r="E191" t="e">
        <f>AND(Liste!#REF!,"AAAAAF796wQ=")</f>
        <v>#REF!</v>
      </c>
      <c r="F191" t="e">
        <f>AND(Liste!#REF!,"AAAAAF796wU=")</f>
        <v>#REF!</v>
      </c>
      <c r="G191" t="e">
        <f>AND(Liste!#REF!,"AAAAAF796wY=")</f>
        <v>#REF!</v>
      </c>
      <c r="H191" t="e">
        <f>AND(Liste!#REF!,"AAAAAF796wc=")</f>
        <v>#REF!</v>
      </c>
      <c r="I191" t="e">
        <f>AND(Liste!#REF!,"AAAAAF796wg=")</f>
        <v>#REF!</v>
      </c>
      <c r="J191" t="e">
        <f>AND(Liste!#REF!,"AAAAAF796wk=")</f>
        <v>#REF!</v>
      </c>
      <c r="K191" t="e">
        <f>AND(Liste!#REF!,"AAAAAF796wo=")</f>
        <v>#REF!</v>
      </c>
      <c r="L191" t="e">
        <f>AND(Liste!#REF!,"AAAAAF796ws=")</f>
        <v>#REF!</v>
      </c>
      <c r="M191" t="e">
        <f>AND(Liste!#REF!,"AAAAAF796ww=")</f>
        <v>#REF!</v>
      </c>
      <c r="N191" t="e">
        <f>AND(Liste!#REF!,"AAAAAF796w0=")</f>
        <v>#REF!</v>
      </c>
      <c r="O191" t="e">
        <f>AND(Liste!#REF!,"AAAAAF796w4=")</f>
        <v>#REF!</v>
      </c>
      <c r="P191" t="e">
        <f>AND(Liste!#REF!,"AAAAAF796w8=")</f>
        <v>#REF!</v>
      </c>
      <c r="Q191" t="e">
        <f>AND(Liste!#REF!,"AAAAAF796xA=")</f>
        <v>#REF!</v>
      </c>
      <c r="R191" t="e">
        <f>AND(Liste!#REF!,"AAAAAF796xE=")</f>
        <v>#REF!</v>
      </c>
      <c r="S191" t="e">
        <f>AND(Liste!#REF!,"AAAAAF796xI=")</f>
        <v>#REF!</v>
      </c>
      <c r="T191" t="e">
        <f>AND(Liste!#REF!,"AAAAAF796xM=")</f>
        <v>#REF!</v>
      </c>
      <c r="U191" t="e">
        <f>AND(Liste!#REF!,"AAAAAF796xQ=")</f>
        <v>#REF!</v>
      </c>
      <c r="V191" t="e">
        <f>AND(Liste!#REF!,"AAAAAF796xU=")</f>
        <v>#REF!</v>
      </c>
      <c r="W191" t="e">
        <f>AND(Liste!#REF!,"AAAAAF796xY=")</f>
        <v>#REF!</v>
      </c>
      <c r="X191" t="e">
        <f>AND(Liste!#REF!,"AAAAAF796xc=")</f>
        <v>#REF!</v>
      </c>
      <c r="Y191" t="e">
        <f>AND(Liste!#REF!,"AAAAAF796xg=")</f>
        <v>#REF!</v>
      </c>
      <c r="Z191" t="e">
        <f>AND(Liste!#REF!,"AAAAAF796xk=")</f>
        <v>#REF!</v>
      </c>
      <c r="AA191" t="e">
        <f>AND(Liste!#REF!,"AAAAAF796xo=")</f>
        <v>#REF!</v>
      </c>
      <c r="AB191" t="e">
        <f>AND(Liste!#REF!,"AAAAAF796xs=")</f>
        <v>#REF!</v>
      </c>
      <c r="AC191" t="e">
        <f>AND(Liste!#REF!,"AAAAAF796xw=")</f>
        <v>#REF!</v>
      </c>
      <c r="AD191" t="e">
        <f>AND(Liste!#REF!,"AAAAAF796x0=")</f>
        <v>#REF!</v>
      </c>
      <c r="AE191" t="e">
        <f>AND(Liste!#REF!,"AAAAAF796x4=")</f>
        <v>#REF!</v>
      </c>
      <c r="AF191" t="e">
        <f>AND(Liste!#REF!,"AAAAAF796x8=")</f>
        <v>#REF!</v>
      </c>
      <c r="AG191" t="e">
        <f>AND(Liste!#REF!,"AAAAAF796yA=")</f>
        <v>#REF!</v>
      </c>
      <c r="AH191" t="e">
        <f>AND(Liste!#REF!,"AAAAAF796yE=")</f>
        <v>#REF!</v>
      </c>
      <c r="AI191" t="e">
        <f>AND(Liste!#REF!,"AAAAAF796yI=")</f>
        <v>#REF!</v>
      </c>
      <c r="AJ191" t="e">
        <f>AND(Liste!#REF!,"AAAAAF796yM=")</f>
        <v>#REF!</v>
      </c>
      <c r="AK191" t="e">
        <f>AND(Liste!#REF!,"AAAAAF796yQ=")</f>
        <v>#REF!</v>
      </c>
      <c r="AL191" t="e">
        <f>AND(Liste!#REF!,"AAAAAF796yU=")</f>
        <v>#REF!</v>
      </c>
      <c r="AM191" t="e">
        <f>AND(Liste!#REF!,"AAAAAF796yY=")</f>
        <v>#REF!</v>
      </c>
      <c r="AN191" t="e">
        <f>AND(Liste!#REF!,"AAAAAF796yc=")</f>
        <v>#REF!</v>
      </c>
      <c r="AO191" t="e">
        <f>AND(Liste!#REF!,"AAAAAF796yg=")</f>
        <v>#REF!</v>
      </c>
      <c r="AP191" t="e">
        <f>AND(Liste!#REF!,"AAAAAF796yk=")</f>
        <v>#REF!</v>
      </c>
      <c r="AQ191" t="e">
        <f>AND(Liste!#REF!,"AAAAAF796yo=")</f>
        <v>#REF!</v>
      </c>
      <c r="AR191" t="e">
        <f>AND(Liste!#REF!,"AAAAAF796ys=")</f>
        <v>#REF!</v>
      </c>
      <c r="AS191" t="e">
        <f>AND(Liste!#REF!,"AAAAAF796yw=")</f>
        <v>#REF!</v>
      </c>
      <c r="AT191" t="e">
        <f>AND(Liste!#REF!,"AAAAAF796y0=")</f>
        <v>#REF!</v>
      </c>
      <c r="AU191" t="e">
        <f>AND(Liste!#REF!,"AAAAAF796y4=")</f>
        <v>#REF!</v>
      </c>
      <c r="AV191" t="e">
        <f>AND(Liste!#REF!,"AAAAAF796y8=")</f>
        <v>#REF!</v>
      </c>
      <c r="AW191" t="e">
        <f>AND(Liste!#REF!,"AAAAAF796zA=")</f>
        <v>#REF!</v>
      </c>
      <c r="AX191" t="e">
        <f>AND(Liste!#REF!,"AAAAAF796zE=")</f>
        <v>#REF!</v>
      </c>
      <c r="AY191" t="e">
        <f>AND(Liste!#REF!,"AAAAAF796zI=")</f>
        <v>#REF!</v>
      </c>
      <c r="AZ191" t="e">
        <f>AND(Liste!#REF!,"AAAAAF796zM=")</f>
        <v>#REF!</v>
      </c>
      <c r="BA191" t="e">
        <f>AND(Liste!#REF!,"AAAAAF796zQ=")</f>
        <v>#REF!</v>
      </c>
      <c r="BB191" t="e">
        <f>AND(Liste!#REF!,"AAAAAF796zU=")</f>
        <v>#REF!</v>
      </c>
      <c r="BC191" t="e">
        <f>AND(Liste!#REF!,"AAAAAF796zY=")</f>
        <v>#REF!</v>
      </c>
      <c r="BD191" t="e">
        <f>AND(Liste!#REF!,"AAAAAF796zc=")</f>
        <v>#REF!</v>
      </c>
      <c r="BE191" t="e">
        <f>AND(Liste!#REF!,"AAAAAF796zg=")</f>
        <v>#REF!</v>
      </c>
      <c r="BF191" t="e">
        <f>AND(Liste!#REF!,"AAAAAF796zk=")</f>
        <v>#REF!</v>
      </c>
      <c r="BG191" t="e">
        <f>AND(Liste!#REF!,"AAAAAF796zo=")</f>
        <v>#REF!</v>
      </c>
      <c r="BH191" t="e">
        <f>AND(Liste!#REF!,"AAAAAF796zs=")</f>
        <v>#REF!</v>
      </c>
      <c r="BI191" t="e">
        <f>AND(Liste!#REF!,"AAAAAF796zw=")</f>
        <v>#REF!</v>
      </c>
      <c r="BJ191" t="e">
        <f>AND(Liste!#REF!,"AAAAAF796z0=")</f>
        <v>#REF!</v>
      </c>
      <c r="BK191" t="e">
        <f>AND(Liste!#REF!,"AAAAAF796z4=")</f>
        <v>#REF!</v>
      </c>
      <c r="BL191" t="e">
        <f>AND(Liste!#REF!,"AAAAAF796z8=")</f>
        <v>#REF!</v>
      </c>
      <c r="BM191" t="e">
        <f>AND(Liste!#REF!,"AAAAAF7960A=")</f>
        <v>#REF!</v>
      </c>
      <c r="BN191" t="e">
        <f>AND(Liste!#REF!,"AAAAAF7960E=")</f>
        <v>#REF!</v>
      </c>
      <c r="BO191" t="e">
        <f>AND(Liste!#REF!,"AAAAAF7960I=")</f>
        <v>#REF!</v>
      </c>
      <c r="BP191" t="e">
        <f>AND(Liste!#REF!,"AAAAAF7960M=")</f>
        <v>#REF!</v>
      </c>
      <c r="BQ191" t="e">
        <f>AND(Liste!#REF!,"AAAAAF7960Q=")</f>
        <v>#REF!</v>
      </c>
      <c r="BR191" t="e">
        <f>AND(Liste!#REF!,"AAAAAF7960U=")</f>
        <v>#REF!</v>
      </c>
      <c r="BS191" t="e">
        <f>AND(Liste!#REF!,"AAAAAF7960Y=")</f>
        <v>#REF!</v>
      </c>
      <c r="BT191" t="e">
        <f>AND(Liste!#REF!,"AAAAAF7960c=")</f>
        <v>#REF!</v>
      </c>
      <c r="BU191" t="e">
        <f>AND(Liste!#REF!,"AAAAAF7960g=")</f>
        <v>#REF!</v>
      </c>
      <c r="BV191" t="e">
        <f>AND(Liste!#REF!,"AAAAAF7960k=")</f>
        <v>#REF!</v>
      </c>
      <c r="BW191" t="e">
        <f>AND(Liste!#REF!,"AAAAAF7960o=")</f>
        <v>#REF!</v>
      </c>
      <c r="BX191" t="e">
        <f>AND(Liste!#REF!,"AAAAAF7960s=")</f>
        <v>#REF!</v>
      </c>
      <c r="BY191" t="e">
        <f>AND(Liste!#REF!,"AAAAAF7960w=")</f>
        <v>#REF!</v>
      </c>
      <c r="BZ191" t="e">
        <f>AND(Liste!#REF!,"AAAAAF79600=")</f>
        <v>#REF!</v>
      </c>
      <c r="CA191" t="e">
        <f>AND(Liste!#REF!,"AAAAAF79604=")</f>
        <v>#REF!</v>
      </c>
      <c r="CB191" t="e">
        <f>AND(Liste!#REF!,"AAAAAF79608=")</f>
        <v>#REF!</v>
      </c>
      <c r="CC191" t="e">
        <f>AND(Liste!#REF!,"AAAAAF7961A=")</f>
        <v>#REF!</v>
      </c>
      <c r="CD191" t="e">
        <f>AND(Liste!#REF!,"AAAAAF7961E=")</f>
        <v>#REF!</v>
      </c>
      <c r="CE191" t="e">
        <f>AND(Liste!#REF!,"AAAAAF7961I=")</f>
        <v>#REF!</v>
      </c>
      <c r="CF191" t="e">
        <f>AND(Liste!#REF!,"AAAAAF7961M=")</f>
        <v>#REF!</v>
      </c>
      <c r="CG191" t="e">
        <f>AND(Liste!#REF!,"AAAAAF7961Q=")</f>
        <v>#REF!</v>
      </c>
      <c r="CH191" t="e">
        <f>AND(Liste!#REF!,"AAAAAF7961U=")</f>
        <v>#REF!</v>
      </c>
      <c r="CI191" t="e">
        <f>AND(Liste!#REF!,"AAAAAF7961Y=")</f>
        <v>#REF!</v>
      </c>
      <c r="CJ191" t="e">
        <f>AND(Liste!#REF!,"AAAAAF7961c=")</f>
        <v>#REF!</v>
      </c>
      <c r="CK191" t="e">
        <f>AND(Liste!#REF!,"AAAAAF7961g=")</f>
        <v>#REF!</v>
      </c>
      <c r="CL191" t="e">
        <f>AND(Liste!#REF!,"AAAAAF7961k=")</f>
        <v>#REF!</v>
      </c>
      <c r="CM191" t="e">
        <f>AND(Liste!#REF!,"AAAAAF7961o=")</f>
        <v>#REF!</v>
      </c>
      <c r="CN191" t="e">
        <f>AND(Liste!#REF!,"AAAAAF7961s=")</f>
        <v>#REF!</v>
      </c>
      <c r="CO191" t="e">
        <f>AND(Liste!#REF!,"AAAAAF7961w=")</f>
        <v>#REF!</v>
      </c>
      <c r="CP191" t="e">
        <f>AND(Liste!#REF!,"AAAAAF79610=")</f>
        <v>#REF!</v>
      </c>
      <c r="CQ191" t="e">
        <f>AND(Liste!#REF!,"AAAAAF79614=")</f>
        <v>#REF!</v>
      </c>
      <c r="CR191" t="e">
        <f>AND(Liste!#REF!,"AAAAAF79618=")</f>
        <v>#REF!</v>
      </c>
      <c r="CS191" t="e">
        <f>AND(Liste!#REF!,"AAAAAF7962A=")</f>
        <v>#REF!</v>
      </c>
      <c r="CT191" t="e">
        <f>AND(Liste!#REF!,"AAAAAF7962E=")</f>
        <v>#REF!</v>
      </c>
      <c r="CU191" t="e">
        <f>AND(Liste!#REF!,"AAAAAF7962I=")</f>
        <v>#REF!</v>
      </c>
      <c r="CV191" t="e">
        <f>AND(Liste!#REF!,"AAAAAF7962M=")</f>
        <v>#REF!</v>
      </c>
      <c r="CW191" t="e">
        <f>AND(Liste!#REF!,"AAAAAF7962Q=")</f>
        <v>#REF!</v>
      </c>
      <c r="CX191" t="e">
        <f>AND(Liste!#REF!,"AAAAAF7962U=")</f>
        <v>#REF!</v>
      </c>
      <c r="CY191" t="e">
        <f>AND(Liste!#REF!,"AAAAAF7962Y=")</f>
        <v>#REF!</v>
      </c>
      <c r="CZ191" t="e">
        <f>AND(Liste!#REF!,"AAAAAF7962c=")</f>
        <v>#REF!</v>
      </c>
      <c r="DA191" t="e">
        <f>AND(Liste!#REF!,"AAAAAF7962g=")</f>
        <v>#REF!</v>
      </c>
      <c r="DB191" t="e">
        <f>AND(Liste!#REF!,"AAAAAF7962k=")</f>
        <v>#REF!</v>
      </c>
      <c r="DC191" t="e">
        <f>AND(Liste!#REF!,"AAAAAF7962o=")</f>
        <v>#REF!</v>
      </c>
      <c r="DD191" t="e">
        <f>AND(Liste!#REF!,"AAAAAF7962s=")</f>
        <v>#REF!</v>
      </c>
      <c r="DE191" t="e">
        <f>AND(Liste!#REF!,"AAAAAF7962w=")</f>
        <v>#REF!</v>
      </c>
      <c r="DF191" t="e">
        <f>AND(Liste!#REF!,"AAAAAF79620=")</f>
        <v>#REF!</v>
      </c>
      <c r="DG191" t="e">
        <f>AND(Liste!#REF!,"AAAAAF79624=")</f>
        <v>#REF!</v>
      </c>
      <c r="DH191" t="e">
        <f>AND(Liste!#REF!,"AAAAAF79628=")</f>
        <v>#REF!</v>
      </c>
      <c r="DI191" t="e">
        <f>AND(Liste!#REF!,"AAAAAF7963A=")</f>
        <v>#REF!</v>
      </c>
      <c r="DJ191" t="e">
        <f>AND(Liste!#REF!,"AAAAAF7963E=")</f>
        <v>#REF!</v>
      </c>
      <c r="DK191" t="e">
        <f>AND(Liste!#REF!,"AAAAAF7963I=")</f>
        <v>#REF!</v>
      </c>
      <c r="DL191" t="e">
        <f>AND(Liste!#REF!,"AAAAAF7963M=")</f>
        <v>#REF!</v>
      </c>
      <c r="DM191" t="e">
        <f>AND(Liste!#REF!,"AAAAAF7963Q=")</f>
        <v>#REF!</v>
      </c>
      <c r="DN191" t="e">
        <f>AND(Liste!#REF!,"AAAAAF7963U=")</f>
        <v>#REF!</v>
      </c>
      <c r="DO191" t="e">
        <f>AND(Liste!#REF!,"AAAAAF7963Y=")</f>
        <v>#REF!</v>
      </c>
      <c r="DP191" t="e">
        <f>AND(Liste!#REF!,"AAAAAF7963c=")</f>
        <v>#REF!</v>
      </c>
      <c r="DQ191" t="e">
        <f>AND(Liste!#REF!,"AAAAAF7963g=")</f>
        <v>#REF!</v>
      </c>
      <c r="DR191" t="e">
        <f>AND(Liste!#REF!,"AAAAAF7963k=")</f>
        <v>#REF!</v>
      </c>
      <c r="DS191" t="e">
        <f>AND(Liste!#REF!,"AAAAAF7963o=")</f>
        <v>#REF!</v>
      </c>
      <c r="DT191" t="e">
        <f>AND(Liste!#REF!,"AAAAAF7963s=")</f>
        <v>#REF!</v>
      </c>
      <c r="DU191" t="e">
        <f>AND(Liste!#REF!,"AAAAAF7963w=")</f>
        <v>#REF!</v>
      </c>
      <c r="DV191" t="e">
        <f>AND(Liste!#REF!,"AAAAAF79630=")</f>
        <v>#REF!</v>
      </c>
      <c r="DW191" t="e">
        <f>AND(Liste!#REF!,"AAAAAF79634=")</f>
        <v>#REF!</v>
      </c>
      <c r="DX191" t="e">
        <f>AND(Liste!#REF!,"AAAAAF79638=")</f>
        <v>#REF!</v>
      </c>
      <c r="DY191" t="e">
        <f>AND(Liste!#REF!,"AAAAAF7964A=")</f>
        <v>#REF!</v>
      </c>
      <c r="DZ191" t="e">
        <f>AND(Liste!#REF!,"AAAAAF7964E=")</f>
        <v>#REF!</v>
      </c>
      <c r="EA191" t="e">
        <f>AND(Liste!#REF!,"AAAAAF7964I=")</f>
        <v>#REF!</v>
      </c>
      <c r="EB191" t="e">
        <f>AND(Liste!#REF!,"AAAAAF7964M=")</f>
        <v>#REF!</v>
      </c>
      <c r="EC191" t="e">
        <f>AND(Liste!#REF!,"AAAAAF7964Q=")</f>
        <v>#REF!</v>
      </c>
      <c r="ED191" t="e">
        <f>AND(Liste!#REF!,"AAAAAF7964U=")</f>
        <v>#REF!</v>
      </c>
      <c r="EE191" t="e">
        <f>AND(Liste!#REF!,"AAAAAF7964Y=")</f>
        <v>#REF!</v>
      </c>
      <c r="EF191" t="e">
        <f>AND(Liste!#REF!,"AAAAAF7964c=")</f>
        <v>#REF!</v>
      </c>
      <c r="EG191" t="e">
        <f>AND(Liste!#REF!,"AAAAAF7964g=")</f>
        <v>#REF!</v>
      </c>
      <c r="EH191" t="e">
        <f>AND(Liste!#REF!,"AAAAAF7964k=")</f>
        <v>#REF!</v>
      </c>
      <c r="EI191" t="e">
        <f>AND(Liste!#REF!,"AAAAAF7964o=")</f>
        <v>#REF!</v>
      </c>
      <c r="EJ191" t="e">
        <f>AND(Liste!#REF!,"AAAAAF7964s=")</f>
        <v>#REF!</v>
      </c>
      <c r="EK191" t="e">
        <f>AND(Liste!#REF!,"AAAAAF7964w=")</f>
        <v>#REF!</v>
      </c>
      <c r="EL191" t="e">
        <f>AND(Liste!#REF!,"AAAAAF79640=")</f>
        <v>#REF!</v>
      </c>
      <c r="EM191" t="e">
        <f>AND(Liste!#REF!,"AAAAAF79644=")</f>
        <v>#REF!</v>
      </c>
      <c r="EN191" t="e">
        <f>AND(Liste!#REF!,"AAAAAF79648=")</f>
        <v>#REF!</v>
      </c>
      <c r="EO191" t="e">
        <f>AND(Liste!#REF!,"AAAAAF7965A=")</f>
        <v>#REF!</v>
      </c>
      <c r="EP191" t="e">
        <f>AND(Liste!#REF!,"AAAAAF7965E=")</f>
        <v>#REF!</v>
      </c>
      <c r="EQ191" t="e">
        <f>AND(Liste!#REF!,"AAAAAF7965I=")</f>
        <v>#REF!</v>
      </c>
      <c r="ER191" t="e">
        <f>AND(Liste!#REF!,"AAAAAF7965M=")</f>
        <v>#REF!</v>
      </c>
      <c r="ES191" t="e">
        <f>AND(Liste!#REF!,"AAAAAF7965Q=")</f>
        <v>#REF!</v>
      </c>
      <c r="ET191" t="e">
        <f>AND(Liste!#REF!,"AAAAAF7965U=")</f>
        <v>#REF!</v>
      </c>
      <c r="EU191" t="e">
        <f>AND(Liste!#REF!,"AAAAAF7965Y=")</f>
        <v>#REF!</v>
      </c>
      <c r="EV191" t="e">
        <f>AND(Liste!#REF!,"AAAAAF7965c=")</f>
        <v>#REF!</v>
      </c>
      <c r="EW191" t="e">
        <f>AND(Liste!#REF!,"AAAAAF7965g=")</f>
        <v>#REF!</v>
      </c>
      <c r="EX191" t="e">
        <f>AND(Liste!#REF!,"AAAAAF7965k=")</f>
        <v>#REF!</v>
      </c>
      <c r="EY191" t="e">
        <f>AND(Liste!#REF!,"AAAAAF7965o=")</f>
        <v>#REF!</v>
      </c>
      <c r="EZ191" t="e">
        <f>AND(Liste!#REF!,"AAAAAF7965s=")</f>
        <v>#REF!</v>
      </c>
      <c r="FA191" t="e">
        <f>AND(Liste!#REF!,"AAAAAF7965w=")</f>
        <v>#REF!</v>
      </c>
      <c r="FB191" t="e">
        <f>AND(Liste!#REF!,"AAAAAF79650=")</f>
        <v>#REF!</v>
      </c>
      <c r="FC191" t="e">
        <f>AND(Liste!#REF!,"AAAAAF79654=")</f>
        <v>#REF!</v>
      </c>
      <c r="FD191" t="e">
        <f>AND(Liste!#REF!,"AAAAAF79658=")</f>
        <v>#REF!</v>
      </c>
      <c r="FE191" t="e">
        <f>AND(Liste!#REF!,"AAAAAF7966A=")</f>
        <v>#REF!</v>
      </c>
      <c r="FF191" t="e">
        <f>AND(Liste!#REF!,"AAAAAF7966E=")</f>
        <v>#REF!</v>
      </c>
      <c r="FG191" t="e">
        <f>AND(Liste!#REF!,"AAAAAF7966I=")</f>
        <v>#REF!</v>
      </c>
      <c r="FH191" t="e">
        <f>AND(Liste!#REF!,"AAAAAF7966M=")</f>
        <v>#REF!</v>
      </c>
      <c r="FI191" t="e">
        <f>AND(Liste!#REF!,"AAAAAF7966Q=")</f>
        <v>#REF!</v>
      </c>
      <c r="FJ191" t="e">
        <f>AND(Liste!#REF!,"AAAAAF7966U=")</f>
        <v>#REF!</v>
      </c>
      <c r="FK191" t="e">
        <f>AND(Liste!#REF!,"AAAAAF7966Y=")</f>
        <v>#REF!</v>
      </c>
      <c r="FL191" t="e">
        <f>AND(Liste!#REF!,"AAAAAF7966c=")</f>
        <v>#REF!</v>
      </c>
      <c r="FM191" t="e">
        <f>AND(Liste!#REF!,"AAAAAF7966g=")</f>
        <v>#REF!</v>
      </c>
      <c r="FN191" t="e">
        <f>AND(Liste!#REF!,"AAAAAF7966k=")</f>
        <v>#REF!</v>
      </c>
      <c r="FO191" t="e">
        <f>AND(Liste!#REF!,"AAAAAF7966o=")</f>
        <v>#REF!</v>
      </c>
      <c r="FP191" t="e">
        <f>AND(Liste!#REF!,"AAAAAF7966s=")</f>
        <v>#REF!</v>
      </c>
      <c r="FQ191" t="e">
        <f>AND(Liste!#REF!,"AAAAAF7966w=")</f>
        <v>#REF!</v>
      </c>
      <c r="FR191" t="e">
        <f>AND(Liste!#REF!,"AAAAAF79660=")</f>
        <v>#REF!</v>
      </c>
      <c r="FS191" t="e">
        <f>AND(Liste!#REF!,"AAAAAF79664=")</f>
        <v>#REF!</v>
      </c>
      <c r="FT191" t="e">
        <f>AND(Liste!#REF!,"AAAAAF79668=")</f>
        <v>#REF!</v>
      </c>
      <c r="FU191" t="e">
        <f>AND(Liste!#REF!,"AAAAAF7967A=")</f>
        <v>#REF!</v>
      </c>
      <c r="FV191" t="e">
        <f>AND(Liste!#REF!,"AAAAAF7967E=")</f>
        <v>#REF!</v>
      </c>
      <c r="FW191" t="e">
        <f>AND(Liste!#REF!,"AAAAAF7967I=")</f>
        <v>#REF!</v>
      </c>
      <c r="FX191" t="e">
        <f>AND(Liste!#REF!,"AAAAAF7967M=")</f>
        <v>#REF!</v>
      </c>
      <c r="FY191" t="e">
        <f>AND(Liste!#REF!,"AAAAAF7967Q=")</f>
        <v>#REF!</v>
      </c>
      <c r="FZ191" t="e">
        <f>AND(Liste!#REF!,"AAAAAF7967U=")</f>
        <v>#REF!</v>
      </c>
      <c r="GA191" t="e">
        <f>AND(Liste!#REF!,"AAAAAF7967Y=")</f>
        <v>#REF!</v>
      </c>
      <c r="GB191" t="e">
        <f>AND(Liste!#REF!,"AAAAAF7967c=")</f>
        <v>#REF!</v>
      </c>
      <c r="GC191" t="e">
        <f>AND(Liste!#REF!,"AAAAAF7967g=")</f>
        <v>#REF!</v>
      </c>
      <c r="GD191" t="e">
        <f>AND(Liste!#REF!,"AAAAAF7967k=")</f>
        <v>#REF!</v>
      </c>
      <c r="GE191" t="e">
        <f>AND(Liste!#REF!,"AAAAAF7967o=")</f>
        <v>#REF!</v>
      </c>
      <c r="GF191" t="e">
        <f>AND(Liste!#REF!,"AAAAAF7967s=")</f>
        <v>#REF!</v>
      </c>
      <c r="GG191" t="e">
        <f>AND(Liste!#REF!,"AAAAAF7967w=")</f>
        <v>#REF!</v>
      </c>
      <c r="GH191" t="e">
        <f>AND(Liste!#REF!,"AAAAAF79670=")</f>
        <v>#REF!</v>
      </c>
      <c r="GI191" t="e">
        <f>AND(Liste!#REF!,"AAAAAF79674=")</f>
        <v>#REF!</v>
      </c>
      <c r="GJ191" t="e">
        <f>AND(Liste!#REF!,"AAAAAF79678=")</f>
        <v>#REF!</v>
      </c>
      <c r="GK191" t="e">
        <f>AND(Liste!#REF!,"AAAAAF7968A=")</f>
        <v>#REF!</v>
      </c>
      <c r="GL191" t="e">
        <f>AND(Liste!#REF!,"AAAAAF7968E=")</f>
        <v>#REF!</v>
      </c>
      <c r="GM191" t="e">
        <f>AND(Liste!#REF!,"AAAAAF7968I=")</f>
        <v>#REF!</v>
      </c>
      <c r="GN191" t="e">
        <f>AND(Liste!#REF!,"AAAAAF7968M=")</f>
        <v>#REF!</v>
      </c>
      <c r="GO191" t="e">
        <f>AND(Liste!#REF!,"AAAAAF7968Q=")</f>
        <v>#REF!</v>
      </c>
      <c r="GP191" t="e">
        <f>AND(Liste!#REF!,"AAAAAF7968U=")</f>
        <v>#REF!</v>
      </c>
      <c r="GQ191" t="e">
        <f>AND(Liste!#REF!,"AAAAAF7968Y=")</f>
        <v>#REF!</v>
      </c>
      <c r="GR191" t="e">
        <f>AND(Liste!#REF!,"AAAAAF7968c=")</f>
        <v>#REF!</v>
      </c>
      <c r="GS191" t="e">
        <f>AND(Liste!#REF!,"AAAAAF7968g=")</f>
        <v>#REF!</v>
      </c>
      <c r="GT191" t="e">
        <f>AND(Liste!#REF!,"AAAAAF7968k=")</f>
        <v>#REF!</v>
      </c>
      <c r="GU191" t="e">
        <f>AND(Liste!#REF!,"AAAAAF7968o=")</f>
        <v>#REF!</v>
      </c>
      <c r="GV191" t="e">
        <f>AND(Liste!#REF!,"AAAAAF7968s=")</f>
        <v>#REF!</v>
      </c>
      <c r="GW191" t="e">
        <f>AND(Liste!#REF!,"AAAAAF7968w=")</f>
        <v>#REF!</v>
      </c>
      <c r="GX191" t="e">
        <f>AND(Liste!#REF!,"AAAAAF79680=")</f>
        <v>#REF!</v>
      </c>
      <c r="GY191" t="e">
        <f>AND(Liste!#REF!,"AAAAAF79684=")</f>
        <v>#REF!</v>
      </c>
      <c r="GZ191" t="e">
        <f>AND(Liste!#REF!,"AAAAAF79688=")</f>
        <v>#REF!</v>
      </c>
      <c r="HA191" t="e">
        <f>AND(Liste!#REF!,"AAAAAF7969A=")</f>
        <v>#REF!</v>
      </c>
      <c r="HB191" t="e">
        <f>AND(Liste!#REF!,"AAAAAF7969E=")</f>
        <v>#REF!</v>
      </c>
      <c r="HC191" t="e">
        <f>AND(Liste!#REF!,"AAAAAF7969I=")</f>
        <v>#REF!</v>
      </c>
      <c r="HD191" t="e">
        <f>AND(Liste!#REF!,"AAAAAF7969M=")</f>
        <v>#REF!</v>
      </c>
      <c r="HE191" t="e">
        <f>AND(Liste!#REF!,"AAAAAF7969Q=")</f>
        <v>#REF!</v>
      </c>
      <c r="HF191" t="e">
        <f>AND(Liste!#REF!,"AAAAAF7969U=")</f>
        <v>#REF!</v>
      </c>
      <c r="HG191" t="e">
        <f>AND(Liste!#REF!,"AAAAAF7969Y=")</f>
        <v>#REF!</v>
      </c>
      <c r="HH191" t="e">
        <f>AND(Liste!#REF!,"AAAAAF7969c=")</f>
        <v>#REF!</v>
      </c>
      <c r="HI191" t="e">
        <f>AND(Liste!#REF!,"AAAAAF7969g=")</f>
        <v>#REF!</v>
      </c>
      <c r="HJ191" t="e">
        <f>AND(Liste!#REF!,"AAAAAF7969k=")</f>
        <v>#REF!</v>
      </c>
      <c r="HK191" t="e">
        <f>AND(Liste!#REF!,"AAAAAF7969o=")</f>
        <v>#REF!</v>
      </c>
      <c r="HL191" t="e">
        <f>AND(Liste!#REF!,"AAAAAF7969s=")</f>
        <v>#REF!</v>
      </c>
      <c r="HM191" t="e">
        <f>AND(Liste!#REF!,"AAAAAF7969w=")</f>
        <v>#REF!</v>
      </c>
      <c r="HN191" t="e">
        <f>AND(Liste!#REF!,"AAAAAF79690=")</f>
        <v>#REF!</v>
      </c>
      <c r="HO191" t="e">
        <f>AND(Liste!#REF!,"AAAAAF79694=")</f>
        <v>#REF!</v>
      </c>
      <c r="HP191" t="e">
        <f>AND(Liste!#REF!,"AAAAAF79698=")</f>
        <v>#REF!</v>
      </c>
      <c r="HQ191" t="e">
        <f>AND(Liste!#REF!,"AAAAAF796+A=")</f>
        <v>#REF!</v>
      </c>
      <c r="HR191" t="e">
        <f>AND(Liste!#REF!,"AAAAAF796+E=")</f>
        <v>#REF!</v>
      </c>
      <c r="HS191" t="e">
        <f>AND(Liste!#REF!,"AAAAAF796+I=")</f>
        <v>#REF!</v>
      </c>
      <c r="HT191" t="e">
        <f>AND(Liste!#REF!,"AAAAAF796+M=")</f>
        <v>#REF!</v>
      </c>
      <c r="HU191" t="e">
        <f>AND(Liste!#REF!,"AAAAAF796+Q=")</f>
        <v>#REF!</v>
      </c>
      <c r="HV191" t="e">
        <f>AND(Liste!#REF!,"AAAAAF796+U=")</f>
        <v>#REF!</v>
      </c>
      <c r="HW191" t="e">
        <f>AND(Liste!#REF!,"AAAAAF796+Y=")</f>
        <v>#REF!</v>
      </c>
      <c r="HX191" t="e">
        <f>AND(Liste!#REF!,"AAAAAF796+c=")</f>
        <v>#REF!</v>
      </c>
      <c r="HY191" t="e">
        <f>AND(Liste!#REF!,"AAAAAF796+g=")</f>
        <v>#REF!</v>
      </c>
      <c r="HZ191" t="e">
        <f>AND(Liste!#REF!,"AAAAAF796+k=")</f>
        <v>#REF!</v>
      </c>
      <c r="IA191" t="e">
        <f>AND(Liste!#REF!,"AAAAAF796+o=")</f>
        <v>#REF!</v>
      </c>
      <c r="IB191" t="e">
        <f>AND(Liste!#REF!,"AAAAAF796+s=")</f>
        <v>#REF!</v>
      </c>
      <c r="IC191" t="e">
        <f>AND(Liste!#REF!,"AAAAAF796+w=")</f>
        <v>#REF!</v>
      </c>
      <c r="ID191" t="e">
        <f>AND(Liste!#REF!,"AAAAAF796+0=")</f>
        <v>#REF!</v>
      </c>
      <c r="IE191" t="e">
        <f>AND(Liste!#REF!,"AAAAAF796+4=")</f>
        <v>#REF!</v>
      </c>
      <c r="IF191" t="e">
        <f>AND(Liste!#REF!,"AAAAAF796+8=")</f>
        <v>#REF!</v>
      </c>
      <c r="IG191" t="e">
        <f>AND(Liste!#REF!,"AAAAAF796/A=")</f>
        <v>#REF!</v>
      </c>
      <c r="IH191" t="e">
        <f>AND(Liste!#REF!,"AAAAAF796/E=")</f>
        <v>#REF!</v>
      </c>
      <c r="II191" t="e">
        <f>AND(Liste!#REF!,"AAAAAF796/I=")</f>
        <v>#REF!</v>
      </c>
      <c r="IJ191" t="e">
        <f>AND(Liste!#REF!,"AAAAAF796/M=")</f>
        <v>#REF!</v>
      </c>
      <c r="IK191" t="e">
        <f>AND(Liste!#REF!,"AAAAAF796/Q=")</f>
        <v>#REF!</v>
      </c>
      <c r="IL191" t="e">
        <f>AND(Liste!#REF!,"AAAAAF796/U=")</f>
        <v>#REF!</v>
      </c>
      <c r="IM191" t="e">
        <f>AND(Liste!#REF!,"AAAAAF796/Y=")</f>
        <v>#REF!</v>
      </c>
      <c r="IN191" t="e">
        <f>AND(Liste!#REF!,"AAAAAF796/c=")</f>
        <v>#REF!</v>
      </c>
      <c r="IO191" t="e">
        <f>AND(Liste!#REF!,"AAAAAF796/g=")</f>
        <v>#REF!</v>
      </c>
      <c r="IP191" t="e">
        <f>AND(Liste!#REF!,"AAAAAF796/k=")</f>
        <v>#REF!</v>
      </c>
      <c r="IQ191" t="e">
        <f>AND(Liste!#REF!,"AAAAAF796/o=")</f>
        <v>#REF!</v>
      </c>
      <c r="IR191" t="e">
        <f>AND(Liste!#REF!,"AAAAAF796/s=")</f>
        <v>#REF!</v>
      </c>
      <c r="IS191" t="e">
        <f>AND(Liste!#REF!,"AAAAAF796/w=")</f>
        <v>#REF!</v>
      </c>
      <c r="IT191" t="e">
        <f>AND(Liste!#REF!,"AAAAAF796/0=")</f>
        <v>#REF!</v>
      </c>
      <c r="IU191" t="e">
        <f>AND(Liste!#REF!,"AAAAAF796/4=")</f>
        <v>#REF!</v>
      </c>
      <c r="IV191" t="e">
        <f>AND(Liste!#REF!,"AAAAAF796/8=")</f>
        <v>#REF!</v>
      </c>
    </row>
    <row r="192" spans="1:256" x14ac:dyDescent="0.2">
      <c r="A192" t="e">
        <f>AND(Liste!#REF!,"AAAAAEw/8wA=")</f>
        <v>#REF!</v>
      </c>
      <c r="B192" t="e">
        <f>AND(Liste!#REF!,"AAAAAEw/8wE=")</f>
        <v>#REF!</v>
      </c>
      <c r="C192" t="e">
        <f>AND(Liste!#REF!,"AAAAAEw/8wI=")</f>
        <v>#REF!</v>
      </c>
      <c r="D192" t="e">
        <f>AND(Liste!#REF!,"AAAAAEw/8wM=")</f>
        <v>#REF!</v>
      </c>
      <c r="E192" t="e">
        <f>AND(Liste!#REF!,"AAAAAEw/8wQ=")</f>
        <v>#REF!</v>
      </c>
      <c r="F192" t="e">
        <f>AND(Liste!#REF!,"AAAAAEw/8wU=")</f>
        <v>#REF!</v>
      </c>
      <c r="G192" t="e">
        <f>AND(Liste!#REF!,"AAAAAEw/8wY=")</f>
        <v>#REF!</v>
      </c>
      <c r="H192" t="e">
        <f>AND(Liste!#REF!,"AAAAAEw/8wc=")</f>
        <v>#REF!</v>
      </c>
      <c r="I192" t="e">
        <f>AND(Liste!#REF!,"AAAAAEw/8wg=")</f>
        <v>#REF!</v>
      </c>
      <c r="J192" t="e">
        <f>AND(Liste!#REF!,"AAAAAEw/8wk=")</f>
        <v>#REF!</v>
      </c>
      <c r="K192" t="e">
        <f>AND(Liste!#REF!,"AAAAAEw/8wo=")</f>
        <v>#REF!</v>
      </c>
      <c r="L192" t="e">
        <f>AND(Liste!#REF!,"AAAAAEw/8ws=")</f>
        <v>#REF!</v>
      </c>
      <c r="M192" t="e">
        <f>AND(Liste!#REF!,"AAAAAEw/8ww=")</f>
        <v>#REF!</v>
      </c>
      <c r="N192" t="e">
        <f>AND(Liste!#REF!,"AAAAAEw/8w0=")</f>
        <v>#REF!</v>
      </c>
      <c r="O192" t="e">
        <f>AND(Liste!#REF!,"AAAAAEw/8w4=")</f>
        <v>#REF!</v>
      </c>
      <c r="P192" t="e">
        <f>AND(Liste!#REF!,"AAAAAEw/8w8=")</f>
        <v>#REF!</v>
      </c>
      <c r="Q192" t="e">
        <f>AND(Liste!#REF!,"AAAAAEw/8xA=")</f>
        <v>#REF!</v>
      </c>
      <c r="R192" t="e">
        <f>AND(Liste!#REF!,"AAAAAEw/8xE=")</f>
        <v>#REF!</v>
      </c>
      <c r="S192" t="e">
        <f>AND(Liste!#REF!,"AAAAAEw/8xI=")</f>
        <v>#REF!</v>
      </c>
      <c r="T192" t="e">
        <f>AND(Liste!#REF!,"AAAAAEw/8xM=")</f>
        <v>#REF!</v>
      </c>
      <c r="U192" t="e">
        <f>AND(Liste!#REF!,"AAAAAEw/8xQ=")</f>
        <v>#REF!</v>
      </c>
      <c r="V192" t="e">
        <f>AND(Liste!#REF!,"AAAAAEw/8xU=")</f>
        <v>#REF!</v>
      </c>
      <c r="W192" t="e">
        <f>AND(Liste!#REF!,"AAAAAEw/8xY=")</f>
        <v>#REF!</v>
      </c>
      <c r="X192" t="e">
        <f>AND(Liste!#REF!,"AAAAAEw/8xc=")</f>
        <v>#REF!</v>
      </c>
      <c r="Y192" t="e">
        <f>AND(Liste!#REF!,"AAAAAEw/8xg=")</f>
        <v>#REF!</v>
      </c>
      <c r="Z192" t="e">
        <f>AND(Liste!#REF!,"AAAAAEw/8xk=")</f>
        <v>#REF!</v>
      </c>
      <c r="AA192" t="e">
        <f>AND(Liste!#REF!,"AAAAAEw/8xo=")</f>
        <v>#REF!</v>
      </c>
      <c r="AB192" t="e">
        <f>AND(Liste!#REF!,"AAAAAEw/8xs=")</f>
        <v>#REF!</v>
      </c>
      <c r="AC192" t="e">
        <f>AND(Liste!#REF!,"AAAAAEw/8xw=")</f>
        <v>#REF!</v>
      </c>
      <c r="AD192" t="e">
        <f>AND(Liste!#REF!,"AAAAAEw/8x0=")</f>
        <v>#REF!</v>
      </c>
      <c r="AE192" t="e">
        <f>AND(Liste!#REF!,"AAAAAEw/8x4=")</f>
        <v>#REF!</v>
      </c>
      <c r="AF192" t="e">
        <f>AND(Liste!#REF!,"AAAAAEw/8x8=")</f>
        <v>#REF!</v>
      </c>
      <c r="AG192" t="e">
        <f>AND(Liste!#REF!,"AAAAAEw/8yA=")</f>
        <v>#REF!</v>
      </c>
      <c r="AH192" t="e">
        <f>AND(Liste!#REF!,"AAAAAEw/8yE=")</f>
        <v>#REF!</v>
      </c>
      <c r="AI192" t="e">
        <f>AND(Liste!#REF!,"AAAAAEw/8yI=")</f>
        <v>#REF!</v>
      </c>
      <c r="AJ192" t="e">
        <f>AND(Liste!#REF!,"AAAAAEw/8yM=")</f>
        <v>#REF!</v>
      </c>
      <c r="AK192" t="e">
        <f>AND(Liste!#REF!,"AAAAAEw/8yQ=")</f>
        <v>#REF!</v>
      </c>
      <c r="AL192" t="e">
        <f>AND(Liste!#REF!,"AAAAAEw/8yU=")</f>
        <v>#REF!</v>
      </c>
      <c r="AM192" t="e">
        <f>AND(Liste!#REF!,"AAAAAEw/8yY=")</f>
        <v>#REF!</v>
      </c>
      <c r="AN192" t="e">
        <f>AND(Liste!#REF!,"AAAAAEw/8yc=")</f>
        <v>#REF!</v>
      </c>
      <c r="AO192" t="e">
        <f>AND(Liste!#REF!,"AAAAAEw/8yg=")</f>
        <v>#REF!</v>
      </c>
      <c r="AP192" t="e">
        <f>AND(Liste!#REF!,"AAAAAEw/8yk=")</f>
        <v>#REF!</v>
      </c>
      <c r="AQ192" t="e">
        <f>AND(Liste!#REF!,"AAAAAEw/8yo=")</f>
        <v>#REF!</v>
      </c>
      <c r="AR192" t="e">
        <f>AND(Liste!#REF!,"AAAAAEw/8ys=")</f>
        <v>#REF!</v>
      </c>
      <c r="AS192" t="e">
        <f>AND(Liste!#REF!,"AAAAAEw/8yw=")</f>
        <v>#REF!</v>
      </c>
      <c r="AT192" t="e">
        <f>AND(Liste!#REF!,"AAAAAEw/8y0=")</f>
        <v>#REF!</v>
      </c>
      <c r="AU192" t="e">
        <f>AND(Liste!#REF!,"AAAAAEw/8y4=")</f>
        <v>#REF!</v>
      </c>
      <c r="AV192" t="e">
        <f>AND(Liste!#REF!,"AAAAAEw/8y8=")</f>
        <v>#REF!</v>
      </c>
      <c r="AW192" t="e">
        <f>AND(Liste!#REF!,"AAAAAEw/8zA=")</f>
        <v>#REF!</v>
      </c>
      <c r="AX192" t="e">
        <f>AND(Liste!#REF!,"AAAAAEw/8zE=")</f>
        <v>#REF!</v>
      </c>
      <c r="AY192" t="e">
        <f>AND(Liste!#REF!,"AAAAAEw/8zI=")</f>
        <v>#REF!</v>
      </c>
      <c r="AZ192" t="e">
        <f>AND(Liste!#REF!,"AAAAAEw/8zM=")</f>
        <v>#REF!</v>
      </c>
      <c r="BA192" t="e">
        <f>AND(Liste!#REF!,"AAAAAEw/8zQ=")</f>
        <v>#REF!</v>
      </c>
      <c r="BB192" t="e">
        <f>AND(Liste!#REF!,"AAAAAEw/8zU=")</f>
        <v>#REF!</v>
      </c>
      <c r="BC192" t="e">
        <f>AND(Liste!#REF!,"AAAAAEw/8zY=")</f>
        <v>#REF!</v>
      </c>
      <c r="BD192" t="e">
        <f>AND(Liste!#REF!,"AAAAAEw/8zc=")</f>
        <v>#REF!</v>
      </c>
      <c r="BE192" t="e">
        <f>AND(Liste!#REF!,"AAAAAEw/8zg=")</f>
        <v>#REF!</v>
      </c>
      <c r="BF192" t="e">
        <f>AND(Liste!#REF!,"AAAAAEw/8zk=")</f>
        <v>#REF!</v>
      </c>
      <c r="BG192" t="e">
        <f>AND(Liste!#REF!,"AAAAAEw/8zo=")</f>
        <v>#REF!</v>
      </c>
      <c r="BH192" t="e">
        <f>AND(Liste!#REF!,"AAAAAEw/8zs=")</f>
        <v>#REF!</v>
      </c>
      <c r="BI192" t="e">
        <f>AND(Liste!#REF!,"AAAAAEw/8zw=")</f>
        <v>#REF!</v>
      </c>
      <c r="BJ192" t="e">
        <f>AND(Liste!#REF!,"AAAAAEw/8z0=")</f>
        <v>#REF!</v>
      </c>
      <c r="BK192" t="e">
        <f>AND(Liste!#REF!,"AAAAAEw/8z4=")</f>
        <v>#REF!</v>
      </c>
      <c r="BL192" t="e">
        <f>AND(Liste!#REF!,"AAAAAEw/8z8=")</f>
        <v>#REF!</v>
      </c>
      <c r="BM192" t="e">
        <f>IF(Liste!#REF!,"AAAAAEw/80A=",0)</f>
        <v>#REF!</v>
      </c>
      <c r="BN192" t="e">
        <f>AND(Liste!#REF!,"AAAAAEw/80E=")</f>
        <v>#REF!</v>
      </c>
      <c r="BO192" t="e">
        <f>AND(Liste!#REF!,"AAAAAEw/80I=")</f>
        <v>#REF!</v>
      </c>
      <c r="BP192" t="e">
        <f>AND(Liste!#REF!,"AAAAAEw/80M=")</f>
        <v>#REF!</v>
      </c>
      <c r="BQ192" t="e">
        <f>AND(Liste!#REF!,"AAAAAEw/80Q=")</f>
        <v>#REF!</v>
      </c>
      <c r="BR192" t="e">
        <f>AND(Liste!#REF!,"AAAAAEw/80U=")</f>
        <v>#REF!</v>
      </c>
      <c r="BS192" t="e">
        <f>AND(Liste!#REF!,"AAAAAEw/80Y=")</f>
        <v>#REF!</v>
      </c>
      <c r="BT192" t="e">
        <f>AND(Liste!#REF!,"AAAAAEw/80c=")</f>
        <v>#REF!</v>
      </c>
      <c r="BU192" t="e">
        <f>AND(Liste!#REF!,"AAAAAEw/80g=")</f>
        <v>#REF!</v>
      </c>
      <c r="BV192" t="e">
        <f>AND(Liste!#REF!,"AAAAAEw/80k=")</f>
        <v>#REF!</v>
      </c>
      <c r="BW192" t="e">
        <f>AND(Liste!#REF!,"AAAAAEw/80o=")</f>
        <v>#REF!</v>
      </c>
      <c r="BX192" t="e">
        <f>AND(Liste!#REF!,"AAAAAEw/80s=")</f>
        <v>#REF!</v>
      </c>
      <c r="BY192" t="e">
        <f>AND(Liste!#REF!,"AAAAAEw/80w=")</f>
        <v>#REF!</v>
      </c>
      <c r="BZ192" t="e">
        <f>AND(Liste!#REF!,"AAAAAEw/800=")</f>
        <v>#REF!</v>
      </c>
      <c r="CA192" t="e">
        <f>AND(Liste!#REF!,"AAAAAEw/804=")</f>
        <v>#REF!</v>
      </c>
      <c r="CB192" t="e">
        <f>AND(Liste!#REF!,"AAAAAEw/808=")</f>
        <v>#REF!</v>
      </c>
      <c r="CC192" t="e">
        <f>AND(Liste!#REF!,"AAAAAEw/81A=")</f>
        <v>#REF!</v>
      </c>
      <c r="CD192" t="e">
        <f>AND(Liste!#REF!,"AAAAAEw/81E=")</f>
        <v>#REF!</v>
      </c>
      <c r="CE192" t="e">
        <f>AND(Liste!#REF!,"AAAAAEw/81I=")</f>
        <v>#REF!</v>
      </c>
      <c r="CF192" t="e">
        <f>AND(Liste!#REF!,"AAAAAEw/81M=")</f>
        <v>#REF!</v>
      </c>
      <c r="CG192" t="e">
        <f>AND(Liste!#REF!,"AAAAAEw/81Q=")</f>
        <v>#REF!</v>
      </c>
      <c r="CH192" t="e">
        <f>AND(Liste!#REF!,"AAAAAEw/81U=")</f>
        <v>#REF!</v>
      </c>
      <c r="CI192" t="e">
        <f>AND(Liste!#REF!,"AAAAAEw/81Y=")</f>
        <v>#REF!</v>
      </c>
      <c r="CJ192" t="e">
        <f>AND(Liste!#REF!,"AAAAAEw/81c=")</f>
        <v>#REF!</v>
      </c>
      <c r="CK192" t="e">
        <f>AND(Liste!#REF!,"AAAAAEw/81g=")</f>
        <v>#REF!</v>
      </c>
      <c r="CL192" t="e">
        <f>AND(Liste!#REF!,"AAAAAEw/81k=")</f>
        <v>#REF!</v>
      </c>
      <c r="CM192" t="e">
        <f>AND(Liste!#REF!,"AAAAAEw/81o=")</f>
        <v>#REF!</v>
      </c>
      <c r="CN192" t="e">
        <f>AND(Liste!#REF!,"AAAAAEw/81s=")</f>
        <v>#REF!</v>
      </c>
      <c r="CO192" t="e">
        <f>AND(Liste!#REF!,"AAAAAEw/81w=")</f>
        <v>#REF!</v>
      </c>
      <c r="CP192" t="e">
        <f>AND(Liste!#REF!,"AAAAAEw/810=")</f>
        <v>#REF!</v>
      </c>
      <c r="CQ192" t="e">
        <f>AND(Liste!#REF!,"AAAAAEw/814=")</f>
        <v>#REF!</v>
      </c>
      <c r="CR192" t="e">
        <f>IF(Liste!#REF!,"AAAAAEw/818=",0)</f>
        <v>#REF!</v>
      </c>
      <c r="CS192" t="e">
        <f>AND(Liste!#REF!,"AAAAAEw/82A=")</f>
        <v>#REF!</v>
      </c>
      <c r="CT192" t="e">
        <f>AND(Liste!#REF!,"AAAAAEw/82E=")</f>
        <v>#REF!</v>
      </c>
      <c r="CU192" t="e">
        <f>AND(Liste!#REF!,"AAAAAEw/82I=")</f>
        <v>#REF!</v>
      </c>
      <c r="CV192" t="e">
        <f>AND(Liste!#REF!,"AAAAAEw/82M=")</f>
        <v>#REF!</v>
      </c>
      <c r="CW192" t="e">
        <f>AND(Liste!#REF!,"AAAAAEw/82Q=")</f>
        <v>#REF!</v>
      </c>
      <c r="CX192" t="e">
        <f>AND(Liste!#REF!,"AAAAAEw/82U=")</f>
        <v>#REF!</v>
      </c>
      <c r="CY192" t="e">
        <f>AND(Liste!#REF!,"AAAAAEw/82Y=")</f>
        <v>#REF!</v>
      </c>
      <c r="CZ192" t="e">
        <f>AND(Liste!#REF!,"AAAAAEw/82c=")</f>
        <v>#REF!</v>
      </c>
      <c r="DA192" t="e">
        <f>AND(Liste!#REF!,"AAAAAEw/82g=")</f>
        <v>#REF!</v>
      </c>
      <c r="DB192" t="e">
        <f>AND(Liste!#REF!,"AAAAAEw/82k=")</f>
        <v>#REF!</v>
      </c>
      <c r="DC192" t="e">
        <f>AND(Liste!#REF!,"AAAAAEw/82o=")</f>
        <v>#REF!</v>
      </c>
      <c r="DD192" t="e">
        <f>AND(Liste!#REF!,"AAAAAEw/82s=")</f>
        <v>#REF!</v>
      </c>
      <c r="DE192" t="e">
        <f>AND(Liste!#REF!,"AAAAAEw/82w=")</f>
        <v>#REF!</v>
      </c>
      <c r="DF192" t="e">
        <f>AND(Liste!#REF!,"AAAAAEw/820=")</f>
        <v>#REF!</v>
      </c>
      <c r="DG192" t="e">
        <f>AND(Liste!#REF!,"AAAAAEw/824=")</f>
        <v>#REF!</v>
      </c>
      <c r="DH192" t="e">
        <f>AND(Liste!#REF!,"AAAAAEw/828=")</f>
        <v>#REF!</v>
      </c>
      <c r="DI192" t="e">
        <f>AND(Liste!#REF!,"AAAAAEw/83A=")</f>
        <v>#REF!</v>
      </c>
      <c r="DJ192" t="e">
        <f>AND(Liste!#REF!,"AAAAAEw/83E=")</f>
        <v>#REF!</v>
      </c>
      <c r="DK192" t="e">
        <f>AND(Liste!#REF!,"AAAAAEw/83I=")</f>
        <v>#REF!</v>
      </c>
      <c r="DL192" t="e">
        <f>AND(Liste!#REF!,"AAAAAEw/83M=")</f>
        <v>#REF!</v>
      </c>
      <c r="DM192" t="e">
        <f>AND(Liste!#REF!,"AAAAAEw/83Q=")</f>
        <v>#REF!</v>
      </c>
      <c r="DN192" t="e">
        <f>AND(Liste!#REF!,"AAAAAEw/83U=")</f>
        <v>#REF!</v>
      </c>
      <c r="DO192" t="e">
        <f>AND(Liste!#REF!,"AAAAAEw/83Y=")</f>
        <v>#REF!</v>
      </c>
      <c r="DP192" t="e">
        <f>AND(Liste!#REF!,"AAAAAEw/83c=")</f>
        <v>#REF!</v>
      </c>
      <c r="DQ192" t="e">
        <f>AND(Liste!#REF!,"AAAAAEw/83g=")</f>
        <v>#REF!</v>
      </c>
      <c r="DR192" t="e">
        <f>AND(Liste!#REF!,"AAAAAEw/83k=")</f>
        <v>#REF!</v>
      </c>
      <c r="DS192" t="e">
        <f>AND(Liste!#REF!,"AAAAAEw/83o=")</f>
        <v>#REF!</v>
      </c>
      <c r="DT192" t="e">
        <f>AND(Liste!#REF!,"AAAAAEw/83s=")</f>
        <v>#REF!</v>
      </c>
      <c r="DU192" t="e">
        <f>AND(Liste!#REF!,"AAAAAEw/83w=")</f>
        <v>#REF!</v>
      </c>
      <c r="DV192" t="e">
        <f>AND(Liste!#REF!,"AAAAAEw/830=")</f>
        <v>#REF!</v>
      </c>
      <c r="DW192" t="e">
        <f>IF(Liste!#REF!,"AAAAAEw/834=",0)</f>
        <v>#REF!</v>
      </c>
      <c r="DX192" t="e">
        <f>AND(Liste!#REF!,"AAAAAEw/838=")</f>
        <v>#REF!</v>
      </c>
      <c r="DY192" t="e">
        <f>AND(Liste!#REF!,"AAAAAEw/84A=")</f>
        <v>#REF!</v>
      </c>
      <c r="DZ192" t="e">
        <f>AND(Liste!#REF!,"AAAAAEw/84E=")</f>
        <v>#REF!</v>
      </c>
      <c r="EA192" t="e">
        <f>AND(Liste!#REF!,"AAAAAEw/84I=")</f>
        <v>#REF!</v>
      </c>
      <c r="EB192" t="e">
        <f>AND(Liste!#REF!,"AAAAAEw/84M=")</f>
        <v>#REF!</v>
      </c>
      <c r="EC192" t="e">
        <f>AND(Liste!#REF!,"AAAAAEw/84Q=")</f>
        <v>#REF!</v>
      </c>
      <c r="ED192" t="e">
        <f>AND(Liste!#REF!,"AAAAAEw/84U=")</f>
        <v>#REF!</v>
      </c>
      <c r="EE192" t="e">
        <f>AND(Liste!#REF!,"AAAAAEw/84Y=")</f>
        <v>#REF!</v>
      </c>
      <c r="EF192" t="e">
        <f>AND(Liste!#REF!,"AAAAAEw/84c=")</f>
        <v>#REF!</v>
      </c>
      <c r="EG192" t="e">
        <f>AND(Liste!#REF!,"AAAAAEw/84g=")</f>
        <v>#REF!</v>
      </c>
      <c r="EH192" t="e">
        <f>AND(Liste!#REF!,"AAAAAEw/84k=")</f>
        <v>#REF!</v>
      </c>
      <c r="EI192" t="e">
        <f>AND(Liste!#REF!,"AAAAAEw/84o=")</f>
        <v>#REF!</v>
      </c>
      <c r="EJ192" t="e">
        <f>AND(Liste!#REF!,"AAAAAEw/84s=")</f>
        <v>#REF!</v>
      </c>
      <c r="EK192" t="e">
        <f>AND(Liste!#REF!,"AAAAAEw/84w=")</f>
        <v>#REF!</v>
      </c>
      <c r="EL192" t="e">
        <f>AND(Liste!#REF!,"AAAAAEw/840=")</f>
        <v>#REF!</v>
      </c>
      <c r="EM192" t="e">
        <f>AND(Liste!#REF!,"AAAAAEw/844=")</f>
        <v>#REF!</v>
      </c>
      <c r="EN192" t="e">
        <f>AND(Liste!#REF!,"AAAAAEw/848=")</f>
        <v>#REF!</v>
      </c>
      <c r="EO192" t="e">
        <f>AND(Liste!#REF!,"AAAAAEw/85A=")</f>
        <v>#REF!</v>
      </c>
      <c r="EP192" t="e">
        <f>AND(Liste!#REF!,"AAAAAEw/85E=")</f>
        <v>#REF!</v>
      </c>
      <c r="EQ192" t="e">
        <f>AND(Liste!#REF!,"AAAAAEw/85I=")</f>
        <v>#REF!</v>
      </c>
      <c r="ER192" t="e">
        <f>AND(Liste!#REF!,"AAAAAEw/85M=")</f>
        <v>#REF!</v>
      </c>
      <c r="ES192" t="e">
        <f>AND(Liste!#REF!,"AAAAAEw/85Q=")</f>
        <v>#REF!</v>
      </c>
      <c r="ET192" t="e">
        <f>AND(Liste!#REF!,"AAAAAEw/85U=")</f>
        <v>#REF!</v>
      </c>
      <c r="EU192" t="e">
        <f>AND(Liste!#REF!,"AAAAAEw/85Y=")</f>
        <v>#REF!</v>
      </c>
      <c r="EV192" t="e">
        <f>AND(Liste!#REF!,"AAAAAEw/85c=")</f>
        <v>#REF!</v>
      </c>
      <c r="EW192" t="e">
        <f>AND(Liste!#REF!,"AAAAAEw/85g=")</f>
        <v>#REF!</v>
      </c>
      <c r="EX192" t="e">
        <f>AND(Liste!#REF!,"AAAAAEw/85k=")</f>
        <v>#REF!</v>
      </c>
      <c r="EY192" t="e">
        <f>IF(Liste!#REF!,"AAAAAEw/85o=",0)</f>
        <v>#REF!</v>
      </c>
      <c r="EZ192" t="e">
        <f>AND(Liste!#REF!,"AAAAAEw/85s=")</f>
        <v>#REF!</v>
      </c>
      <c r="FA192" t="e">
        <f>AND(Liste!#REF!,"AAAAAEw/85w=")</f>
        <v>#REF!</v>
      </c>
      <c r="FB192" t="e">
        <f>AND(Liste!#REF!,"AAAAAEw/850=")</f>
        <v>#REF!</v>
      </c>
      <c r="FC192" t="e">
        <f>AND(Liste!#REF!,"AAAAAEw/854=")</f>
        <v>#REF!</v>
      </c>
      <c r="FD192" t="e">
        <f>AND(Liste!#REF!,"AAAAAEw/858=")</f>
        <v>#REF!</v>
      </c>
      <c r="FE192" t="e">
        <f>AND(Liste!#REF!,"AAAAAEw/86A=")</f>
        <v>#REF!</v>
      </c>
      <c r="FF192" t="e">
        <f>AND(Liste!#REF!,"AAAAAEw/86E=")</f>
        <v>#REF!</v>
      </c>
      <c r="FG192" t="e">
        <f>AND(Liste!#REF!,"AAAAAEw/86I=")</f>
        <v>#REF!</v>
      </c>
      <c r="FH192" t="e">
        <f>AND(Liste!#REF!,"AAAAAEw/86M=")</f>
        <v>#REF!</v>
      </c>
      <c r="FI192" t="e">
        <f>AND(Liste!#REF!,"AAAAAEw/86Q=")</f>
        <v>#REF!</v>
      </c>
      <c r="FJ192" t="e">
        <f>AND(Liste!#REF!,"AAAAAEw/86U=")</f>
        <v>#REF!</v>
      </c>
      <c r="FK192" t="e">
        <f>AND(Liste!#REF!,"AAAAAEw/86Y=")</f>
        <v>#REF!</v>
      </c>
      <c r="FL192" t="e">
        <f>AND(Liste!#REF!,"AAAAAEw/86c=")</f>
        <v>#REF!</v>
      </c>
      <c r="FM192" t="e">
        <f>AND(Liste!#REF!,"AAAAAEw/86g=")</f>
        <v>#REF!</v>
      </c>
      <c r="FN192" t="e">
        <f>AND(Liste!#REF!,"AAAAAEw/86k=")</f>
        <v>#REF!</v>
      </c>
      <c r="FO192" t="e">
        <f>AND(Liste!#REF!,"AAAAAEw/86o=")</f>
        <v>#REF!</v>
      </c>
      <c r="FP192" t="e">
        <f>AND(Liste!#REF!,"AAAAAEw/86s=")</f>
        <v>#REF!</v>
      </c>
      <c r="FQ192" t="e">
        <f>AND(Liste!#REF!,"AAAAAEw/86w=")</f>
        <v>#REF!</v>
      </c>
      <c r="FR192" t="e">
        <f>AND(Liste!#REF!,"AAAAAEw/860=")</f>
        <v>#REF!</v>
      </c>
      <c r="FS192" t="e">
        <f>AND(Liste!#REF!,"AAAAAEw/864=")</f>
        <v>#REF!</v>
      </c>
      <c r="FT192" t="e">
        <f>AND(Liste!#REF!,"AAAAAEw/868=")</f>
        <v>#REF!</v>
      </c>
      <c r="FU192" t="e">
        <f>AND(Liste!#REF!,"AAAAAEw/87A=")</f>
        <v>#REF!</v>
      </c>
      <c r="FV192" t="e">
        <f>AND(Liste!#REF!,"AAAAAEw/87E=")</f>
        <v>#REF!</v>
      </c>
      <c r="FW192" t="e">
        <f>AND(Liste!#REF!,"AAAAAEw/87I=")</f>
        <v>#REF!</v>
      </c>
      <c r="FX192" t="e">
        <f>AND(Liste!#REF!,"AAAAAEw/87M=")</f>
        <v>#REF!</v>
      </c>
      <c r="FY192" t="e">
        <f>AND(Liste!#REF!,"AAAAAEw/87Q=")</f>
        <v>#REF!</v>
      </c>
      <c r="FZ192" t="e">
        <f>AND(Liste!#REF!,"AAAAAEw/87U=")</f>
        <v>#REF!</v>
      </c>
      <c r="GA192" t="e">
        <f>IF(Liste!#REF!,"AAAAAEw/87Y=",0)</f>
        <v>#REF!</v>
      </c>
      <c r="GB192" t="e">
        <f>AND(Liste!#REF!,"AAAAAEw/87c=")</f>
        <v>#REF!</v>
      </c>
      <c r="GC192" t="e">
        <f>AND(Liste!#REF!,"AAAAAEw/87g=")</f>
        <v>#REF!</v>
      </c>
      <c r="GD192" t="e">
        <f>AND(Liste!#REF!,"AAAAAEw/87k=")</f>
        <v>#REF!</v>
      </c>
      <c r="GE192" t="e">
        <f>AND(Liste!#REF!,"AAAAAEw/87o=")</f>
        <v>#REF!</v>
      </c>
      <c r="GF192" t="e">
        <f>AND(Liste!#REF!,"AAAAAEw/87s=")</f>
        <v>#REF!</v>
      </c>
      <c r="GG192" t="e">
        <f>AND(Liste!#REF!,"AAAAAEw/87w=")</f>
        <v>#REF!</v>
      </c>
      <c r="GH192" t="e">
        <f>AND(Liste!#REF!,"AAAAAEw/870=")</f>
        <v>#REF!</v>
      </c>
      <c r="GI192" t="e">
        <f>AND(Liste!#REF!,"AAAAAEw/874=")</f>
        <v>#REF!</v>
      </c>
      <c r="GJ192" t="e">
        <f>AND(Liste!#REF!,"AAAAAEw/878=")</f>
        <v>#REF!</v>
      </c>
      <c r="GK192" t="e">
        <f>AND(Liste!#REF!,"AAAAAEw/88A=")</f>
        <v>#REF!</v>
      </c>
      <c r="GL192" t="e">
        <f>AND(Liste!#REF!,"AAAAAEw/88E=")</f>
        <v>#REF!</v>
      </c>
      <c r="GM192" t="e">
        <f>AND(Liste!#REF!,"AAAAAEw/88I=")</f>
        <v>#REF!</v>
      </c>
      <c r="GN192" t="e">
        <f>AND(Liste!#REF!,"AAAAAEw/88M=")</f>
        <v>#REF!</v>
      </c>
      <c r="GO192" t="e">
        <f>AND(Liste!#REF!,"AAAAAEw/88Q=")</f>
        <v>#REF!</v>
      </c>
      <c r="GP192" t="e">
        <f>AND(Liste!#REF!,"AAAAAEw/88U=")</f>
        <v>#REF!</v>
      </c>
      <c r="GQ192" t="e">
        <f>AND(Liste!#REF!,"AAAAAEw/88Y=")</f>
        <v>#REF!</v>
      </c>
      <c r="GR192" t="e">
        <f>AND(Liste!#REF!,"AAAAAEw/88c=")</f>
        <v>#REF!</v>
      </c>
      <c r="GS192" t="e">
        <f>AND(Liste!#REF!,"AAAAAEw/88g=")</f>
        <v>#REF!</v>
      </c>
      <c r="GT192" t="e">
        <f>AND(Liste!#REF!,"AAAAAEw/88k=")</f>
        <v>#REF!</v>
      </c>
      <c r="GU192" t="e">
        <f>AND(Liste!#REF!,"AAAAAEw/88o=")</f>
        <v>#REF!</v>
      </c>
      <c r="GV192" t="e">
        <f>AND(Liste!#REF!,"AAAAAEw/88s=")</f>
        <v>#REF!</v>
      </c>
      <c r="GW192" t="e">
        <f>AND(Liste!#REF!,"AAAAAEw/88w=")</f>
        <v>#REF!</v>
      </c>
      <c r="GX192" t="e">
        <f>AND(Liste!#REF!,"AAAAAEw/880=")</f>
        <v>#REF!</v>
      </c>
      <c r="GY192" t="e">
        <f>AND(Liste!#REF!,"AAAAAEw/884=")</f>
        <v>#REF!</v>
      </c>
      <c r="GZ192" t="e">
        <f>AND(Liste!#REF!,"AAAAAEw/888=")</f>
        <v>#REF!</v>
      </c>
      <c r="HA192" t="e">
        <f>AND(Liste!#REF!,"AAAAAEw/89A=")</f>
        <v>#REF!</v>
      </c>
      <c r="HB192" t="e">
        <f>AND(Liste!#REF!,"AAAAAEw/89E=")</f>
        <v>#REF!</v>
      </c>
      <c r="HC192" t="e">
        <f>IF(Liste!#REF!,"AAAAAEw/89I=",0)</f>
        <v>#REF!</v>
      </c>
      <c r="HD192" t="e">
        <f>AND(Liste!#REF!,"AAAAAEw/89M=")</f>
        <v>#REF!</v>
      </c>
      <c r="HE192" t="e">
        <f>AND(Liste!#REF!,"AAAAAEw/89Q=")</f>
        <v>#REF!</v>
      </c>
      <c r="HF192" t="e">
        <f>AND(Liste!#REF!,"AAAAAEw/89U=")</f>
        <v>#REF!</v>
      </c>
      <c r="HG192" t="e">
        <f>AND(Liste!#REF!,"AAAAAEw/89Y=")</f>
        <v>#REF!</v>
      </c>
      <c r="HH192" t="e">
        <f>AND(Liste!#REF!,"AAAAAEw/89c=")</f>
        <v>#REF!</v>
      </c>
      <c r="HI192" t="e">
        <f>AND(Liste!#REF!,"AAAAAEw/89g=")</f>
        <v>#REF!</v>
      </c>
      <c r="HJ192" t="e">
        <f>AND(Liste!#REF!,"AAAAAEw/89k=")</f>
        <v>#REF!</v>
      </c>
      <c r="HK192" t="e">
        <f>AND(Liste!#REF!,"AAAAAEw/89o=")</f>
        <v>#REF!</v>
      </c>
      <c r="HL192" t="e">
        <f>AND(Liste!#REF!,"AAAAAEw/89s=")</f>
        <v>#REF!</v>
      </c>
      <c r="HM192" t="e">
        <f>AND(Liste!#REF!,"AAAAAEw/89w=")</f>
        <v>#REF!</v>
      </c>
      <c r="HN192" t="e">
        <f>AND(Liste!#REF!,"AAAAAEw/890=")</f>
        <v>#REF!</v>
      </c>
      <c r="HO192" t="e">
        <f>AND(Liste!#REF!,"AAAAAEw/894=")</f>
        <v>#REF!</v>
      </c>
      <c r="HP192" t="e">
        <f>AND(Liste!#REF!,"AAAAAEw/898=")</f>
        <v>#REF!</v>
      </c>
      <c r="HQ192" t="e">
        <f>AND(Liste!#REF!,"AAAAAEw/8+A=")</f>
        <v>#REF!</v>
      </c>
      <c r="HR192" t="e">
        <f>AND(Liste!#REF!,"AAAAAEw/8+E=")</f>
        <v>#REF!</v>
      </c>
      <c r="HS192" t="e">
        <f>AND(Liste!#REF!,"AAAAAEw/8+I=")</f>
        <v>#REF!</v>
      </c>
      <c r="HT192" t="e">
        <f>AND(Liste!#REF!,"AAAAAEw/8+M=")</f>
        <v>#REF!</v>
      </c>
      <c r="HU192" t="e">
        <f>AND(Liste!#REF!,"AAAAAEw/8+Q=")</f>
        <v>#REF!</v>
      </c>
      <c r="HV192" t="e">
        <f>AND(Liste!#REF!,"AAAAAEw/8+U=")</f>
        <v>#REF!</v>
      </c>
      <c r="HW192" t="e">
        <f>AND(Liste!#REF!,"AAAAAEw/8+Y=")</f>
        <v>#REF!</v>
      </c>
      <c r="HX192" t="e">
        <f>AND(Liste!#REF!,"AAAAAEw/8+c=")</f>
        <v>#REF!</v>
      </c>
      <c r="HY192" t="e">
        <f>AND(Liste!#REF!,"AAAAAEw/8+g=")</f>
        <v>#REF!</v>
      </c>
      <c r="HZ192" t="e">
        <f>AND(Liste!#REF!,"AAAAAEw/8+k=")</f>
        <v>#REF!</v>
      </c>
      <c r="IA192" t="e">
        <f>AND(Liste!#REF!,"AAAAAEw/8+o=")</f>
        <v>#REF!</v>
      </c>
      <c r="IB192" t="e">
        <f>AND(Liste!#REF!,"AAAAAEw/8+s=")</f>
        <v>#REF!</v>
      </c>
      <c r="IC192" t="e">
        <f>AND(Liste!#REF!,"AAAAAEw/8+w=")</f>
        <v>#REF!</v>
      </c>
      <c r="ID192" t="e">
        <f>AND(Liste!#REF!,"AAAAAEw/8+0=")</f>
        <v>#REF!</v>
      </c>
      <c r="IE192" t="e">
        <f>IF(Liste!#REF!,"AAAAAEw/8+4=",0)</f>
        <v>#REF!</v>
      </c>
      <c r="IF192" t="e">
        <f>AND(Liste!#REF!,"AAAAAEw/8+8=")</f>
        <v>#REF!</v>
      </c>
      <c r="IG192" t="e">
        <f>AND(Liste!#REF!,"AAAAAEw/8/A=")</f>
        <v>#REF!</v>
      </c>
      <c r="IH192" t="e">
        <f>AND(Liste!#REF!,"AAAAAEw/8/E=")</f>
        <v>#REF!</v>
      </c>
      <c r="II192" t="e">
        <f>AND(Liste!#REF!,"AAAAAEw/8/I=")</f>
        <v>#REF!</v>
      </c>
      <c r="IJ192" t="e">
        <f>AND(Liste!#REF!,"AAAAAEw/8/M=")</f>
        <v>#REF!</v>
      </c>
      <c r="IK192" t="e">
        <f>AND(Liste!#REF!,"AAAAAEw/8/Q=")</f>
        <v>#REF!</v>
      </c>
      <c r="IL192" t="e">
        <f>AND(Liste!#REF!,"AAAAAEw/8/U=")</f>
        <v>#REF!</v>
      </c>
      <c r="IM192" t="e">
        <f>AND(Liste!#REF!,"AAAAAEw/8/Y=")</f>
        <v>#REF!</v>
      </c>
      <c r="IN192" t="e">
        <f>AND(Liste!#REF!,"AAAAAEw/8/c=")</f>
        <v>#REF!</v>
      </c>
      <c r="IO192" t="e">
        <f>AND(Liste!#REF!,"AAAAAEw/8/g=")</f>
        <v>#REF!</v>
      </c>
      <c r="IP192" t="e">
        <f>AND(Liste!#REF!,"AAAAAEw/8/k=")</f>
        <v>#REF!</v>
      </c>
      <c r="IQ192" t="e">
        <f>AND(Liste!#REF!,"AAAAAEw/8/o=")</f>
        <v>#REF!</v>
      </c>
      <c r="IR192" t="e">
        <f>AND(Liste!#REF!,"AAAAAEw/8/s=")</f>
        <v>#REF!</v>
      </c>
      <c r="IS192" t="e">
        <f>AND(Liste!#REF!,"AAAAAEw/8/w=")</f>
        <v>#REF!</v>
      </c>
      <c r="IT192" t="e">
        <f>AND(Liste!#REF!,"AAAAAEw/8/0=")</f>
        <v>#REF!</v>
      </c>
      <c r="IU192" t="e">
        <f>AND(Liste!#REF!,"AAAAAEw/8/4=")</f>
        <v>#REF!</v>
      </c>
      <c r="IV192" t="e">
        <f>AND(Liste!#REF!,"AAAAAEw/8/8=")</f>
        <v>#REF!</v>
      </c>
    </row>
    <row r="193" spans="1:256" x14ac:dyDescent="0.2">
      <c r="A193" t="e">
        <f>AND(Liste!#REF!,"AAAAAG/7/gA=")</f>
        <v>#REF!</v>
      </c>
      <c r="B193" t="e">
        <f>AND(Liste!#REF!,"AAAAAG/7/gE=")</f>
        <v>#REF!</v>
      </c>
      <c r="C193" t="e">
        <f>AND(Liste!#REF!,"AAAAAG/7/gI=")</f>
        <v>#REF!</v>
      </c>
      <c r="D193" t="e">
        <f>AND(Liste!#REF!,"AAAAAG/7/gM=")</f>
        <v>#REF!</v>
      </c>
      <c r="E193" t="e">
        <f>AND(Liste!#REF!,"AAAAAG/7/gQ=")</f>
        <v>#REF!</v>
      </c>
      <c r="F193" t="e">
        <f>AND(Liste!#REF!,"AAAAAG/7/gU=")</f>
        <v>#REF!</v>
      </c>
      <c r="G193" t="e">
        <f>AND(Liste!#REF!,"AAAAAG/7/gY=")</f>
        <v>#REF!</v>
      </c>
      <c r="H193" t="e">
        <f>AND(Liste!#REF!,"AAAAAG/7/gc=")</f>
        <v>#REF!</v>
      </c>
      <c r="I193" t="e">
        <f>AND(Liste!#REF!,"AAAAAG/7/gg=")</f>
        <v>#REF!</v>
      </c>
      <c r="J193" t="e">
        <f>AND(Liste!#REF!,"AAAAAG/7/gk=")</f>
        <v>#REF!</v>
      </c>
      <c r="K193" t="e">
        <f>IF(Liste!#REF!,"AAAAAG/7/go=",0)</f>
        <v>#REF!</v>
      </c>
      <c r="L193" t="e">
        <f>AND(Liste!#REF!,"AAAAAG/7/gs=")</f>
        <v>#REF!</v>
      </c>
      <c r="M193" t="e">
        <f>AND(Liste!#REF!,"AAAAAG/7/gw=")</f>
        <v>#REF!</v>
      </c>
      <c r="N193" t="e">
        <f>AND(Liste!#REF!,"AAAAAG/7/g0=")</f>
        <v>#REF!</v>
      </c>
      <c r="O193" t="e">
        <f>AND(Liste!#REF!,"AAAAAG/7/g4=")</f>
        <v>#REF!</v>
      </c>
      <c r="P193" t="e">
        <f>AND(Liste!#REF!,"AAAAAG/7/g8=")</f>
        <v>#REF!</v>
      </c>
      <c r="Q193" t="e">
        <f>AND(Liste!#REF!,"AAAAAG/7/hA=")</f>
        <v>#REF!</v>
      </c>
      <c r="R193" t="e">
        <f>AND(Liste!#REF!,"AAAAAG/7/hE=")</f>
        <v>#REF!</v>
      </c>
      <c r="S193" t="e">
        <f>AND(Liste!#REF!,"AAAAAG/7/hI=")</f>
        <v>#REF!</v>
      </c>
      <c r="T193" t="e">
        <f>AND(Liste!#REF!,"AAAAAG/7/hM=")</f>
        <v>#REF!</v>
      </c>
      <c r="U193" t="e">
        <f>AND(Liste!#REF!,"AAAAAG/7/hQ=")</f>
        <v>#REF!</v>
      </c>
      <c r="V193" t="e">
        <f>AND(Liste!#REF!,"AAAAAG/7/hU=")</f>
        <v>#REF!</v>
      </c>
      <c r="W193" t="e">
        <f>AND(Liste!#REF!,"AAAAAG/7/hY=")</f>
        <v>#REF!</v>
      </c>
      <c r="X193" t="e">
        <f>AND(Liste!#REF!,"AAAAAG/7/hc=")</f>
        <v>#REF!</v>
      </c>
      <c r="Y193" t="e">
        <f>AND(Liste!#REF!,"AAAAAG/7/hg=")</f>
        <v>#REF!</v>
      </c>
      <c r="Z193" t="e">
        <f>AND(Liste!#REF!,"AAAAAG/7/hk=")</f>
        <v>#REF!</v>
      </c>
      <c r="AA193" t="e">
        <f>AND(Liste!#REF!,"AAAAAG/7/ho=")</f>
        <v>#REF!</v>
      </c>
      <c r="AB193" t="e">
        <f>AND(Liste!#REF!,"AAAAAG/7/hs=")</f>
        <v>#REF!</v>
      </c>
      <c r="AC193" t="e">
        <f>AND(Liste!#REF!,"AAAAAG/7/hw=")</f>
        <v>#REF!</v>
      </c>
      <c r="AD193" t="e">
        <f>AND(Liste!#REF!,"AAAAAG/7/h0=")</f>
        <v>#REF!</v>
      </c>
      <c r="AE193" t="e">
        <f>AND(Liste!#REF!,"AAAAAG/7/h4=")</f>
        <v>#REF!</v>
      </c>
      <c r="AF193" t="e">
        <f>AND(Liste!#REF!,"AAAAAG/7/h8=")</f>
        <v>#REF!</v>
      </c>
      <c r="AG193" t="e">
        <f>AND(Liste!#REF!,"AAAAAG/7/iA=")</f>
        <v>#REF!</v>
      </c>
      <c r="AH193" t="e">
        <f>AND(Liste!#REF!,"AAAAAG/7/iE=")</f>
        <v>#REF!</v>
      </c>
      <c r="AI193" t="e">
        <f>AND(Liste!#REF!,"AAAAAG/7/iI=")</f>
        <v>#REF!</v>
      </c>
      <c r="AJ193" t="e">
        <f>AND(Liste!#REF!,"AAAAAG/7/iM=")</f>
        <v>#REF!</v>
      </c>
      <c r="AK193" t="e">
        <f>AND(Liste!#REF!,"AAAAAG/7/iQ=")</f>
        <v>#REF!</v>
      </c>
      <c r="AL193" t="e">
        <f>AND(Liste!#REF!,"AAAAAG/7/iU=")</f>
        <v>#REF!</v>
      </c>
      <c r="AM193" t="e">
        <f>IF(Liste!#REF!,"AAAAAG/7/iY=",0)</f>
        <v>#REF!</v>
      </c>
      <c r="AN193" t="e">
        <f>AND(Liste!#REF!,"AAAAAG/7/ic=")</f>
        <v>#REF!</v>
      </c>
      <c r="AO193" t="e">
        <f>AND(Liste!#REF!,"AAAAAG/7/ig=")</f>
        <v>#REF!</v>
      </c>
      <c r="AP193" t="e">
        <f>AND(Liste!#REF!,"AAAAAG/7/ik=")</f>
        <v>#REF!</v>
      </c>
      <c r="AQ193" t="e">
        <f>AND(Liste!#REF!,"AAAAAG/7/io=")</f>
        <v>#REF!</v>
      </c>
      <c r="AR193" t="e">
        <f>AND(Liste!#REF!,"AAAAAG/7/is=")</f>
        <v>#REF!</v>
      </c>
      <c r="AS193" t="e">
        <f>AND(Liste!#REF!,"AAAAAG/7/iw=")</f>
        <v>#REF!</v>
      </c>
      <c r="AT193" t="e">
        <f>AND(Liste!#REF!,"AAAAAG/7/i0=")</f>
        <v>#REF!</v>
      </c>
      <c r="AU193" t="e">
        <f>AND(Liste!#REF!,"AAAAAG/7/i4=")</f>
        <v>#REF!</v>
      </c>
      <c r="AV193" t="e">
        <f>AND(Liste!#REF!,"AAAAAG/7/i8=")</f>
        <v>#REF!</v>
      </c>
      <c r="AW193" t="e">
        <f>AND(Liste!#REF!,"AAAAAG/7/jA=")</f>
        <v>#REF!</v>
      </c>
      <c r="AX193" t="e">
        <f>AND(Liste!#REF!,"AAAAAG/7/jE=")</f>
        <v>#REF!</v>
      </c>
      <c r="AY193" t="e">
        <f>AND(Liste!#REF!,"AAAAAG/7/jI=")</f>
        <v>#REF!</v>
      </c>
      <c r="AZ193" t="e">
        <f>AND(Liste!#REF!,"AAAAAG/7/jM=")</f>
        <v>#REF!</v>
      </c>
      <c r="BA193" t="e">
        <f>AND(Liste!#REF!,"AAAAAG/7/jQ=")</f>
        <v>#REF!</v>
      </c>
      <c r="BB193" t="e">
        <f>AND(Liste!#REF!,"AAAAAG/7/jU=")</f>
        <v>#REF!</v>
      </c>
      <c r="BC193" t="e">
        <f>AND(Liste!#REF!,"AAAAAG/7/jY=")</f>
        <v>#REF!</v>
      </c>
      <c r="BD193" t="e">
        <f>AND(Liste!#REF!,"AAAAAG/7/jc=")</f>
        <v>#REF!</v>
      </c>
      <c r="BE193" t="e">
        <f>AND(Liste!#REF!,"AAAAAG/7/jg=")</f>
        <v>#REF!</v>
      </c>
      <c r="BF193" t="e">
        <f>AND(Liste!#REF!,"AAAAAG/7/jk=")</f>
        <v>#REF!</v>
      </c>
      <c r="BG193" t="e">
        <f>AND(Liste!#REF!,"AAAAAG/7/jo=")</f>
        <v>#REF!</v>
      </c>
      <c r="BH193" t="e">
        <f>AND(Liste!#REF!,"AAAAAG/7/js=")</f>
        <v>#REF!</v>
      </c>
      <c r="BI193" t="e">
        <f>AND(Liste!#REF!,"AAAAAG/7/jw=")</f>
        <v>#REF!</v>
      </c>
      <c r="BJ193" t="e">
        <f>AND(Liste!#REF!,"AAAAAG/7/j0=")</f>
        <v>#REF!</v>
      </c>
      <c r="BK193" t="e">
        <f>AND(Liste!#REF!,"AAAAAG/7/j4=")</f>
        <v>#REF!</v>
      </c>
      <c r="BL193" t="e">
        <f>AND(Liste!#REF!,"AAAAAG/7/j8=")</f>
        <v>#REF!</v>
      </c>
      <c r="BM193" t="e">
        <f>AND(Liste!#REF!,"AAAAAG/7/kA=")</f>
        <v>#REF!</v>
      </c>
      <c r="BN193" t="e">
        <f>AND(Liste!#REF!,"AAAAAG/7/kE=")</f>
        <v>#REF!</v>
      </c>
      <c r="BO193" t="e">
        <f>IF(Liste!#REF!,"AAAAAG/7/kI=",0)</f>
        <v>#REF!</v>
      </c>
      <c r="BP193" t="e">
        <f>AND(Liste!#REF!,"AAAAAG/7/kM=")</f>
        <v>#REF!</v>
      </c>
      <c r="BQ193" t="e">
        <f>AND(Liste!#REF!,"AAAAAG/7/kQ=")</f>
        <v>#REF!</v>
      </c>
      <c r="BR193" t="e">
        <f>AND(Liste!#REF!,"AAAAAG/7/kU=")</f>
        <v>#REF!</v>
      </c>
      <c r="BS193" t="e">
        <f>AND(Liste!#REF!,"AAAAAG/7/kY=")</f>
        <v>#REF!</v>
      </c>
      <c r="BT193" t="e">
        <f>AND(Liste!#REF!,"AAAAAG/7/kc=")</f>
        <v>#REF!</v>
      </c>
      <c r="BU193" t="e">
        <f>AND(Liste!#REF!,"AAAAAG/7/kg=")</f>
        <v>#REF!</v>
      </c>
      <c r="BV193" t="e">
        <f>AND(Liste!#REF!,"AAAAAG/7/kk=")</f>
        <v>#REF!</v>
      </c>
      <c r="BW193" t="e">
        <f>AND(Liste!#REF!,"AAAAAG/7/ko=")</f>
        <v>#REF!</v>
      </c>
      <c r="BX193" t="e">
        <f>AND(Liste!#REF!,"AAAAAG/7/ks=")</f>
        <v>#REF!</v>
      </c>
      <c r="BY193" t="e">
        <f>AND(Liste!#REF!,"AAAAAG/7/kw=")</f>
        <v>#REF!</v>
      </c>
      <c r="BZ193" t="e">
        <f>AND(Liste!#REF!,"AAAAAG/7/k0=")</f>
        <v>#REF!</v>
      </c>
      <c r="CA193" t="e">
        <f>AND(Liste!#REF!,"AAAAAG/7/k4=")</f>
        <v>#REF!</v>
      </c>
      <c r="CB193" t="e">
        <f>AND(Liste!#REF!,"AAAAAG/7/k8=")</f>
        <v>#REF!</v>
      </c>
      <c r="CC193" t="e">
        <f>AND(Liste!#REF!,"AAAAAG/7/lA=")</f>
        <v>#REF!</v>
      </c>
      <c r="CD193" t="e">
        <f>AND(Liste!#REF!,"AAAAAG/7/lE=")</f>
        <v>#REF!</v>
      </c>
      <c r="CE193" t="e">
        <f>AND(Liste!#REF!,"AAAAAG/7/lI=")</f>
        <v>#REF!</v>
      </c>
      <c r="CF193" t="e">
        <f>AND(Liste!#REF!,"AAAAAG/7/lM=")</f>
        <v>#REF!</v>
      </c>
      <c r="CG193" t="e">
        <f>AND(Liste!#REF!,"AAAAAG/7/lQ=")</f>
        <v>#REF!</v>
      </c>
      <c r="CH193" t="e">
        <f>AND(Liste!#REF!,"AAAAAG/7/lU=")</f>
        <v>#REF!</v>
      </c>
      <c r="CI193" t="e">
        <f>AND(Liste!#REF!,"AAAAAG/7/lY=")</f>
        <v>#REF!</v>
      </c>
      <c r="CJ193" t="e">
        <f>AND(Liste!#REF!,"AAAAAG/7/lc=")</f>
        <v>#REF!</v>
      </c>
      <c r="CK193" t="e">
        <f>AND(Liste!#REF!,"AAAAAG/7/lg=")</f>
        <v>#REF!</v>
      </c>
      <c r="CL193" t="e">
        <f>AND(Liste!#REF!,"AAAAAG/7/lk=")</f>
        <v>#REF!</v>
      </c>
      <c r="CM193" t="e">
        <f>AND(Liste!#REF!,"AAAAAG/7/lo=")</f>
        <v>#REF!</v>
      </c>
      <c r="CN193" t="e">
        <f>AND(Liste!#REF!,"AAAAAG/7/ls=")</f>
        <v>#REF!</v>
      </c>
      <c r="CO193" t="e">
        <f>AND(Liste!#REF!,"AAAAAG/7/lw=")</f>
        <v>#REF!</v>
      </c>
      <c r="CP193" t="e">
        <f>AND(Liste!#REF!,"AAAAAG/7/l0=")</f>
        <v>#REF!</v>
      </c>
      <c r="CQ193" t="e">
        <f>IF(Liste!#REF!,"AAAAAG/7/l4=",0)</f>
        <v>#REF!</v>
      </c>
      <c r="CR193" t="e">
        <f>AND(Liste!#REF!,"AAAAAG/7/l8=")</f>
        <v>#REF!</v>
      </c>
      <c r="CS193" t="e">
        <f>AND(Liste!#REF!,"AAAAAG/7/mA=")</f>
        <v>#REF!</v>
      </c>
      <c r="CT193" t="e">
        <f>AND(Liste!#REF!,"AAAAAG/7/mE=")</f>
        <v>#REF!</v>
      </c>
      <c r="CU193" t="e">
        <f>AND(Liste!#REF!,"AAAAAG/7/mI=")</f>
        <v>#REF!</v>
      </c>
      <c r="CV193" t="e">
        <f>AND(Liste!#REF!,"AAAAAG/7/mM=")</f>
        <v>#REF!</v>
      </c>
      <c r="CW193" t="e">
        <f>AND(Liste!#REF!,"AAAAAG/7/mQ=")</f>
        <v>#REF!</v>
      </c>
      <c r="CX193" t="e">
        <f>AND(Liste!#REF!,"AAAAAG/7/mU=")</f>
        <v>#REF!</v>
      </c>
      <c r="CY193" t="e">
        <f>AND(Liste!#REF!,"AAAAAG/7/mY=")</f>
        <v>#REF!</v>
      </c>
      <c r="CZ193" t="e">
        <f>AND(Liste!#REF!,"AAAAAG/7/mc=")</f>
        <v>#REF!</v>
      </c>
      <c r="DA193" t="e">
        <f>AND(Liste!#REF!,"AAAAAG/7/mg=")</f>
        <v>#REF!</v>
      </c>
      <c r="DB193" t="e">
        <f>AND(Liste!#REF!,"AAAAAG/7/mk=")</f>
        <v>#REF!</v>
      </c>
      <c r="DC193" t="e">
        <f>AND(Liste!#REF!,"AAAAAG/7/mo=")</f>
        <v>#REF!</v>
      </c>
      <c r="DD193" t="e">
        <f>AND(Liste!#REF!,"AAAAAG/7/ms=")</f>
        <v>#REF!</v>
      </c>
      <c r="DE193" t="e">
        <f>AND(Liste!#REF!,"AAAAAG/7/mw=")</f>
        <v>#REF!</v>
      </c>
      <c r="DF193" t="e">
        <f>AND(Liste!#REF!,"AAAAAG/7/m0=")</f>
        <v>#REF!</v>
      </c>
      <c r="DG193" t="e">
        <f>AND(Liste!#REF!,"AAAAAG/7/m4=")</f>
        <v>#REF!</v>
      </c>
      <c r="DH193" t="e">
        <f>AND(Liste!#REF!,"AAAAAG/7/m8=")</f>
        <v>#REF!</v>
      </c>
      <c r="DI193" t="e">
        <f>AND(Liste!#REF!,"AAAAAG/7/nA=")</f>
        <v>#REF!</v>
      </c>
      <c r="DJ193" t="e">
        <f>AND(Liste!#REF!,"AAAAAG/7/nE=")</f>
        <v>#REF!</v>
      </c>
      <c r="DK193" t="e">
        <f>AND(Liste!#REF!,"AAAAAG/7/nI=")</f>
        <v>#REF!</v>
      </c>
      <c r="DL193" t="e">
        <f>AND(Liste!#REF!,"AAAAAG/7/nM=")</f>
        <v>#REF!</v>
      </c>
      <c r="DM193" t="e">
        <f>AND(Liste!#REF!,"AAAAAG/7/nQ=")</f>
        <v>#REF!</v>
      </c>
      <c r="DN193" t="e">
        <f>AND(Liste!#REF!,"AAAAAG/7/nU=")</f>
        <v>#REF!</v>
      </c>
      <c r="DO193" t="e">
        <f>AND(Liste!#REF!,"AAAAAG/7/nY=")</f>
        <v>#REF!</v>
      </c>
      <c r="DP193" t="e">
        <f>AND(Liste!#REF!,"AAAAAG/7/nc=")</f>
        <v>#REF!</v>
      </c>
      <c r="DQ193" t="e">
        <f>AND(Liste!#REF!,"AAAAAG/7/ng=")</f>
        <v>#REF!</v>
      </c>
      <c r="DR193" t="e">
        <f>AND(Liste!#REF!,"AAAAAG/7/nk=")</f>
        <v>#REF!</v>
      </c>
      <c r="DS193" t="e">
        <f>IF(Liste!#REF!,"AAAAAG/7/no=",0)</f>
        <v>#REF!</v>
      </c>
      <c r="DT193" t="e">
        <f>AND(Liste!#REF!,"AAAAAG/7/ns=")</f>
        <v>#REF!</v>
      </c>
      <c r="DU193" t="e">
        <f>AND(Liste!#REF!,"AAAAAG/7/nw=")</f>
        <v>#REF!</v>
      </c>
      <c r="DV193" t="e">
        <f>AND(Liste!#REF!,"AAAAAG/7/n0=")</f>
        <v>#REF!</v>
      </c>
      <c r="DW193" t="e">
        <f>AND(Liste!#REF!,"AAAAAG/7/n4=")</f>
        <v>#REF!</v>
      </c>
      <c r="DX193" t="e">
        <f>AND(Liste!#REF!,"AAAAAG/7/n8=")</f>
        <v>#REF!</v>
      </c>
      <c r="DY193" t="e">
        <f>AND(Liste!#REF!,"AAAAAG/7/oA=")</f>
        <v>#REF!</v>
      </c>
      <c r="DZ193" t="e">
        <f>AND(Liste!#REF!,"AAAAAG/7/oE=")</f>
        <v>#REF!</v>
      </c>
      <c r="EA193" t="e">
        <f>AND(Liste!#REF!,"AAAAAG/7/oI=")</f>
        <v>#REF!</v>
      </c>
      <c r="EB193" t="e">
        <f>AND(Liste!#REF!,"AAAAAG/7/oM=")</f>
        <v>#REF!</v>
      </c>
      <c r="EC193" t="e">
        <f>AND(Liste!#REF!,"AAAAAG/7/oQ=")</f>
        <v>#REF!</v>
      </c>
      <c r="ED193" t="e">
        <f>AND(Liste!#REF!,"AAAAAG/7/oU=")</f>
        <v>#REF!</v>
      </c>
      <c r="EE193" t="e">
        <f>AND(Liste!#REF!,"AAAAAG/7/oY=")</f>
        <v>#REF!</v>
      </c>
      <c r="EF193" t="e">
        <f>AND(Liste!#REF!,"AAAAAG/7/oc=")</f>
        <v>#REF!</v>
      </c>
      <c r="EG193" t="e">
        <f>AND(Liste!#REF!,"AAAAAG/7/og=")</f>
        <v>#REF!</v>
      </c>
      <c r="EH193" t="e">
        <f>AND(Liste!#REF!,"AAAAAG/7/ok=")</f>
        <v>#REF!</v>
      </c>
      <c r="EI193" t="e">
        <f>AND(Liste!#REF!,"AAAAAG/7/oo=")</f>
        <v>#REF!</v>
      </c>
      <c r="EJ193" t="e">
        <f>AND(Liste!#REF!,"AAAAAG/7/os=")</f>
        <v>#REF!</v>
      </c>
      <c r="EK193" t="e">
        <f>AND(Liste!#REF!,"AAAAAG/7/ow=")</f>
        <v>#REF!</v>
      </c>
      <c r="EL193" t="e">
        <f>AND(Liste!#REF!,"AAAAAG/7/o0=")</f>
        <v>#REF!</v>
      </c>
      <c r="EM193" t="e">
        <f>AND(Liste!#REF!,"AAAAAG/7/o4=")</f>
        <v>#REF!</v>
      </c>
      <c r="EN193" t="e">
        <f>AND(Liste!#REF!,"AAAAAG/7/o8=")</f>
        <v>#REF!</v>
      </c>
      <c r="EO193" t="e">
        <f>AND(Liste!#REF!,"AAAAAG/7/pA=")</f>
        <v>#REF!</v>
      </c>
      <c r="EP193" t="e">
        <f>AND(Liste!#REF!,"AAAAAG/7/pE=")</f>
        <v>#REF!</v>
      </c>
      <c r="EQ193" t="e">
        <f>AND(Liste!#REF!,"AAAAAG/7/pI=")</f>
        <v>#REF!</v>
      </c>
      <c r="ER193" t="e">
        <f>AND(Liste!#REF!,"AAAAAG/7/pM=")</f>
        <v>#REF!</v>
      </c>
      <c r="ES193" t="e">
        <f>AND(Liste!#REF!,"AAAAAG/7/pQ=")</f>
        <v>#REF!</v>
      </c>
      <c r="ET193" t="e">
        <f>AND(Liste!#REF!,"AAAAAG/7/pU=")</f>
        <v>#REF!</v>
      </c>
      <c r="EU193" t="e">
        <f>IF(Liste!#REF!,"AAAAAG/7/pY=",0)</f>
        <v>#REF!</v>
      </c>
      <c r="EV193" t="e">
        <f>AND(Liste!#REF!,"AAAAAG/7/pc=")</f>
        <v>#REF!</v>
      </c>
      <c r="EW193" t="e">
        <f>AND(Liste!#REF!,"AAAAAG/7/pg=")</f>
        <v>#REF!</v>
      </c>
      <c r="EX193" t="e">
        <f>AND(Liste!#REF!,"AAAAAG/7/pk=")</f>
        <v>#REF!</v>
      </c>
      <c r="EY193" t="e">
        <f>AND(Liste!#REF!,"AAAAAG/7/po=")</f>
        <v>#REF!</v>
      </c>
      <c r="EZ193" t="e">
        <f>AND(Liste!#REF!,"AAAAAG/7/ps=")</f>
        <v>#REF!</v>
      </c>
      <c r="FA193" t="e">
        <f>AND(Liste!#REF!,"AAAAAG/7/pw=")</f>
        <v>#REF!</v>
      </c>
      <c r="FB193" t="e">
        <f>AND(Liste!#REF!,"AAAAAG/7/p0=")</f>
        <v>#REF!</v>
      </c>
      <c r="FC193" t="e">
        <f>AND(Liste!#REF!,"AAAAAG/7/p4=")</f>
        <v>#REF!</v>
      </c>
      <c r="FD193" t="e">
        <f>AND(Liste!#REF!,"AAAAAG/7/p8=")</f>
        <v>#REF!</v>
      </c>
      <c r="FE193" t="e">
        <f>AND(Liste!#REF!,"AAAAAG/7/qA=")</f>
        <v>#REF!</v>
      </c>
      <c r="FF193" t="e">
        <f>AND(Liste!#REF!,"AAAAAG/7/qE=")</f>
        <v>#REF!</v>
      </c>
      <c r="FG193" t="e">
        <f>AND(Liste!#REF!,"AAAAAG/7/qI=")</f>
        <v>#REF!</v>
      </c>
      <c r="FH193" t="e">
        <f>AND(Liste!#REF!,"AAAAAG/7/qM=")</f>
        <v>#REF!</v>
      </c>
      <c r="FI193" t="e">
        <f>AND(Liste!#REF!,"AAAAAG/7/qQ=")</f>
        <v>#REF!</v>
      </c>
      <c r="FJ193" t="e">
        <f>AND(Liste!#REF!,"AAAAAG/7/qU=")</f>
        <v>#REF!</v>
      </c>
      <c r="FK193" t="e">
        <f>AND(Liste!#REF!,"AAAAAG/7/qY=")</f>
        <v>#REF!</v>
      </c>
      <c r="FL193" t="e">
        <f>AND(Liste!#REF!,"AAAAAG/7/qc=")</f>
        <v>#REF!</v>
      </c>
      <c r="FM193" t="e">
        <f>AND(Liste!#REF!,"AAAAAG/7/qg=")</f>
        <v>#REF!</v>
      </c>
      <c r="FN193" t="e">
        <f>AND(Liste!#REF!,"AAAAAG/7/qk=")</f>
        <v>#REF!</v>
      </c>
      <c r="FO193" t="e">
        <f>AND(Liste!#REF!,"AAAAAG/7/qo=")</f>
        <v>#REF!</v>
      </c>
      <c r="FP193" t="e">
        <f>AND(Liste!#REF!,"AAAAAG/7/qs=")</f>
        <v>#REF!</v>
      </c>
      <c r="FQ193" t="e">
        <f>AND(Liste!#REF!,"AAAAAG/7/qw=")</f>
        <v>#REF!</v>
      </c>
      <c r="FR193" t="e">
        <f>AND(Liste!#REF!,"AAAAAG/7/q0=")</f>
        <v>#REF!</v>
      </c>
      <c r="FS193" t="e">
        <f>AND(Liste!#REF!,"AAAAAG/7/q4=")</f>
        <v>#REF!</v>
      </c>
      <c r="FT193" t="e">
        <f>AND(Liste!#REF!,"AAAAAG/7/q8=")</f>
        <v>#REF!</v>
      </c>
      <c r="FU193" t="e">
        <f>AND(Liste!#REF!,"AAAAAG/7/rA=")</f>
        <v>#REF!</v>
      </c>
      <c r="FV193" t="e">
        <f>AND(Liste!#REF!,"AAAAAG/7/rE=")</f>
        <v>#REF!</v>
      </c>
      <c r="FW193" t="e">
        <f>IF(Liste!#REF!,"AAAAAG/7/rI=",0)</f>
        <v>#REF!</v>
      </c>
      <c r="FX193" t="e">
        <f>AND(Liste!#REF!,"AAAAAG/7/rM=")</f>
        <v>#REF!</v>
      </c>
      <c r="FY193" t="e">
        <f>AND(Liste!#REF!,"AAAAAG/7/rQ=")</f>
        <v>#REF!</v>
      </c>
      <c r="FZ193" t="e">
        <f>AND(Liste!#REF!,"AAAAAG/7/rU=")</f>
        <v>#REF!</v>
      </c>
      <c r="GA193" t="e">
        <f>AND(Liste!#REF!,"AAAAAG/7/rY=")</f>
        <v>#REF!</v>
      </c>
      <c r="GB193" t="e">
        <f>AND(Liste!#REF!,"AAAAAG/7/rc=")</f>
        <v>#REF!</v>
      </c>
      <c r="GC193" t="e">
        <f>AND(Liste!#REF!,"AAAAAG/7/rg=")</f>
        <v>#REF!</v>
      </c>
      <c r="GD193" t="e">
        <f>AND(Liste!#REF!,"AAAAAG/7/rk=")</f>
        <v>#REF!</v>
      </c>
      <c r="GE193" t="e">
        <f>AND(Liste!#REF!,"AAAAAG/7/ro=")</f>
        <v>#REF!</v>
      </c>
      <c r="GF193" t="e">
        <f>AND(Liste!#REF!,"AAAAAG/7/rs=")</f>
        <v>#REF!</v>
      </c>
      <c r="GG193" t="e">
        <f>AND(Liste!#REF!,"AAAAAG/7/rw=")</f>
        <v>#REF!</v>
      </c>
      <c r="GH193" t="e">
        <f>AND(Liste!#REF!,"AAAAAG/7/r0=")</f>
        <v>#REF!</v>
      </c>
      <c r="GI193" t="e">
        <f>AND(Liste!#REF!,"AAAAAG/7/r4=")</f>
        <v>#REF!</v>
      </c>
      <c r="GJ193" t="e">
        <f>AND(Liste!#REF!,"AAAAAG/7/r8=")</f>
        <v>#REF!</v>
      </c>
      <c r="GK193" t="e">
        <f>AND(Liste!#REF!,"AAAAAG/7/sA=")</f>
        <v>#REF!</v>
      </c>
      <c r="GL193" t="e">
        <f>AND(Liste!#REF!,"AAAAAG/7/sE=")</f>
        <v>#REF!</v>
      </c>
      <c r="GM193" t="e">
        <f>AND(Liste!#REF!,"AAAAAG/7/sI=")</f>
        <v>#REF!</v>
      </c>
      <c r="GN193" t="e">
        <f>AND(Liste!#REF!,"AAAAAG/7/sM=")</f>
        <v>#REF!</v>
      </c>
      <c r="GO193" t="e">
        <f>AND(Liste!#REF!,"AAAAAG/7/sQ=")</f>
        <v>#REF!</v>
      </c>
      <c r="GP193" t="e">
        <f>AND(Liste!#REF!,"AAAAAG/7/sU=")</f>
        <v>#REF!</v>
      </c>
      <c r="GQ193" t="e">
        <f>AND(Liste!#REF!,"AAAAAG/7/sY=")</f>
        <v>#REF!</v>
      </c>
      <c r="GR193" t="e">
        <f>AND(Liste!#REF!,"AAAAAG/7/sc=")</f>
        <v>#REF!</v>
      </c>
      <c r="GS193" t="e">
        <f>AND(Liste!#REF!,"AAAAAG/7/sg=")</f>
        <v>#REF!</v>
      </c>
      <c r="GT193" t="e">
        <f>AND(Liste!#REF!,"AAAAAG/7/sk=")</f>
        <v>#REF!</v>
      </c>
      <c r="GU193" t="e">
        <f>AND(Liste!#REF!,"AAAAAG/7/so=")</f>
        <v>#REF!</v>
      </c>
      <c r="GV193" t="e">
        <f>AND(Liste!#REF!,"AAAAAG/7/ss=")</f>
        <v>#REF!</v>
      </c>
      <c r="GW193" t="e">
        <f>AND(Liste!#REF!,"AAAAAG/7/sw=")</f>
        <v>#REF!</v>
      </c>
      <c r="GX193" t="e">
        <f>AND(Liste!#REF!,"AAAAAG/7/s0=")</f>
        <v>#REF!</v>
      </c>
      <c r="GY193" t="e">
        <f>IF(Liste!#REF!,"AAAAAG/7/s4=",0)</f>
        <v>#REF!</v>
      </c>
      <c r="GZ193" t="e">
        <f>AND(Liste!#REF!,"AAAAAG/7/s8=")</f>
        <v>#REF!</v>
      </c>
      <c r="HA193" t="e">
        <f>AND(Liste!#REF!,"AAAAAG/7/tA=")</f>
        <v>#REF!</v>
      </c>
      <c r="HB193" t="e">
        <f>AND(Liste!#REF!,"AAAAAG/7/tE=")</f>
        <v>#REF!</v>
      </c>
      <c r="HC193" t="e">
        <f>AND(Liste!#REF!,"AAAAAG/7/tI=")</f>
        <v>#REF!</v>
      </c>
      <c r="HD193" t="e">
        <f>AND(Liste!#REF!,"AAAAAG/7/tM=")</f>
        <v>#REF!</v>
      </c>
      <c r="HE193" t="e">
        <f>AND(Liste!#REF!,"AAAAAG/7/tQ=")</f>
        <v>#REF!</v>
      </c>
      <c r="HF193" t="e">
        <f>AND(Liste!#REF!,"AAAAAG/7/tU=")</f>
        <v>#REF!</v>
      </c>
      <c r="HG193" t="e">
        <f>AND(Liste!#REF!,"AAAAAG/7/tY=")</f>
        <v>#REF!</v>
      </c>
      <c r="HH193" t="e">
        <f>AND(Liste!#REF!,"AAAAAG/7/tc=")</f>
        <v>#REF!</v>
      </c>
      <c r="HI193" t="e">
        <f>AND(Liste!#REF!,"AAAAAG/7/tg=")</f>
        <v>#REF!</v>
      </c>
      <c r="HJ193" t="e">
        <f>AND(Liste!#REF!,"AAAAAG/7/tk=")</f>
        <v>#REF!</v>
      </c>
      <c r="HK193" t="e">
        <f>AND(Liste!#REF!,"AAAAAG/7/to=")</f>
        <v>#REF!</v>
      </c>
      <c r="HL193" t="e">
        <f>AND(Liste!#REF!,"AAAAAG/7/ts=")</f>
        <v>#REF!</v>
      </c>
      <c r="HM193" t="e">
        <f>AND(Liste!#REF!,"AAAAAG/7/tw=")</f>
        <v>#REF!</v>
      </c>
      <c r="HN193" t="e">
        <f>AND(Liste!#REF!,"AAAAAG/7/t0=")</f>
        <v>#REF!</v>
      </c>
      <c r="HO193" t="e">
        <f>AND(Liste!#REF!,"AAAAAG/7/t4=")</f>
        <v>#REF!</v>
      </c>
      <c r="HP193" t="e">
        <f>AND(Liste!#REF!,"AAAAAG/7/t8=")</f>
        <v>#REF!</v>
      </c>
      <c r="HQ193" t="e">
        <f>AND(Liste!#REF!,"AAAAAG/7/uA=")</f>
        <v>#REF!</v>
      </c>
      <c r="HR193" t="e">
        <f>AND(Liste!#REF!,"AAAAAG/7/uE=")</f>
        <v>#REF!</v>
      </c>
      <c r="HS193" t="e">
        <f>AND(Liste!#REF!,"AAAAAG/7/uI=")</f>
        <v>#REF!</v>
      </c>
      <c r="HT193" t="e">
        <f>AND(Liste!#REF!,"AAAAAG/7/uM=")</f>
        <v>#REF!</v>
      </c>
      <c r="HU193" t="e">
        <f>AND(Liste!#REF!,"AAAAAG/7/uQ=")</f>
        <v>#REF!</v>
      </c>
      <c r="HV193" t="e">
        <f>AND(Liste!#REF!,"AAAAAG/7/uU=")</f>
        <v>#REF!</v>
      </c>
      <c r="HW193" t="e">
        <f>AND(Liste!#REF!,"AAAAAG/7/uY=")</f>
        <v>#REF!</v>
      </c>
      <c r="HX193" t="e">
        <f>AND(Liste!#REF!,"AAAAAG/7/uc=")</f>
        <v>#REF!</v>
      </c>
      <c r="HY193" t="e">
        <f>AND(Liste!#REF!,"AAAAAG/7/ug=")</f>
        <v>#REF!</v>
      </c>
      <c r="HZ193" t="e">
        <f>AND(Liste!#REF!,"AAAAAG/7/uk=")</f>
        <v>#REF!</v>
      </c>
      <c r="IA193" t="e">
        <f>IF(Liste!#REF!,"AAAAAG/7/uo=",0)</f>
        <v>#REF!</v>
      </c>
      <c r="IB193" t="e">
        <f>AND(Liste!#REF!,"AAAAAG/7/us=")</f>
        <v>#REF!</v>
      </c>
      <c r="IC193" t="e">
        <f>AND(Liste!#REF!,"AAAAAG/7/uw=")</f>
        <v>#REF!</v>
      </c>
      <c r="ID193" t="e">
        <f>AND(Liste!#REF!,"AAAAAG/7/u0=")</f>
        <v>#REF!</v>
      </c>
      <c r="IE193" t="e">
        <f>AND(Liste!#REF!,"AAAAAG/7/u4=")</f>
        <v>#REF!</v>
      </c>
      <c r="IF193" t="e">
        <f>AND(Liste!#REF!,"AAAAAG/7/u8=")</f>
        <v>#REF!</v>
      </c>
      <c r="IG193" t="e">
        <f>AND(Liste!#REF!,"AAAAAG/7/vA=")</f>
        <v>#REF!</v>
      </c>
      <c r="IH193" t="e">
        <f>AND(Liste!#REF!,"AAAAAG/7/vE=")</f>
        <v>#REF!</v>
      </c>
      <c r="II193" t="e">
        <f>AND(Liste!#REF!,"AAAAAG/7/vI=")</f>
        <v>#REF!</v>
      </c>
      <c r="IJ193" t="e">
        <f>AND(Liste!#REF!,"AAAAAG/7/vM=")</f>
        <v>#REF!</v>
      </c>
      <c r="IK193" t="e">
        <f>AND(Liste!#REF!,"AAAAAG/7/vQ=")</f>
        <v>#REF!</v>
      </c>
      <c r="IL193" t="e">
        <f>AND(Liste!#REF!,"AAAAAG/7/vU=")</f>
        <v>#REF!</v>
      </c>
      <c r="IM193" t="e">
        <f>AND(Liste!#REF!,"AAAAAG/7/vY=")</f>
        <v>#REF!</v>
      </c>
      <c r="IN193" t="e">
        <f>AND(Liste!#REF!,"AAAAAG/7/vc=")</f>
        <v>#REF!</v>
      </c>
      <c r="IO193" t="e">
        <f>AND(Liste!#REF!,"AAAAAG/7/vg=")</f>
        <v>#REF!</v>
      </c>
      <c r="IP193" t="e">
        <f>AND(Liste!#REF!,"AAAAAG/7/vk=")</f>
        <v>#REF!</v>
      </c>
      <c r="IQ193" t="e">
        <f>AND(Liste!#REF!,"AAAAAG/7/vo=")</f>
        <v>#REF!</v>
      </c>
      <c r="IR193" t="e">
        <f>AND(Liste!#REF!,"AAAAAG/7/vs=")</f>
        <v>#REF!</v>
      </c>
      <c r="IS193" t="e">
        <f>AND(Liste!#REF!,"AAAAAG/7/vw=")</f>
        <v>#REF!</v>
      </c>
      <c r="IT193" t="e">
        <f>AND(Liste!#REF!,"AAAAAG/7/v0=")</f>
        <v>#REF!</v>
      </c>
      <c r="IU193" t="e">
        <f>AND(Liste!#REF!,"AAAAAG/7/v4=")</f>
        <v>#REF!</v>
      </c>
      <c r="IV193" t="e">
        <f>AND(Liste!#REF!,"AAAAAG/7/v8=")</f>
        <v>#REF!</v>
      </c>
    </row>
    <row r="194" spans="1:256" x14ac:dyDescent="0.2">
      <c r="A194" t="e">
        <f>AND(Liste!#REF!,"AAAAAH+8zwA=")</f>
        <v>#REF!</v>
      </c>
      <c r="B194" t="e">
        <f>AND(Liste!#REF!,"AAAAAH+8zwE=")</f>
        <v>#REF!</v>
      </c>
      <c r="C194" t="e">
        <f>AND(Liste!#REF!,"AAAAAH+8zwI=")</f>
        <v>#REF!</v>
      </c>
      <c r="D194" t="e">
        <f>AND(Liste!#REF!,"AAAAAH+8zwM=")</f>
        <v>#REF!</v>
      </c>
      <c r="E194" t="e">
        <f>AND(Liste!#REF!,"AAAAAH+8zwQ=")</f>
        <v>#REF!</v>
      </c>
      <c r="F194" t="e">
        <f>AND(Liste!#REF!,"AAAAAH+8zwU=")</f>
        <v>#REF!</v>
      </c>
      <c r="G194" t="e">
        <f>IF(Liste!#REF!,"AAAAAH+8zwY=",0)</f>
        <v>#REF!</v>
      </c>
      <c r="H194" t="e">
        <f>AND(Liste!#REF!,"AAAAAH+8zwc=")</f>
        <v>#REF!</v>
      </c>
      <c r="I194" t="e">
        <f>AND(Liste!#REF!,"AAAAAH+8zwg=")</f>
        <v>#REF!</v>
      </c>
      <c r="J194" t="e">
        <f>AND(Liste!#REF!,"AAAAAH+8zwk=")</f>
        <v>#REF!</v>
      </c>
      <c r="K194" t="e">
        <f>AND(Liste!#REF!,"AAAAAH+8zwo=")</f>
        <v>#REF!</v>
      </c>
      <c r="L194" t="e">
        <f>AND(Liste!#REF!,"AAAAAH+8zws=")</f>
        <v>#REF!</v>
      </c>
      <c r="M194" t="e">
        <f>AND(Liste!#REF!,"AAAAAH+8zww=")</f>
        <v>#REF!</v>
      </c>
      <c r="N194" t="e">
        <f>AND(Liste!#REF!,"AAAAAH+8zw0=")</f>
        <v>#REF!</v>
      </c>
      <c r="O194" t="e">
        <f>AND(Liste!#REF!,"AAAAAH+8zw4=")</f>
        <v>#REF!</v>
      </c>
      <c r="P194" t="e">
        <f>AND(Liste!#REF!,"AAAAAH+8zw8=")</f>
        <v>#REF!</v>
      </c>
      <c r="Q194" t="e">
        <f>AND(Liste!#REF!,"AAAAAH+8zxA=")</f>
        <v>#REF!</v>
      </c>
      <c r="R194" t="e">
        <f>AND(Liste!#REF!,"AAAAAH+8zxE=")</f>
        <v>#REF!</v>
      </c>
      <c r="S194" t="e">
        <f>AND(Liste!#REF!,"AAAAAH+8zxI=")</f>
        <v>#REF!</v>
      </c>
      <c r="T194" t="e">
        <f>AND(Liste!#REF!,"AAAAAH+8zxM=")</f>
        <v>#REF!</v>
      </c>
      <c r="U194" t="e">
        <f>AND(Liste!#REF!,"AAAAAH+8zxQ=")</f>
        <v>#REF!</v>
      </c>
      <c r="V194" t="e">
        <f>AND(Liste!#REF!,"AAAAAH+8zxU=")</f>
        <v>#REF!</v>
      </c>
      <c r="W194" t="e">
        <f>AND(Liste!#REF!,"AAAAAH+8zxY=")</f>
        <v>#REF!</v>
      </c>
      <c r="X194" t="e">
        <f>AND(Liste!#REF!,"AAAAAH+8zxc=")</f>
        <v>#REF!</v>
      </c>
      <c r="Y194" t="e">
        <f>AND(Liste!#REF!,"AAAAAH+8zxg=")</f>
        <v>#REF!</v>
      </c>
      <c r="Z194" t="e">
        <f>AND(Liste!#REF!,"AAAAAH+8zxk=")</f>
        <v>#REF!</v>
      </c>
      <c r="AA194" t="e">
        <f>AND(Liste!#REF!,"AAAAAH+8zxo=")</f>
        <v>#REF!</v>
      </c>
      <c r="AB194" t="e">
        <f>AND(Liste!#REF!,"AAAAAH+8zxs=")</f>
        <v>#REF!</v>
      </c>
      <c r="AC194" t="e">
        <f>AND(Liste!#REF!,"AAAAAH+8zxw=")</f>
        <v>#REF!</v>
      </c>
      <c r="AD194" t="e">
        <f>AND(Liste!#REF!,"AAAAAH+8zx0=")</f>
        <v>#REF!</v>
      </c>
      <c r="AE194" t="e">
        <f>AND(Liste!#REF!,"AAAAAH+8zx4=")</f>
        <v>#REF!</v>
      </c>
      <c r="AF194" t="e">
        <f>AND(Liste!#REF!,"AAAAAH+8zx8=")</f>
        <v>#REF!</v>
      </c>
      <c r="AG194" t="e">
        <f>AND(Liste!#REF!,"AAAAAH+8zyA=")</f>
        <v>#REF!</v>
      </c>
      <c r="AH194" t="e">
        <f>AND(Liste!#REF!,"AAAAAH+8zyE=")</f>
        <v>#REF!</v>
      </c>
      <c r="AI194" t="e">
        <f>IF(Liste!#REF!,"AAAAAH+8zyI=",0)</f>
        <v>#REF!</v>
      </c>
      <c r="AJ194" t="e">
        <f>AND(Liste!#REF!,"AAAAAH+8zyM=")</f>
        <v>#REF!</v>
      </c>
      <c r="AK194" t="e">
        <f>AND(Liste!#REF!,"AAAAAH+8zyQ=")</f>
        <v>#REF!</v>
      </c>
      <c r="AL194" t="e">
        <f>AND(Liste!#REF!,"AAAAAH+8zyU=")</f>
        <v>#REF!</v>
      </c>
      <c r="AM194" t="e">
        <f>AND(Liste!#REF!,"AAAAAH+8zyY=")</f>
        <v>#REF!</v>
      </c>
      <c r="AN194" t="e">
        <f>AND(Liste!#REF!,"AAAAAH+8zyc=")</f>
        <v>#REF!</v>
      </c>
      <c r="AO194" t="e">
        <f>AND(Liste!#REF!,"AAAAAH+8zyg=")</f>
        <v>#REF!</v>
      </c>
      <c r="AP194" t="e">
        <f>AND(Liste!#REF!,"AAAAAH+8zyk=")</f>
        <v>#REF!</v>
      </c>
      <c r="AQ194" t="e">
        <f>AND(Liste!#REF!,"AAAAAH+8zyo=")</f>
        <v>#REF!</v>
      </c>
      <c r="AR194" t="e">
        <f>AND(Liste!#REF!,"AAAAAH+8zys=")</f>
        <v>#REF!</v>
      </c>
      <c r="AS194" t="e">
        <f>AND(Liste!#REF!,"AAAAAH+8zyw=")</f>
        <v>#REF!</v>
      </c>
      <c r="AT194" t="e">
        <f>AND(Liste!#REF!,"AAAAAH+8zy0=")</f>
        <v>#REF!</v>
      </c>
      <c r="AU194" t="e">
        <f>AND(Liste!#REF!,"AAAAAH+8zy4=")</f>
        <v>#REF!</v>
      </c>
      <c r="AV194" t="e">
        <f>AND(Liste!#REF!,"AAAAAH+8zy8=")</f>
        <v>#REF!</v>
      </c>
      <c r="AW194" t="e">
        <f>AND(Liste!#REF!,"AAAAAH+8zzA=")</f>
        <v>#REF!</v>
      </c>
      <c r="AX194" t="e">
        <f>AND(Liste!#REF!,"AAAAAH+8zzE=")</f>
        <v>#REF!</v>
      </c>
      <c r="AY194" t="e">
        <f>AND(Liste!#REF!,"AAAAAH+8zzI=")</f>
        <v>#REF!</v>
      </c>
      <c r="AZ194" t="e">
        <f>AND(Liste!#REF!,"AAAAAH+8zzM=")</f>
        <v>#REF!</v>
      </c>
      <c r="BA194" t="e">
        <f>AND(Liste!#REF!,"AAAAAH+8zzQ=")</f>
        <v>#REF!</v>
      </c>
      <c r="BB194" t="e">
        <f>AND(Liste!#REF!,"AAAAAH+8zzU=")</f>
        <v>#REF!</v>
      </c>
      <c r="BC194" t="e">
        <f>AND(Liste!#REF!,"AAAAAH+8zzY=")</f>
        <v>#REF!</v>
      </c>
      <c r="BD194" t="e">
        <f>AND(Liste!#REF!,"AAAAAH+8zzc=")</f>
        <v>#REF!</v>
      </c>
      <c r="BE194" t="e">
        <f>AND(Liste!#REF!,"AAAAAH+8zzg=")</f>
        <v>#REF!</v>
      </c>
      <c r="BF194" t="e">
        <f>AND(Liste!#REF!,"AAAAAH+8zzk=")</f>
        <v>#REF!</v>
      </c>
      <c r="BG194" t="e">
        <f>AND(Liste!#REF!,"AAAAAH+8zzo=")</f>
        <v>#REF!</v>
      </c>
      <c r="BH194" t="e">
        <f>AND(Liste!#REF!,"AAAAAH+8zzs=")</f>
        <v>#REF!</v>
      </c>
      <c r="BI194" t="e">
        <f>AND(Liste!#REF!,"AAAAAH+8zzw=")</f>
        <v>#REF!</v>
      </c>
      <c r="BJ194" t="e">
        <f>AND(Liste!#REF!,"AAAAAH+8zz0=")</f>
        <v>#REF!</v>
      </c>
      <c r="BK194" t="e">
        <f>IF(Liste!#REF!,"AAAAAH+8zz4=",0)</f>
        <v>#REF!</v>
      </c>
      <c r="BL194" t="e">
        <f>AND(Liste!#REF!,"AAAAAH+8zz8=")</f>
        <v>#REF!</v>
      </c>
      <c r="BM194" t="e">
        <f>AND(Liste!#REF!,"AAAAAH+8z0A=")</f>
        <v>#REF!</v>
      </c>
      <c r="BN194" t="e">
        <f>AND(Liste!#REF!,"AAAAAH+8z0E=")</f>
        <v>#REF!</v>
      </c>
      <c r="BO194" t="e">
        <f>AND(Liste!#REF!,"AAAAAH+8z0I=")</f>
        <v>#REF!</v>
      </c>
      <c r="BP194" t="e">
        <f>AND(Liste!#REF!,"AAAAAH+8z0M=")</f>
        <v>#REF!</v>
      </c>
      <c r="BQ194" t="e">
        <f>AND(Liste!#REF!,"AAAAAH+8z0Q=")</f>
        <v>#REF!</v>
      </c>
      <c r="BR194" t="e">
        <f>AND(Liste!#REF!,"AAAAAH+8z0U=")</f>
        <v>#REF!</v>
      </c>
      <c r="BS194" t="e">
        <f>AND(Liste!#REF!,"AAAAAH+8z0Y=")</f>
        <v>#REF!</v>
      </c>
      <c r="BT194" t="e">
        <f>AND(Liste!#REF!,"AAAAAH+8z0c=")</f>
        <v>#REF!</v>
      </c>
      <c r="BU194" t="e">
        <f>AND(Liste!#REF!,"AAAAAH+8z0g=")</f>
        <v>#REF!</v>
      </c>
      <c r="BV194" t="e">
        <f>AND(Liste!#REF!,"AAAAAH+8z0k=")</f>
        <v>#REF!</v>
      </c>
      <c r="BW194" t="e">
        <f>AND(Liste!#REF!,"AAAAAH+8z0o=")</f>
        <v>#REF!</v>
      </c>
      <c r="BX194" t="e">
        <f>AND(Liste!#REF!,"AAAAAH+8z0s=")</f>
        <v>#REF!</v>
      </c>
      <c r="BY194" t="e">
        <f>AND(Liste!#REF!,"AAAAAH+8z0w=")</f>
        <v>#REF!</v>
      </c>
      <c r="BZ194" t="e">
        <f>AND(Liste!#REF!,"AAAAAH+8z00=")</f>
        <v>#REF!</v>
      </c>
      <c r="CA194" t="e">
        <f>AND(Liste!#REF!,"AAAAAH+8z04=")</f>
        <v>#REF!</v>
      </c>
      <c r="CB194" t="e">
        <f>AND(Liste!#REF!,"AAAAAH+8z08=")</f>
        <v>#REF!</v>
      </c>
      <c r="CC194" t="e">
        <f>AND(Liste!#REF!,"AAAAAH+8z1A=")</f>
        <v>#REF!</v>
      </c>
      <c r="CD194" t="e">
        <f>AND(Liste!#REF!,"AAAAAH+8z1E=")</f>
        <v>#REF!</v>
      </c>
      <c r="CE194" t="e">
        <f>AND(Liste!#REF!,"AAAAAH+8z1I=")</f>
        <v>#REF!</v>
      </c>
      <c r="CF194" t="e">
        <f>AND(Liste!#REF!,"AAAAAH+8z1M=")</f>
        <v>#REF!</v>
      </c>
      <c r="CG194" t="e">
        <f>AND(Liste!#REF!,"AAAAAH+8z1Q=")</f>
        <v>#REF!</v>
      </c>
      <c r="CH194" t="e">
        <f>AND(Liste!#REF!,"AAAAAH+8z1U=")</f>
        <v>#REF!</v>
      </c>
      <c r="CI194" t="e">
        <f>AND(Liste!#REF!,"AAAAAH+8z1Y=")</f>
        <v>#REF!</v>
      </c>
      <c r="CJ194" t="e">
        <f>AND(Liste!#REF!,"AAAAAH+8z1c=")</f>
        <v>#REF!</v>
      </c>
      <c r="CK194" t="e">
        <f>AND(Liste!#REF!,"AAAAAH+8z1g=")</f>
        <v>#REF!</v>
      </c>
      <c r="CL194" t="e">
        <f>AND(Liste!#REF!,"AAAAAH+8z1k=")</f>
        <v>#REF!</v>
      </c>
      <c r="CM194" t="e">
        <f>IF(Liste!#REF!,"AAAAAH+8z1o=",0)</f>
        <v>#REF!</v>
      </c>
      <c r="CN194" t="e">
        <f>AND(Liste!#REF!,"AAAAAH+8z1s=")</f>
        <v>#REF!</v>
      </c>
      <c r="CO194" t="e">
        <f>AND(Liste!#REF!,"AAAAAH+8z1w=")</f>
        <v>#REF!</v>
      </c>
      <c r="CP194" t="e">
        <f>AND(Liste!#REF!,"AAAAAH+8z10=")</f>
        <v>#REF!</v>
      </c>
      <c r="CQ194" t="e">
        <f>AND(Liste!#REF!,"AAAAAH+8z14=")</f>
        <v>#REF!</v>
      </c>
      <c r="CR194" t="e">
        <f>AND(Liste!#REF!,"AAAAAH+8z18=")</f>
        <v>#REF!</v>
      </c>
      <c r="CS194" t="e">
        <f>AND(Liste!#REF!,"AAAAAH+8z2A=")</f>
        <v>#REF!</v>
      </c>
      <c r="CT194" t="e">
        <f>AND(Liste!#REF!,"AAAAAH+8z2E=")</f>
        <v>#REF!</v>
      </c>
      <c r="CU194" t="e">
        <f>AND(Liste!#REF!,"AAAAAH+8z2I=")</f>
        <v>#REF!</v>
      </c>
      <c r="CV194" t="e">
        <f>AND(Liste!#REF!,"AAAAAH+8z2M=")</f>
        <v>#REF!</v>
      </c>
      <c r="CW194" t="e">
        <f>AND(Liste!#REF!,"AAAAAH+8z2Q=")</f>
        <v>#REF!</v>
      </c>
      <c r="CX194" t="e">
        <f>AND(Liste!#REF!,"AAAAAH+8z2U=")</f>
        <v>#REF!</v>
      </c>
      <c r="CY194" t="e">
        <f>AND(Liste!#REF!,"AAAAAH+8z2Y=")</f>
        <v>#REF!</v>
      </c>
      <c r="CZ194" t="e">
        <f>AND(Liste!#REF!,"AAAAAH+8z2c=")</f>
        <v>#REF!</v>
      </c>
      <c r="DA194" t="e">
        <f>AND(Liste!#REF!,"AAAAAH+8z2g=")</f>
        <v>#REF!</v>
      </c>
      <c r="DB194" t="e">
        <f>AND(Liste!#REF!,"AAAAAH+8z2k=")</f>
        <v>#REF!</v>
      </c>
      <c r="DC194" t="e">
        <f>AND(Liste!#REF!,"AAAAAH+8z2o=")</f>
        <v>#REF!</v>
      </c>
      <c r="DD194" t="e">
        <f>AND(Liste!#REF!,"AAAAAH+8z2s=")</f>
        <v>#REF!</v>
      </c>
      <c r="DE194" t="e">
        <f>AND(Liste!#REF!,"AAAAAH+8z2w=")</f>
        <v>#REF!</v>
      </c>
      <c r="DF194" t="e">
        <f>AND(Liste!#REF!,"AAAAAH+8z20=")</f>
        <v>#REF!</v>
      </c>
      <c r="DG194" t="e">
        <f>AND(Liste!#REF!,"AAAAAH+8z24=")</f>
        <v>#REF!</v>
      </c>
      <c r="DH194" t="e">
        <f>AND(Liste!#REF!,"AAAAAH+8z28=")</f>
        <v>#REF!</v>
      </c>
      <c r="DI194" t="e">
        <f>AND(Liste!#REF!,"AAAAAH+8z3A=")</f>
        <v>#REF!</v>
      </c>
      <c r="DJ194" t="e">
        <f>AND(Liste!#REF!,"AAAAAH+8z3E=")</f>
        <v>#REF!</v>
      </c>
      <c r="DK194" t="e">
        <f>AND(Liste!#REF!,"AAAAAH+8z3I=")</f>
        <v>#REF!</v>
      </c>
      <c r="DL194" t="e">
        <f>AND(Liste!#REF!,"AAAAAH+8z3M=")</f>
        <v>#REF!</v>
      </c>
      <c r="DM194" t="e">
        <f>AND(Liste!#REF!,"AAAAAH+8z3Q=")</f>
        <v>#REF!</v>
      </c>
      <c r="DN194" t="e">
        <f>AND(Liste!#REF!,"AAAAAH+8z3U=")</f>
        <v>#REF!</v>
      </c>
      <c r="DO194" t="e">
        <f>IF(Liste!#REF!,"AAAAAH+8z3Y=",0)</f>
        <v>#REF!</v>
      </c>
      <c r="DP194" t="e">
        <f>AND(Liste!#REF!,"AAAAAH+8z3c=")</f>
        <v>#REF!</v>
      </c>
      <c r="DQ194" t="e">
        <f>AND(Liste!#REF!,"AAAAAH+8z3g=")</f>
        <v>#REF!</v>
      </c>
      <c r="DR194" t="e">
        <f>AND(Liste!#REF!,"AAAAAH+8z3k=")</f>
        <v>#REF!</v>
      </c>
      <c r="DS194" t="e">
        <f>AND(Liste!#REF!,"AAAAAH+8z3o=")</f>
        <v>#REF!</v>
      </c>
      <c r="DT194" t="e">
        <f>AND(Liste!#REF!,"AAAAAH+8z3s=")</f>
        <v>#REF!</v>
      </c>
      <c r="DU194" t="e">
        <f>AND(Liste!#REF!,"AAAAAH+8z3w=")</f>
        <v>#REF!</v>
      </c>
      <c r="DV194" t="e">
        <f>AND(Liste!#REF!,"AAAAAH+8z30=")</f>
        <v>#REF!</v>
      </c>
      <c r="DW194" t="e">
        <f>AND(Liste!#REF!,"AAAAAH+8z34=")</f>
        <v>#REF!</v>
      </c>
      <c r="DX194" t="e">
        <f>AND(Liste!#REF!,"AAAAAH+8z38=")</f>
        <v>#REF!</v>
      </c>
      <c r="DY194" t="e">
        <f>AND(Liste!#REF!,"AAAAAH+8z4A=")</f>
        <v>#REF!</v>
      </c>
      <c r="DZ194" t="e">
        <f>AND(Liste!#REF!,"AAAAAH+8z4E=")</f>
        <v>#REF!</v>
      </c>
      <c r="EA194" t="e">
        <f>AND(Liste!#REF!,"AAAAAH+8z4I=")</f>
        <v>#REF!</v>
      </c>
      <c r="EB194" t="e">
        <f>AND(Liste!#REF!,"AAAAAH+8z4M=")</f>
        <v>#REF!</v>
      </c>
      <c r="EC194" t="e">
        <f>AND(Liste!#REF!,"AAAAAH+8z4Q=")</f>
        <v>#REF!</v>
      </c>
      <c r="ED194" t="e">
        <f>AND(Liste!#REF!,"AAAAAH+8z4U=")</f>
        <v>#REF!</v>
      </c>
      <c r="EE194" t="e">
        <f>AND(Liste!#REF!,"AAAAAH+8z4Y=")</f>
        <v>#REF!</v>
      </c>
      <c r="EF194" t="e">
        <f>AND(Liste!#REF!,"AAAAAH+8z4c=")</f>
        <v>#REF!</v>
      </c>
      <c r="EG194" t="e">
        <f>AND(Liste!#REF!,"AAAAAH+8z4g=")</f>
        <v>#REF!</v>
      </c>
      <c r="EH194" t="e">
        <f>AND(Liste!#REF!,"AAAAAH+8z4k=")</f>
        <v>#REF!</v>
      </c>
      <c r="EI194" t="e">
        <f>AND(Liste!#REF!,"AAAAAH+8z4o=")</f>
        <v>#REF!</v>
      </c>
      <c r="EJ194" t="e">
        <f>AND(Liste!#REF!,"AAAAAH+8z4s=")</f>
        <v>#REF!</v>
      </c>
      <c r="EK194" t="e">
        <f>AND(Liste!#REF!,"AAAAAH+8z4w=")</f>
        <v>#REF!</v>
      </c>
      <c r="EL194" t="e">
        <f>AND(Liste!#REF!,"AAAAAH+8z40=")</f>
        <v>#REF!</v>
      </c>
      <c r="EM194" t="e">
        <f>AND(Liste!#REF!,"AAAAAH+8z44=")</f>
        <v>#REF!</v>
      </c>
      <c r="EN194" t="e">
        <f>AND(Liste!#REF!,"AAAAAH+8z48=")</f>
        <v>#REF!</v>
      </c>
      <c r="EO194" t="e">
        <f>AND(Liste!#REF!,"AAAAAH+8z5A=")</f>
        <v>#REF!</v>
      </c>
      <c r="EP194" t="e">
        <f>AND(Liste!#REF!,"AAAAAH+8z5E=")</f>
        <v>#REF!</v>
      </c>
      <c r="EQ194" t="e">
        <f>IF(Liste!#REF!,"AAAAAH+8z5I=",0)</f>
        <v>#REF!</v>
      </c>
      <c r="ER194" t="e">
        <f>AND(Liste!#REF!,"AAAAAH+8z5M=")</f>
        <v>#REF!</v>
      </c>
      <c r="ES194" t="e">
        <f>AND(Liste!#REF!,"AAAAAH+8z5Q=")</f>
        <v>#REF!</v>
      </c>
      <c r="ET194" t="e">
        <f>AND(Liste!#REF!,"AAAAAH+8z5U=")</f>
        <v>#REF!</v>
      </c>
      <c r="EU194" t="e">
        <f>AND(Liste!#REF!,"AAAAAH+8z5Y=")</f>
        <v>#REF!</v>
      </c>
      <c r="EV194" t="e">
        <f>AND(Liste!#REF!,"AAAAAH+8z5c=")</f>
        <v>#REF!</v>
      </c>
      <c r="EW194" t="e">
        <f>AND(Liste!#REF!,"AAAAAH+8z5g=")</f>
        <v>#REF!</v>
      </c>
      <c r="EX194" t="e">
        <f>AND(Liste!#REF!,"AAAAAH+8z5k=")</f>
        <v>#REF!</v>
      </c>
      <c r="EY194" t="e">
        <f>AND(Liste!#REF!,"AAAAAH+8z5o=")</f>
        <v>#REF!</v>
      </c>
      <c r="EZ194" t="e">
        <f>AND(Liste!#REF!,"AAAAAH+8z5s=")</f>
        <v>#REF!</v>
      </c>
      <c r="FA194" t="e">
        <f>AND(Liste!#REF!,"AAAAAH+8z5w=")</f>
        <v>#REF!</v>
      </c>
      <c r="FB194" t="e">
        <f>AND(Liste!#REF!,"AAAAAH+8z50=")</f>
        <v>#REF!</v>
      </c>
      <c r="FC194" t="e">
        <f>AND(Liste!#REF!,"AAAAAH+8z54=")</f>
        <v>#REF!</v>
      </c>
      <c r="FD194" t="e">
        <f>AND(Liste!#REF!,"AAAAAH+8z58=")</f>
        <v>#REF!</v>
      </c>
      <c r="FE194" t="e">
        <f>AND(Liste!#REF!,"AAAAAH+8z6A=")</f>
        <v>#REF!</v>
      </c>
      <c r="FF194" t="e">
        <f>AND(Liste!#REF!,"AAAAAH+8z6E=")</f>
        <v>#REF!</v>
      </c>
      <c r="FG194" t="e">
        <f>AND(Liste!#REF!,"AAAAAH+8z6I=")</f>
        <v>#REF!</v>
      </c>
      <c r="FH194" t="e">
        <f>AND(Liste!#REF!,"AAAAAH+8z6M=")</f>
        <v>#REF!</v>
      </c>
      <c r="FI194" t="e">
        <f>AND(Liste!#REF!,"AAAAAH+8z6Q=")</f>
        <v>#REF!</v>
      </c>
      <c r="FJ194" t="e">
        <f>AND(Liste!#REF!,"AAAAAH+8z6U=")</f>
        <v>#REF!</v>
      </c>
      <c r="FK194" t="e">
        <f>AND(Liste!#REF!,"AAAAAH+8z6Y=")</f>
        <v>#REF!</v>
      </c>
      <c r="FL194" t="e">
        <f>AND(Liste!#REF!,"AAAAAH+8z6c=")</f>
        <v>#REF!</v>
      </c>
      <c r="FM194" t="e">
        <f>AND(Liste!#REF!,"AAAAAH+8z6g=")</f>
        <v>#REF!</v>
      </c>
      <c r="FN194" t="e">
        <f>AND(Liste!#REF!,"AAAAAH+8z6k=")</f>
        <v>#REF!</v>
      </c>
      <c r="FO194" t="e">
        <f>AND(Liste!#REF!,"AAAAAH+8z6o=")</f>
        <v>#REF!</v>
      </c>
      <c r="FP194" t="e">
        <f>AND(Liste!#REF!,"AAAAAH+8z6s=")</f>
        <v>#REF!</v>
      </c>
      <c r="FQ194" t="e">
        <f>AND(Liste!#REF!,"AAAAAH+8z6w=")</f>
        <v>#REF!</v>
      </c>
      <c r="FR194" t="e">
        <f>AND(Liste!#REF!,"AAAAAH+8z60=")</f>
        <v>#REF!</v>
      </c>
      <c r="FS194" t="e">
        <f>IF(Liste!#REF!,"AAAAAH+8z64=",0)</f>
        <v>#REF!</v>
      </c>
      <c r="FT194" t="e">
        <f>AND(Liste!#REF!,"AAAAAH+8z68=")</f>
        <v>#REF!</v>
      </c>
      <c r="FU194" t="e">
        <f>AND(Liste!#REF!,"AAAAAH+8z7A=")</f>
        <v>#REF!</v>
      </c>
      <c r="FV194" t="e">
        <f>AND(Liste!#REF!,"AAAAAH+8z7E=")</f>
        <v>#REF!</v>
      </c>
      <c r="FW194" t="e">
        <f>AND(Liste!#REF!,"AAAAAH+8z7I=")</f>
        <v>#REF!</v>
      </c>
      <c r="FX194" t="e">
        <f>AND(Liste!#REF!,"AAAAAH+8z7M=")</f>
        <v>#REF!</v>
      </c>
      <c r="FY194" t="e">
        <f>AND(Liste!#REF!,"AAAAAH+8z7Q=")</f>
        <v>#REF!</v>
      </c>
      <c r="FZ194" t="e">
        <f>AND(Liste!#REF!,"AAAAAH+8z7U=")</f>
        <v>#REF!</v>
      </c>
      <c r="GA194" t="e">
        <f>AND(Liste!#REF!,"AAAAAH+8z7Y=")</f>
        <v>#REF!</v>
      </c>
      <c r="GB194" t="e">
        <f>AND(Liste!#REF!,"AAAAAH+8z7c=")</f>
        <v>#REF!</v>
      </c>
      <c r="GC194" t="e">
        <f>AND(Liste!#REF!,"AAAAAH+8z7g=")</f>
        <v>#REF!</v>
      </c>
      <c r="GD194" t="e">
        <f>AND(Liste!#REF!,"AAAAAH+8z7k=")</f>
        <v>#REF!</v>
      </c>
      <c r="GE194" t="e">
        <f>AND(Liste!#REF!,"AAAAAH+8z7o=")</f>
        <v>#REF!</v>
      </c>
      <c r="GF194" t="e">
        <f>AND(Liste!#REF!,"AAAAAH+8z7s=")</f>
        <v>#REF!</v>
      </c>
      <c r="GG194" t="e">
        <f>AND(Liste!#REF!,"AAAAAH+8z7w=")</f>
        <v>#REF!</v>
      </c>
      <c r="GH194" t="e">
        <f>AND(Liste!#REF!,"AAAAAH+8z70=")</f>
        <v>#REF!</v>
      </c>
      <c r="GI194" t="e">
        <f>AND(Liste!#REF!,"AAAAAH+8z74=")</f>
        <v>#REF!</v>
      </c>
      <c r="GJ194" t="e">
        <f>AND(Liste!#REF!,"AAAAAH+8z78=")</f>
        <v>#REF!</v>
      </c>
      <c r="GK194" t="e">
        <f>AND(Liste!#REF!,"AAAAAH+8z8A=")</f>
        <v>#REF!</v>
      </c>
      <c r="GL194" t="e">
        <f>AND(Liste!#REF!,"AAAAAH+8z8E=")</f>
        <v>#REF!</v>
      </c>
      <c r="GM194" t="e">
        <f>AND(Liste!#REF!,"AAAAAH+8z8I=")</f>
        <v>#REF!</v>
      </c>
      <c r="GN194" t="e">
        <f>AND(Liste!#REF!,"AAAAAH+8z8M=")</f>
        <v>#REF!</v>
      </c>
      <c r="GO194" t="e">
        <f>AND(Liste!#REF!,"AAAAAH+8z8Q=")</f>
        <v>#REF!</v>
      </c>
      <c r="GP194" t="e">
        <f>AND(Liste!#REF!,"AAAAAH+8z8U=")</f>
        <v>#REF!</v>
      </c>
      <c r="GQ194" t="e">
        <f>AND(Liste!#REF!,"AAAAAH+8z8Y=")</f>
        <v>#REF!</v>
      </c>
      <c r="GR194" t="e">
        <f>AND(Liste!#REF!,"AAAAAH+8z8c=")</f>
        <v>#REF!</v>
      </c>
      <c r="GS194" t="e">
        <f>AND(Liste!#REF!,"AAAAAH+8z8g=")</f>
        <v>#REF!</v>
      </c>
      <c r="GT194" t="e">
        <f>AND(Liste!#REF!,"AAAAAH+8z8k=")</f>
        <v>#REF!</v>
      </c>
      <c r="GU194" t="e">
        <f>AND(Liste!#REF!,"AAAAAH+8z8o=")</f>
        <v>#REF!</v>
      </c>
      <c r="GV194" t="e">
        <f>AND(Liste!#REF!,"AAAAAH+8z8s=")</f>
        <v>#REF!</v>
      </c>
      <c r="GW194" t="e">
        <f>AND(Liste!#REF!,"AAAAAH+8z8w=")</f>
        <v>#REF!</v>
      </c>
      <c r="GX194" t="e">
        <f>IF(Liste!#REF!,"AAAAAH+8z80=",0)</f>
        <v>#REF!</v>
      </c>
      <c r="GY194" t="e">
        <f>AND(Liste!#REF!,"AAAAAH+8z84=")</f>
        <v>#REF!</v>
      </c>
      <c r="GZ194" t="e">
        <f>AND(Liste!#REF!,"AAAAAH+8z88=")</f>
        <v>#REF!</v>
      </c>
      <c r="HA194" t="e">
        <f>AND(Liste!#REF!,"AAAAAH+8z9A=")</f>
        <v>#REF!</v>
      </c>
      <c r="HB194" t="e">
        <f>AND(Liste!#REF!,"AAAAAH+8z9E=")</f>
        <v>#REF!</v>
      </c>
      <c r="HC194" t="e">
        <f>AND(Liste!#REF!,"AAAAAH+8z9I=")</f>
        <v>#REF!</v>
      </c>
      <c r="HD194" t="e">
        <f>AND(Liste!#REF!,"AAAAAH+8z9M=")</f>
        <v>#REF!</v>
      </c>
      <c r="HE194" t="e">
        <f>AND(Liste!#REF!,"AAAAAH+8z9Q=")</f>
        <v>#REF!</v>
      </c>
      <c r="HF194" t="e">
        <f>AND(Liste!#REF!,"AAAAAH+8z9U=")</f>
        <v>#REF!</v>
      </c>
      <c r="HG194" t="e">
        <f>AND(Liste!#REF!,"AAAAAH+8z9Y=")</f>
        <v>#REF!</v>
      </c>
      <c r="HH194" t="e">
        <f>AND(Liste!#REF!,"AAAAAH+8z9c=")</f>
        <v>#REF!</v>
      </c>
      <c r="HI194" t="e">
        <f>AND(Liste!#REF!,"AAAAAH+8z9g=")</f>
        <v>#REF!</v>
      </c>
      <c r="HJ194" t="e">
        <f>AND(Liste!#REF!,"AAAAAH+8z9k=")</f>
        <v>#REF!</v>
      </c>
      <c r="HK194" t="e">
        <f>AND(Liste!#REF!,"AAAAAH+8z9o=")</f>
        <v>#REF!</v>
      </c>
      <c r="HL194" t="e">
        <f>AND(Liste!#REF!,"AAAAAH+8z9s=")</f>
        <v>#REF!</v>
      </c>
      <c r="HM194" t="e">
        <f>AND(Liste!#REF!,"AAAAAH+8z9w=")</f>
        <v>#REF!</v>
      </c>
      <c r="HN194" t="e">
        <f>AND(Liste!#REF!,"AAAAAH+8z90=")</f>
        <v>#REF!</v>
      </c>
      <c r="HO194" t="e">
        <f>AND(Liste!#REF!,"AAAAAH+8z94=")</f>
        <v>#REF!</v>
      </c>
      <c r="HP194" t="e">
        <f>AND(Liste!#REF!,"AAAAAH+8z98=")</f>
        <v>#REF!</v>
      </c>
      <c r="HQ194" t="e">
        <f>AND(Liste!#REF!,"AAAAAH+8z+A=")</f>
        <v>#REF!</v>
      </c>
      <c r="HR194" t="e">
        <f>AND(Liste!#REF!,"AAAAAH+8z+E=")</f>
        <v>#REF!</v>
      </c>
      <c r="HS194" t="e">
        <f>AND(Liste!#REF!,"AAAAAH+8z+I=")</f>
        <v>#REF!</v>
      </c>
      <c r="HT194" t="e">
        <f>AND(Liste!#REF!,"AAAAAH+8z+M=")</f>
        <v>#REF!</v>
      </c>
      <c r="HU194" t="e">
        <f>AND(Liste!#REF!,"AAAAAH+8z+Q=")</f>
        <v>#REF!</v>
      </c>
      <c r="HV194" t="e">
        <f>AND(Liste!#REF!,"AAAAAH+8z+U=")</f>
        <v>#REF!</v>
      </c>
      <c r="HW194" t="e">
        <f>AND(Liste!#REF!,"AAAAAH+8z+Y=")</f>
        <v>#REF!</v>
      </c>
      <c r="HX194" t="e">
        <f>AND(Liste!#REF!,"AAAAAH+8z+c=")</f>
        <v>#REF!</v>
      </c>
      <c r="HY194" t="e">
        <f>AND(Liste!#REF!,"AAAAAH+8z+g=")</f>
        <v>#REF!</v>
      </c>
      <c r="HZ194" t="e">
        <f>AND(Liste!#REF!,"AAAAAH+8z+k=")</f>
        <v>#REF!</v>
      </c>
      <c r="IA194" t="e">
        <f>AND(Liste!#REF!,"AAAAAH+8z+o=")</f>
        <v>#REF!</v>
      </c>
      <c r="IB194" t="e">
        <f>AND(Liste!#REF!,"AAAAAH+8z+s=")</f>
        <v>#REF!</v>
      </c>
      <c r="IC194" t="e">
        <f>IF(Liste!#REF!,"AAAAAH+8z+w=",0)</f>
        <v>#REF!</v>
      </c>
      <c r="ID194" t="e">
        <f>AND(Liste!#REF!,"AAAAAH+8z+0=")</f>
        <v>#REF!</v>
      </c>
      <c r="IE194" t="e">
        <f>AND(Liste!#REF!,"AAAAAH+8z+4=")</f>
        <v>#REF!</v>
      </c>
      <c r="IF194" t="e">
        <f>AND(Liste!#REF!,"AAAAAH+8z+8=")</f>
        <v>#REF!</v>
      </c>
      <c r="IG194" t="e">
        <f>AND(Liste!#REF!,"AAAAAH+8z/A=")</f>
        <v>#REF!</v>
      </c>
      <c r="IH194" t="e">
        <f>AND(Liste!#REF!,"AAAAAH+8z/E=")</f>
        <v>#REF!</v>
      </c>
      <c r="II194" t="e">
        <f>AND(Liste!#REF!,"AAAAAH+8z/I=")</f>
        <v>#REF!</v>
      </c>
      <c r="IJ194" t="e">
        <f>AND(Liste!#REF!,"AAAAAH+8z/M=")</f>
        <v>#REF!</v>
      </c>
      <c r="IK194" t="e">
        <f>AND(Liste!#REF!,"AAAAAH+8z/Q=")</f>
        <v>#REF!</v>
      </c>
      <c r="IL194" t="e">
        <f>AND(Liste!#REF!,"AAAAAH+8z/U=")</f>
        <v>#REF!</v>
      </c>
      <c r="IM194" t="e">
        <f>AND(Liste!#REF!,"AAAAAH+8z/Y=")</f>
        <v>#REF!</v>
      </c>
      <c r="IN194" t="e">
        <f>AND(Liste!#REF!,"AAAAAH+8z/c=")</f>
        <v>#REF!</v>
      </c>
      <c r="IO194" t="e">
        <f>AND(Liste!#REF!,"AAAAAH+8z/g=")</f>
        <v>#REF!</v>
      </c>
      <c r="IP194" t="e">
        <f>AND(Liste!#REF!,"AAAAAH+8z/k=")</f>
        <v>#REF!</v>
      </c>
      <c r="IQ194" t="e">
        <f>AND(Liste!#REF!,"AAAAAH+8z/o=")</f>
        <v>#REF!</v>
      </c>
      <c r="IR194" t="e">
        <f>AND(Liste!#REF!,"AAAAAH+8z/s=")</f>
        <v>#REF!</v>
      </c>
      <c r="IS194" t="e">
        <f>AND(Liste!#REF!,"AAAAAH+8z/w=")</f>
        <v>#REF!</v>
      </c>
      <c r="IT194" t="e">
        <f>AND(Liste!#REF!,"AAAAAH+8z/0=")</f>
        <v>#REF!</v>
      </c>
      <c r="IU194" t="e">
        <f>AND(Liste!#REF!,"AAAAAH+8z/4=")</f>
        <v>#REF!</v>
      </c>
      <c r="IV194" t="e">
        <f>AND(Liste!#REF!,"AAAAAH+8z/8=")</f>
        <v>#REF!</v>
      </c>
    </row>
    <row r="195" spans="1:256" x14ac:dyDescent="0.2">
      <c r="A195" t="e">
        <f>AND(Liste!#REF!,"AAAAADf++wA=")</f>
        <v>#REF!</v>
      </c>
      <c r="B195" t="e">
        <f>AND(Liste!#REF!,"AAAAADf++wE=")</f>
        <v>#REF!</v>
      </c>
      <c r="C195" t="e">
        <f>AND(Liste!#REF!,"AAAAADf++wI=")</f>
        <v>#REF!</v>
      </c>
      <c r="D195" t="e">
        <f>AND(Liste!#REF!,"AAAAADf++wM=")</f>
        <v>#REF!</v>
      </c>
      <c r="E195" t="e">
        <f>AND(Liste!#REF!,"AAAAADf++wQ=")</f>
        <v>#REF!</v>
      </c>
      <c r="F195" t="e">
        <f>AND(Liste!#REF!,"AAAAADf++wU=")</f>
        <v>#REF!</v>
      </c>
      <c r="G195" t="e">
        <f>AND(Liste!#REF!,"AAAAADf++wY=")</f>
        <v>#REF!</v>
      </c>
      <c r="H195" t="e">
        <f>AND(Liste!#REF!,"AAAAADf++wc=")</f>
        <v>#REF!</v>
      </c>
      <c r="I195" t="e">
        <f>AND(Liste!#REF!,"AAAAADf++wg=")</f>
        <v>#REF!</v>
      </c>
      <c r="J195" t="e">
        <f>AND(Liste!#REF!,"AAAAADf++wk=")</f>
        <v>#REF!</v>
      </c>
      <c r="K195" t="e">
        <f>AND(Liste!#REF!,"AAAAADf++wo=")</f>
        <v>#REF!</v>
      </c>
      <c r="L195" t="e">
        <f>IF(Liste!#REF!,"AAAAADf++ws=",0)</f>
        <v>#REF!</v>
      </c>
      <c r="M195" t="e">
        <f>AND(Liste!#REF!,"AAAAADf++ww=")</f>
        <v>#REF!</v>
      </c>
      <c r="N195" t="e">
        <f>AND(Liste!#REF!,"AAAAADf++w0=")</f>
        <v>#REF!</v>
      </c>
      <c r="O195" t="e">
        <f>AND(Liste!#REF!,"AAAAADf++w4=")</f>
        <v>#REF!</v>
      </c>
      <c r="P195" t="e">
        <f>AND(Liste!#REF!,"AAAAADf++w8=")</f>
        <v>#REF!</v>
      </c>
      <c r="Q195" t="e">
        <f>AND(Liste!#REF!,"AAAAADf++xA=")</f>
        <v>#REF!</v>
      </c>
      <c r="R195" t="e">
        <f>AND(Liste!#REF!,"AAAAADf++xE=")</f>
        <v>#REF!</v>
      </c>
      <c r="S195" t="e">
        <f>AND(Liste!#REF!,"AAAAADf++xI=")</f>
        <v>#REF!</v>
      </c>
      <c r="T195" t="e">
        <f>AND(Liste!#REF!,"AAAAADf++xM=")</f>
        <v>#REF!</v>
      </c>
      <c r="U195" t="e">
        <f>AND(Liste!#REF!,"AAAAADf++xQ=")</f>
        <v>#REF!</v>
      </c>
      <c r="V195" t="e">
        <f>AND(Liste!#REF!,"AAAAADf++xU=")</f>
        <v>#REF!</v>
      </c>
      <c r="W195" t="e">
        <f>AND(Liste!#REF!,"AAAAADf++xY=")</f>
        <v>#REF!</v>
      </c>
      <c r="X195" t="e">
        <f>AND(Liste!#REF!,"AAAAADf++xc=")</f>
        <v>#REF!</v>
      </c>
      <c r="Y195" t="e">
        <f>AND(Liste!#REF!,"AAAAADf++xg=")</f>
        <v>#REF!</v>
      </c>
      <c r="Z195" t="e">
        <f>AND(Liste!#REF!,"AAAAADf++xk=")</f>
        <v>#REF!</v>
      </c>
      <c r="AA195" t="e">
        <f>AND(Liste!#REF!,"AAAAADf++xo=")</f>
        <v>#REF!</v>
      </c>
      <c r="AB195" t="e">
        <f>AND(Liste!#REF!,"AAAAADf++xs=")</f>
        <v>#REF!</v>
      </c>
      <c r="AC195" t="e">
        <f>AND(Liste!#REF!,"AAAAADf++xw=")</f>
        <v>#REF!</v>
      </c>
      <c r="AD195" t="e">
        <f>AND(Liste!#REF!,"AAAAADf++x0=")</f>
        <v>#REF!</v>
      </c>
      <c r="AE195" t="e">
        <f>AND(Liste!#REF!,"AAAAADf++x4=")</f>
        <v>#REF!</v>
      </c>
      <c r="AF195" t="e">
        <f>AND(Liste!#REF!,"AAAAADf++x8=")</f>
        <v>#REF!</v>
      </c>
      <c r="AG195" t="e">
        <f>AND(Liste!#REF!,"AAAAADf++yA=")</f>
        <v>#REF!</v>
      </c>
      <c r="AH195" t="e">
        <f>AND(Liste!#REF!,"AAAAADf++yE=")</f>
        <v>#REF!</v>
      </c>
      <c r="AI195" t="e">
        <f>AND(Liste!#REF!,"AAAAADf++yI=")</f>
        <v>#REF!</v>
      </c>
      <c r="AJ195" t="e">
        <f>AND(Liste!#REF!,"AAAAADf++yM=")</f>
        <v>#REF!</v>
      </c>
      <c r="AK195" t="e">
        <f>AND(Liste!#REF!,"AAAAADf++yQ=")</f>
        <v>#REF!</v>
      </c>
      <c r="AL195" t="e">
        <f>AND(Liste!#REF!,"AAAAADf++yU=")</f>
        <v>#REF!</v>
      </c>
      <c r="AM195" t="e">
        <f>AND(Liste!#REF!,"AAAAADf++yY=")</f>
        <v>#REF!</v>
      </c>
      <c r="AN195" t="e">
        <f>AND(Liste!#REF!,"AAAAADf++yc=")</f>
        <v>#REF!</v>
      </c>
      <c r="AO195" t="e">
        <f>AND(Liste!#REF!,"AAAAADf++yg=")</f>
        <v>#REF!</v>
      </c>
      <c r="AP195" t="e">
        <f>AND(Liste!#REF!,"AAAAADf++yk=")</f>
        <v>#REF!</v>
      </c>
      <c r="AQ195" t="e">
        <f>IF(Liste!#REF!,"AAAAADf++yo=",0)</f>
        <v>#REF!</v>
      </c>
      <c r="AR195" t="e">
        <f>AND(Liste!#REF!,"AAAAADf++ys=")</f>
        <v>#REF!</v>
      </c>
      <c r="AS195" t="e">
        <f>AND(Liste!#REF!,"AAAAADf++yw=")</f>
        <v>#REF!</v>
      </c>
      <c r="AT195" t="e">
        <f>AND(Liste!#REF!,"AAAAADf++y0=")</f>
        <v>#REF!</v>
      </c>
      <c r="AU195" t="e">
        <f>AND(Liste!#REF!,"AAAAADf++y4=")</f>
        <v>#REF!</v>
      </c>
      <c r="AV195" t="e">
        <f>AND(Liste!#REF!,"AAAAADf++y8=")</f>
        <v>#REF!</v>
      </c>
      <c r="AW195" t="e">
        <f>AND(Liste!#REF!,"AAAAADf++zA=")</f>
        <v>#REF!</v>
      </c>
      <c r="AX195" t="e">
        <f>AND(Liste!#REF!,"AAAAADf++zE=")</f>
        <v>#REF!</v>
      </c>
      <c r="AY195" t="e">
        <f>AND(Liste!#REF!,"AAAAADf++zI=")</f>
        <v>#REF!</v>
      </c>
      <c r="AZ195" t="e">
        <f>AND(Liste!#REF!,"AAAAADf++zM=")</f>
        <v>#REF!</v>
      </c>
      <c r="BA195" t="e">
        <f>AND(Liste!#REF!,"AAAAADf++zQ=")</f>
        <v>#REF!</v>
      </c>
      <c r="BB195" t="e">
        <f>AND(Liste!#REF!,"AAAAADf++zU=")</f>
        <v>#REF!</v>
      </c>
      <c r="BC195" t="e">
        <f>AND(Liste!#REF!,"AAAAADf++zY=")</f>
        <v>#REF!</v>
      </c>
      <c r="BD195" t="e">
        <f>AND(Liste!#REF!,"AAAAADf++zc=")</f>
        <v>#REF!</v>
      </c>
      <c r="BE195" t="e">
        <f>AND(Liste!#REF!,"AAAAADf++zg=")</f>
        <v>#REF!</v>
      </c>
      <c r="BF195" t="e">
        <f>AND(Liste!#REF!,"AAAAADf++zk=")</f>
        <v>#REF!</v>
      </c>
      <c r="BG195" t="e">
        <f>AND(Liste!#REF!,"AAAAADf++zo=")</f>
        <v>#REF!</v>
      </c>
      <c r="BH195" t="e">
        <f>AND(Liste!#REF!,"AAAAADf++zs=")</f>
        <v>#REF!</v>
      </c>
      <c r="BI195" t="e">
        <f>AND(Liste!#REF!,"AAAAADf++zw=")</f>
        <v>#REF!</v>
      </c>
      <c r="BJ195" t="e">
        <f>AND(Liste!#REF!,"AAAAADf++z0=")</f>
        <v>#REF!</v>
      </c>
      <c r="BK195" t="e">
        <f>AND(Liste!#REF!,"AAAAADf++z4=")</f>
        <v>#REF!</v>
      </c>
      <c r="BL195" t="e">
        <f>AND(Liste!#REF!,"AAAAADf++z8=")</f>
        <v>#REF!</v>
      </c>
      <c r="BM195" t="e">
        <f>AND(Liste!#REF!,"AAAAADf++0A=")</f>
        <v>#REF!</v>
      </c>
      <c r="BN195" t="e">
        <f>AND(Liste!#REF!,"AAAAADf++0E=")</f>
        <v>#REF!</v>
      </c>
      <c r="BO195" t="e">
        <f>AND(Liste!#REF!,"AAAAADf++0I=")</f>
        <v>#REF!</v>
      </c>
      <c r="BP195" t="e">
        <f>AND(Liste!#REF!,"AAAAADf++0M=")</f>
        <v>#REF!</v>
      </c>
      <c r="BQ195" t="e">
        <f>AND(Liste!#REF!,"AAAAADf++0Q=")</f>
        <v>#REF!</v>
      </c>
      <c r="BR195" t="e">
        <f>AND(Liste!#REF!,"AAAAADf++0U=")</f>
        <v>#REF!</v>
      </c>
      <c r="BS195" t="e">
        <f>AND(Liste!#REF!,"AAAAADf++0Y=")</f>
        <v>#REF!</v>
      </c>
      <c r="BT195" t="e">
        <f>AND(Liste!#REF!,"AAAAADf++0c=")</f>
        <v>#REF!</v>
      </c>
      <c r="BU195" t="e">
        <f>AND(Liste!#REF!,"AAAAADf++0g=")</f>
        <v>#REF!</v>
      </c>
      <c r="BV195" t="e">
        <f>IF(Liste!#REF!,"AAAAADf++0k=",0)</f>
        <v>#REF!</v>
      </c>
      <c r="BW195" t="e">
        <f>IF(Liste!#REF!,"AAAAADf++0o=",0)</f>
        <v>#REF!</v>
      </c>
      <c r="BX195" t="e">
        <f>IF(Liste!#REF!,"AAAAADf++0s=",0)</f>
        <v>#REF!</v>
      </c>
      <c r="BY195" t="e">
        <f>IF(Liste!#REF!,"AAAAADf++0w=",0)</f>
        <v>#REF!</v>
      </c>
      <c r="BZ195" t="e">
        <f>IF(Liste!#REF!,"AAAAADf++00=",0)</f>
        <v>#REF!</v>
      </c>
      <c r="CA195" t="e">
        <f>IF(Liste!#REF!,"AAAAADf++04=",0)</f>
        <v>#REF!</v>
      </c>
    </row>
    <row r="196" spans="1:256" x14ac:dyDescent="0.2">
      <c r="A196" t="e">
        <f>AND(Liste!C492,"AAAAAH/ugwA=")</f>
        <v>#VALUE!</v>
      </c>
      <c r="B196" t="e">
        <f>AND(Liste!D492,"AAAAAH/ugwE=")</f>
        <v>#VALUE!</v>
      </c>
      <c r="C196" t="e">
        <f>AND(Liste!E492,"AAAAAH/ugwI=")</f>
        <v>#VALUE!</v>
      </c>
      <c r="D196" t="e">
        <f>AND(Liste!#REF!,"AAAAAH/ugwM=")</f>
        <v>#REF!</v>
      </c>
      <c r="E196" t="e">
        <f>AND(Liste!#REF!,"AAAAAH/ugwQ=")</f>
        <v>#REF!</v>
      </c>
      <c r="F196" t="e">
        <f>AND(Liste!#REF!,"AAAAAH/ugwU=")</f>
        <v>#REF!</v>
      </c>
      <c r="G196" t="e">
        <f>AND(Liste!#REF!,"AAAAAH/ugwY=")</f>
        <v>#REF!</v>
      </c>
      <c r="H196" t="e">
        <f>AND(Liste!#REF!,"AAAAAH/ugwc=")</f>
        <v>#REF!</v>
      </c>
    </row>
    <row r="197" spans="1:256" x14ac:dyDescent="0.2">
      <c r="A197" t="e">
        <f>AND(Liste!H437,"AAAAADr3vwA=")</f>
        <v>#VALUE!</v>
      </c>
      <c r="B197" t="e">
        <f>AND(Liste!I437,"AAAAADr3vwE=")</f>
        <v>#VALUE!</v>
      </c>
      <c r="C197" t="e">
        <f>AND(Liste!J437,"AAAAADr3vwI=")</f>
        <v>#VALUE!</v>
      </c>
      <c r="D197" t="e">
        <f>AND(Liste!#REF!,"AAAAADr3vwM=")</f>
        <v>#REF!</v>
      </c>
      <c r="E197" t="e">
        <f>AND(Liste!F508,"AAAAADr3vwQ=")</f>
        <v>#VALUE!</v>
      </c>
      <c r="F197" t="e">
        <f>AND(Liste!G508,"AAAAADr3vwU=")</f>
        <v>#VALUE!</v>
      </c>
      <c r="G197" t="e">
        <f>AND(Liste!H508,"AAAAADr3vwY=")</f>
        <v>#VALUE!</v>
      </c>
      <c r="H197" t="e">
        <f>AND(Liste!#REF!,"AAAAADr3vwc=")</f>
        <v>#REF!</v>
      </c>
      <c r="I197" t="e">
        <f>AND(Liste!#REF!,"AAAAADr3vwg=")</f>
        <v>#REF!</v>
      </c>
      <c r="J197" t="e">
        <f>AND(Liste!#REF!,"AAAAADr3vwk=")</f>
        <v>#REF!</v>
      </c>
    </row>
    <row r="198" spans="1:256" x14ac:dyDescent="0.2">
      <c r="A198" t="e">
        <f>AND(Liste!F460,"AAAAAF122wA=")</f>
        <v>#VALUE!</v>
      </c>
      <c r="B198" t="e">
        <f>AND(Liste!G460,"AAAAAF122wE=")</f>
        <v>#VALUE!</v>
      </c>
      <c r="C198" t="e">
        <f>AND(Liste!H460,"AAAAAF122wI=")</f>
        <v>#VALUE!</v>
      </c>
      <c r="D198" t="e">
        <f>AND(Liste!I460,"AAAAAF122wM=")</f>
        <v>#VALUE!</v>
      </c>
    </row>
    <row r="199" spans="1:256" x14ac:dyDescent="0.2">
      <c r="A199" t="e">
        <f>AND(Liste!F504,"AAAAAHYt/gA=")</f>
        <v>#VALUE!</v>
      </c>
      <c r="B199" t="e">
        <f>AND(Liste!G504,"AAAAAHYt/gE=")</f>
        <v>#VALUE!</v>
      </c>
      <c r="C199" t="e">
        <f>AND(Liste!H504,"AAAAAHYt/gI=")</f>
        <v>#VALUE!</v>
      </c>
    </row>
    <row r="200" spans="1:256" x14ac:dyDescent="0.2">
      <c r="A200" t="e">
        <f>AND(Liste!#REF!,"AAAAAG/frwA=")</f>
        <v>#REF!</v>
      </c>
      <c r="B200" t="e">
        <f>AND(Liste!#REF!,"AAAAAG/frwE=")</f>
        <v>#REF!</v>
      </c>
      <c r="C200" t="e">
        <f>AND(Liste!#REF!,"AAAAAG/frwI=")</f>
        <v>#REF!</v>
      </c>
    </row>
    <row r="201" spans="1:256" x14ac:dyDescent="0.2">
      <c r="A201" t="e">
        <f>AND(Liste!#REF!,"AAAAAH2S9QA=")</f>
        <v>#REF!</v>
      </c>
      <c r="B201" t="e">
        <f>AND(Liste!#REF!,"AAAAAH2S9QE=")</f>
        <v>#REF!</v>
      </c>
      <c r="C201" t="e">
        <f>AND(Liste!#REF!,"AAAAAH2S9QI=")</f>
        <v>#REF!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</vt:lpstr>
      <vt:lpstr>Liste!Yazdırma_Alanı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YBU</dc:creator>
  <cp:lastModifiedBy>Microsoft Office User</cp:lastModifiedBy>
  <cp:lastPrinted>2022-03-02T08:23:38Z</cp:lastPrinted>
  <dcterms:created xsi:type="dcterms:W3CDTF">2012-09-21T07:28:21Z</dcterms:created>
  <dcterms:modified xsi:type="dcterms:W3CDTF">2022-03-03T05:35:09Z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1rAccO2i9-UumvFyznU0v8RdK-bIx-oXl3HjoRE7Jsi8</vt:lpwstr>
  </property>
  <property fmtid="{D5CDD505-2E9C-101B-9397-08002B2CF9AE}" pid="4" name="Google.Documents.RevisionId">
    <vt:lpwstr>12348193039190477989</vt:lpwstr>
  </property>
  <property fmtid="{D5CDD505-2E9C-101B-9397-08002B2CF9AE}" pid="5" name="Google.Documents.PreviousRevisionId">
    <vt:lpwstr>13347948106499893933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